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filterPrivacy="1" defaultThemeVersion="124226"/>
  <xr:revisionPtr revIDLastSave="0" documentId="13_ncr:1_{2E985D6B-6CB9-4464-A37E-D416BE4A99F2}" xr6:coauthVersionLast="36" xr6:coauthVersionMax="36" xr10:uidLastSave="{00000000-0000-0000-0000-000000000000}"/>
  <bookViews>
    <workbookView xWindow="0" yWindow="0" windowWidth="28800" windowHeight="11025" xr2:uid="{00000000-000D-0000-FFFF-FFFF00000000}"/>
  </bookViews>
  <sheets>
    <sheet name="КС Пр.1-24" sheetId="61" r:id="rId1"/>
    <sheet name="ВМП КС Пр.1-24" sheetId="60" r:id="rId2"/>
    <sheet name="ДС (пр.01-24)" sheetId="62" r:id="rId3"/>
    <sheet name="ВМП ДС (пр.01-24)" sheetId="27" r:id="rId4"/>
    <sheet name="Проф.Свод Пр.1-24" sheetId="138" r:id="rId5"/>
    <sheet name="Дисп. наблюдение Свод Пр.1-24" sheetId="139" r:id="rId6"/>
    <sheet name="Раз.пос.Пр.1-24    " sheetId="140" r:id="rId7"/>
    <sheet name="Пос с др.целями Пр.1-24" sheetId="141" r:id="rId8"/>
    <sheet name="Посещения СМП Пр.1-24  " sheetId="142" r:id="rId9"/>
    <sheet name="ШСД Пр. 19-23 " sheetId="133" r:id="rId10"/>
    <sheet name="Диспан.набл.взрослых Пр.17-23" sheetId="118" r:id="rId11"/>
    <sheet name="Углуб.дисп.Пр. 18-23 " sheetId="125" r:id="rId12"/>
    <sheet name="Центры здоровья  Пр.1-24" sheetId="143" r:id="rId13"/>
    <sheet name="ДВН центр.исслед.Пр.18-23" sheetId="126" r:id="rId14"/>
    <sheet name="Посещения неотл. 1-24" sheetId="149" r:id="rId15"/>
    <sheet name="Обращения 1-24" sheetId="137" r:id="rId16"/>
    <sheet name="Мед.реаб. в АПУ 1-24" sheetId="135" r:id="rId17"/>
    <sheet name="Долечивание, кибер-нож Пр.20-22" sheetId="22" r:id="rId18"/>
    <sheet name="Венерология Пр. 16-23" sheetId="21" r:id="rId19"/>
    <sheet name="Паллиативная МП Пр. 18-23" sheetId="20" r:id="rId20"/>
    <sheet name="Психотерапия Пр. 18-23" sheetId="19" r:id="rId21"/>
    <sheet name="Наркология Пр. 18-23" sheetId="25" r:id="rId22"/>
    <sheet name="Фтизиатрия Пр.18-23" sheetId="24" r:id="rId23"/>
    <sheet name="КТ,МРТ Пр.1-24" sheetId="144" r:id="rId24"/>
    <sheet name="УЗИ ССС Пр. 1-24" sheetId="145" r:id="rId25"/>
    <sheet name="ЭИ, ПАИ, МГИ Пр.1-24" sheetId="150" r:id="rId26"/>
    <sheet name="ПЦР Пр. 1-24 " sheetId="147" r:id="rId27"/>
    <sheet name="РД, ПЭТ, УЗИ 18-23" sheetId="35" r:id="rId28"/>
    <sheet name="гемодиализ (пр.19-23) " sheetId="56" r:id="rId29"/>
    <sheet name="Объемы ОРВИ, Грипп 1-24" sheetId="148" r:id="rId30"/>
    <sheet name="СМП объемы  (1-24)" sheetId="13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14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Пр.1-24'!$A$4:$AI$92</definedName>
    <definedName name="_xlnm._FilterDatabase" localSheetId="5" hidden="1">'Дисп. наблюдение Свод Пр.1-24'!$A$11:$O$11</definedName>
    <definedName name="_xlnm._FilterDatabase" localSheetId="2" hidden="1">'ДС (пр.01-24)'!#REF!</definedName>
    <definedName name="_xlnm._FilterDatabase" localSheetId="0" hidden="1">'КС Пр.1-24'!$A$9:$WVA$145</definedName>
    <definedName name="_xlnm._FilterDatabase" localSheetId="23" hidden="1">'КТ,МРТ Пр.1-24'!$A$7:$M$59</definedName>
    <definedName name="_xlnm._FilterDatabase" localSheetId="16" hidden="1">'Мед.реаб. в АПУ 1-24'!$A$7:$BD$7</definedName>
    <definedName name="_xlnm._FilterDatabase" localSheetId="29" hidden="1">'Объемы ОРВИ, Грипп 1-24'!$B$6:$D$27</definedName>
    <definedName name="_xlnm._FilterDatabase" localSheetId="7" hidden="1">'Пос с др.целями Пр.1-24'!$A$9:$H$9</definedName>
    <definedName name="_xlnm._FilterDatabase" localSheetId="8" hidden="1">'Посещения СМП Пр.1-24  '!$A$9:$H$9</definedName>
    <definedName name="_xlnm._FilterDatabase" localSheetId="4" hidden="1">'Проф.Свод Пр.1-24'!$A$8:$W$8</definedName>
    <definedName name="_xlnm._FilterDatabase" localSheetId="26" hidden="1">'ПЦР Пр. 1-24 '!$B$6:$D$31</definedName>
    <definedName name="_xlnm._FilterDatabase" localSheetId="27" hidden="1">'РД, ПЭТ, УЗИ 18-23'!$A$5:$S$27</definedName>
    <definedName name="_xlnm._FilterDatabase" localSheetId="30" hidden="1">'СМП объемы  (1-24)'!$A$7:$M$22</definedName>
    <definedName name="_xlnm._FilterDatabase" localSheetId="11" hidden="1">'Углуб.дисп.Пр. 18-23 '!#REF!</definedName>
    <definedName name="_xlnm._FilterDatabase" localSheetId="24" hidden="1">'УЗИ ССС Пр. 1-24'!$A$5:$G$94</definedName>
    <definedName name="_xlnm._FilterDatabase" localSheetId="9" hidden="1">'ШСД Пр. 19-23 '!#REF!</definedName>
    <definedName name="_xlnm._FilterDatabase" localSheetId="25" hidden="1">'ЭИ, ПАИ, МГИ Пр.1-24'!$A$8:$Y$98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14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12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14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Pr" localSheetId="24">#REF!</definedName>
    <definedName name="Pr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14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14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30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14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30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Fin" localSheetId="24">#REF!</definedName>
    <definedName name="Tg_Fin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14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30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14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30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14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30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14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30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14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30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14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30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14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30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14">#REF!</definedName>
    <definedName name="TgDs" localSheetId="8">#REF!</definedName>
    <definedName name="TgDs" localSheetId="4">#REF!</definedName>
    <definedName name="TgDs" localSheetId="6">#REF!</definedName>
    <definedName name="TgDs" localSheetId="30">#REF!</definedName>
    <definedName name="TgDs" localSheetId="11">#REF!</definedName>
    <definedName name="TgDs" localSheetId="12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14">#REF!</definedName>
    <definedName name="TgSMP" localSheetId="8">#REF!</definedName>
    <definedName name="TgSMP" localSheetId="4">#REF!</definedName>
    <definedName name="TgSMP" localSheetId="6">#REF!</definedName>
    <definedName name="TgSMP" localSheetId="30">#REF!</definedName>
    <definedName name="TgSMP" localSheetId="11">#REF!</definedName>
    <definedName name="TgSMP" localSheetId="12">#REF!</definedName>
    <definedName name="TgSMP" localSheetId="9">#REF!</definedName>
    <definedName name="TgSMP">#REF!</definedName>
    <definedName name="XLRPARAMS_ISP_FIO" localSheetId="29" hidden="1">[1]XLR_NoRangeSheet!$B$6</definedName>
    <definedName name="XLRPARAMS_ISP_FIO" localSheetId="30" hidden="1">[1]XLR_NoRangeSheet!$B$6</definedName>
    <definedName name="XLRPARAMS_ISP_FIO" localSheetId="12" hidden="1">[2]XLR_NoRangeSheet!$B$6</definedName>
    <definedName name="XLRPARAMS_ISP_FIO" hidden="1">[1]XLR_NoRangeSheet!$B$6</definedName>
    <definedName name="XLRPARAMS_MP_NAME" localSheetId="29" hidden="1">[1]XLR_NoRangeSheet!$D$6</definedName>
    <definedName name="XLRPARAMS_MP_NAME" localSheetId="30" hidden="1">[1]XLR_NoRangeSheet!$D$6</definedName>
    <definedName name="XLRPARAMS_MP_NAME" localSheetId="12" hidden="1">[2]XLR_NoRangeSheet!$D$6</definedName>
    <definedName name="XLRPARAMS_MP_NAME" hidden="1">[1]XLR_NoRangeSheet!$D$6</definedName>
    <definedName name="XLRPARAMS_STR_PERIOD" localSheetId="29" hidden="1">[1]XLR_NoRangeSheet!$C$6</definedName>
    <definedName name="XLRPARAMS_STR_PERIOD" localSheetId="30" hidden="1">[1]XLR_NoRangeSheet!$C$6</definedName>
    <definedName name="XLRPARAMS_STR_PERIOD" localSheetId="12" hidden="1">[2]XLR_NoRangeSheet!$C$6</definedName>
    <definedName name="XLRPARAMS_STR_PERIOD" hidden="1">[1]XLR_NoRangeSheet!$C$6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14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14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10">[4]Данные!$B$1:$EF$178</definedName>
    <definedName name="Д" localSheetId="0">[4]Данные!$B$1:$EF$178</definedName>
    <definedName name="Д" localSheetId="23">[5]Данные!$B$1:$EF$178</definedName>
    <definedName name="Д" localSheetId="16">[3]Данные!$B$1:$EF$178</definedName>
    <definedName name="Д" localSheetId="15">[3]Данные!$B$1:$EF$178</definedName>
    <definedName name="Д" localSheetId="29">[4]Данные!$B$1:$EF$178</definedName>
    <definedName name="Д" localSheetId="7">[6]Данные!$B$1:$EF$178</definedName>
    <definedName name="Д" localSheetId="8">[3]Данные!$B$1:$EF$178</definedName>
    <definedName name="Д" localSheetId="4">[6]Данные!$B$1:$EF$178</definedName>
    <definedName name="Д" localSheetId="6">[4]Данные!$B$1:$EF$178</definedName>
    <definedName name="Д" localSheetId="27">[4]Данные!$B$1:$EF$178</definedName>
    <definedName name="Д" localSheetId="30">[4]Данные!$B$1:$EF$178</definedName>
    <definedName name="Д" localSheetId="11">[3]Данные!$B$1:$EF$178</definedName>
    <definedName name="Д" localSheetId="24">[5]Данные!$B$1:$EF$178</definedName>
    <definedName name="Д" localSheetId="12">[6]Данные!$B$1:$EF$178</definedName>
    <definedName name="Д" localSheetId="9">[3]Данные!$B$1:$EF$178</definedName>
    <definedName name="Д">[4]Данные!$B$1:$EF$178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14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12">#REF!</definedName>
    <definedName name="Жен.конс." localSheetId="9">#REF!</definedName>
    <definedName name="Жен.конс.">#REF!</definedName>
    <definedName name="_xlnm.Print_Titles" localSheetId="1">'ВМП КС Пр.1-24'!$B:$C</definedName>
    <definedName name="_xlnm.Print_Titles" localSheetId="5">'Дисп. наблюдение Свод Пр.1-24'!$3:$7</definedName>
    <definedName name="_xlnm.Print_Titles" localSheetId="10">'Диспан.набл.взрослых Пр.17-23'!$6:$10</definedName>
    <definedName name="_xlnm.Print_Titles" localSheetId="2">'ДС (пр.01-24)'!#REF!</definedName>
    <definedName name="_xlnm.Print_Titles" localSheetId="0">'КС Пр.1-24'!$7:$9</definedName>
    <definedName name="_xlnm.Print_Titles" localSheetId="7">'Пос с др.целями Пр.1-24'!$2:$6</definedName>
    <definedName name="_xlnm.Print_Titles" localSheetId="4">'Проф.Свод Пр.1-24'!$2:$7</definedName>
    <definedName name="_xlnm.Print_Titles" localSheetId="6">'Раз.пос.Пр.1-24    '!$2:$7</definedName>
    <definedName name="_xlnm.Print_Titles" localSheetId="30">'СМП объемы  (1-24)'!$4:$7</definedName>
    <definedName name="_xlnm.Print_Titles" localSheetId="9">'ШСД Пр. 19-23 '!$3:$6</definedName>
    <definedName name="ЗД" localSheetId="13">[3]Данные!$BY$3:$DB$3</definedName>
    <definedName name="ЗД" localSheetId="10">[4]Данные!$BY$3:$DB$3</definedName>
    <definedName name="ЗД" localSheetId="23">[5]Данные!$BY$3:$DB$3</definedName>
    <definedName name="ЗД" localSheetId="16">[3]Данные!$BY$3:$DB$3</definedName>
    <definedName name="ЗД" localSheetId="15">[3]Данные!$BY$3:$DB$3</definedName>
    <definedName name="ЗД" localSheetId="29">[4]Данные!$BY$3:$DB$3</definedName>
    <definedName name="ЗД" localSheetId="7">[6]Данные!$BY$3:$DB$3</definedName>
    <definedName name="ЗД" localSheetId="8">[3]Данные!$BY$3:$DB$3</definedName>
    <definedName name="ЗД" localSheetId="4">[6]Данные!$BY$3:$DB$3</definedName>
    <definedName name="ЗД" localSheetId="6">[4]Данные!$BY$3:$DB$3</definedName>
    <definedName name="ЗД" localSheetId="27">[4]Данные!$BY$3:$DB$3</definedName>
    <definedName name="ЗД" localSheetId="30">[4]Данные!$BY$3:$DB$3</definedName>
    <definedName name="ЗД" localSheetId="11">[3]Данные!$BY$3:$DB$3</definedName>
    <definedName name="ЗД" localSheetId="24">[5]Данные!$BY$3:$DB$3</definedName>
    <definedName name="ЗД" localSheetId="12">[6]Данные!$BY$3:$DB$3</definedName>
    <definedName name="ЗД" localSheetId="9">[3]Данные!$BY$3:$DB$3</definedName>
    <definedName name="ЗД">[4]Данные!$BY$3:$DB$3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14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14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14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'[7]СВОД КП ПРОЕКТА книж'!$A$4:$DS$109</definedName>
    <definedName name="Нефтекамск" localSheetId="10">'[8]СВОД КП ПРОЕКТА книж'!$A$4:$DS$109</definedName>
    <definedName name="Нефтекамск" localSheetId="16">'[7]СВОД КП ПРОЕКТА книж'!$A$4:$DS$109</definedName>
    <definedName name="Нефтекамск" localSheetId="15">'[7]СВОД КП ПРОЕКТА книж'!$A$4:$DS$109</definedName>
    <definedName name="Нефтекамск" localSheetId="7">'[8]СВОД КП ПРОЕКТА книж'!$A$4:$DS$109</definedName>
    <definedName name="Нефтекамск" localSheetId="8">'[7]СВОД КП ПРОЕКТА книж'!$A$4:$DS$109</definedName>
    <definedName name="Нефтекамск" localSheetId="4">'[8]СВОД КП ПРОЕКТА книж'!$A$4:$DS$109</definedName>
    <definedName name="Нефтекамск" localSheetId="6">'[8]СВОД КП ПРОЕКТА книж'!$A$4:$DS$109</definedName>
    <definedName name="Нефтекамск" localSheetId="11">'[7]СВОД КП ПРОЕКТА книж'!$A$4:$DS$109</definedName>
    <definedName name="Нефтекамск" localSheetId="12">'[7]СВОД КП ПРОЕКТА книж'!$A$4:$DS$109</definedName>
    <definedName name="Нефтекамск" localSheetId="9">'[7]СВОД КП ПРОЕКТА книж'!$A$4:$DS$109</definedName>
    <definedName name="Нефтекамск">'[8]СВОД КП ПРОЕКТА книж'!$A$4:$DS$109</definedName>
    <definedName name="_xlnm.Print_Area" localSheetId="7">'Пос с др.целями Пр.1-24'!#REF!</definedName>
    <definedName name="_xlnm.Print_Area" localSheetId="12">'Центры здоровья  Пр.1-24'!$A$1:$L$28</definedName>
    <definedName name="_xlnm.Print_Area" localSheetId="25">'ЭИ, ПАИ, МГИ Пр.1-24'!$A$1:$Y$98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14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14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29">#REF!</definedName>
    <definedName name="Пр.2" localSheetId="7">#REF!</definedName>
    <definedName name="Пр.2" localSheetId="14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 localSheetId="24">#REF!</definedName>
    <definedName name="Пр.2" localSheetId="12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29">#REF!</definedName>
    <definedName name="пра" localSheetId="7">#REF!</definedName>
    <definedName name="пра" localSheetId="14">#REF!</definedName>
    <definedName name="пра" localSheetId="8">#REF!</definedName>
    <definedName name="пра" localSheetId="4">#REF!</definedName>
    <definedName name="пра" localSheetId="6">#REF!</definedName>
    <definedName name="пра" localSheetId="30">#REF!</definedName>
    <definedName name="пра" localSheetId="24">#REF!</definedName>
    <definedName name="пра" localSheetId="12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14">#REF!</definedName>
    <definedName name="пэт" localSheetId="8">#REF!</definedName>
    <definedName name="пэт" localSheetId="4">#REF!</definedName>
    <definedName name="пэт" localSheetId="6">#REF!</definedName>
    <definedName name="пэт" localSheetId="30">#REF!</definedName>
    <definedName name="пэт" localSheetId="11">#REF!</definedName>
    <definedName name="пэт" localSheetId="12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29">#REF!</definedName>
    <definedName name="рд" localSheetId="7">#REF!</definedName>
    <definedName name="рд" localSheetId="14">#REF!</definedName>
    <definedName name="рд" localSheetId="8">#REF!</definedName>
    <definedName name="рд" localSheetId="4">#REF!</definedName>
    <definedName name="рд" localSheetId="6">#REF!</definedName>
    <definedName name="рд" localSheetId="30">#REF!</definedName>
    <definedName name="рд" localSheetId="12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29">#REF!</definedName>
    <definedName name="РОБЬ" localSheetId="7">#REF!</definedName>
    <definedName name="РОБЬ" localSheetId="14">#REF!</definedName>
    <definedName name="РОБЬ" localSheetId="8">#REF!</definedName>
    <definedName name="РОБЬ" localSheetId="4">#REF!</definedName>
    <definedName name="РОБЬ" localSheetId="6">#REF!</definedName>
    <definedName name="РОБЬ" localSheetId="30">#REF!</definedName>
    <definedName name="РОБЬ" localSheetId="12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14">#REF!</definedName>
    <definedName name="смп" localSheetId="8">#REF!</definedName>
    <definedName name="смп" localSheetId="4">#REF!</definedName>
    <definedName name="смп" localSheetId="6">#REF!</definedName>
    <definedName name="смп" localSheetId="30">#REF!</definedName>
    <definedName name="смп" localSheetId="11">#REF!</definedName>
    <definedName name="смп" localSheetId="12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29">#REF!</definedName>
    <definedName name="Список" localSheetId="7">#REF!</definedName>
    <definedName name="Список" localSheetId="14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30">#REF!</definedName>
    <definedName name="Список" localSheetId="11">#REF!</definedName>
    <definedName name="Список" localSheetId="12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14">#REF!</definedName>
    <definedName name="стер" localSheetId="8">#REF!</definedName>
    <definedName name="стер" localSheetId="4">#REF!</definedName>
    <definedName name="стер" localSheetId="6">#REF!</definedName>
    <definedName name="стер" localSheetId="30">#REF!</definedName>
    <definedName name="стер" localSheetId="11">#REF!</definedName>
    <definedName name="стер" localSheetId="12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14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30">#REF!</definedName>
    <definedName name="ттттт" localSheetId="11">#REF!</definedName>
    <definedName name="ттттт" localSheetId="12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10">[4]Данные!$DC$3:$EF$3</definedName>
    <definedName name="ФЗ" localSheetId="23">[5]Данные!$DC$3:$EF$3</definedName>
    <definedName name="ФЗ" localSheetId="16">[3]Данные!$DC$3:$EF$3</definedName>
    <definedName name="ФЗ" localSheetId="15">[3]Данные!$DC$3:$EF$3</definedName>
    <definedName name="ФЗ" localSheetId="29">[4]Данные!$DC$3:$EF$3</definedName>
    <definedName name="ФЗ" localSheetId="7">[6]Данные!$DC$3:$EF$3</definedName>
    <definedName name="ФЗ" localSheetId="8">[3]Данные!$DC$3:$EF$3</definedName>
    <definedName name="ФЗ" localSheetId="4">[6]Данные!$DC$3:$EF$3</definedName>
    <definedName name="ФЗ" localSheetId="6">[4]Данные!$DC$3:$EF$3</definedName>
    <definedName name="ФЗ" localSheetId="27">[4]Данные!$DC$3:$EF$3</definedName>
    <definedName name="ФЗ" localSheetId="30">[4]Данные!$DC$3:$EF$3</definedName>
    <definedName name="ФЗ" localSheetId="11">[3]Данные!$DC$3:$EF$3</definedName>
    <definedName name="ФЗ" localSheetId="24">[5]Данные!$DC$3:$EF$3</definedName>
    <definedName name="ФЗ" localSheetId="12">[6]Данные!$DC$3:$EF$3</definedName>
    <definedName name="ФЗ" localSheetId="9">[3]Данные!$DC$3:$EF$3</definedName>
    <definedName name="ФЗ">[4]Данные!$DC$3:$EF$3</definedName>
    <definedName name="Шт" localSheetId="13">[3]Данные!$AU$3:$BX$3</definedName>
    <definedName name="Шт" localSheetId="10">[4]Данные!$AU$3:$BX$3</definedName>
    <definedName name="Шт" localSheetId="23">[5]Данные!$AU$3:$BX$3</definedName>
    <definedName name="Шт" localSheetId="16">[3]Данные!$AU$3:$BX$3</definedName>
    <definedName name="Шт" localSheetId="15">[3]Данные!$AU$3:$BX$3</definedName>
    <definedName name="Шт" localSheetId="29">[4]Данные!$AU$3:$BX$3</definedName>
    <definedName name="Шт" localSheetId="7">[6]Данные!$AU$3:$BX$3</definedName>
    <definedName name="Шт" localSheetId="8">[3]Данные!$AU$3:$BX$3</definedName>
    <definedName name="Шт" localSheetId="4">[6]Данные!$AU$3:$BX$3</definedName>
    <definedName name="Шт" localSheetId="6">[4]Данные!$AU$3:$BX$3</definedName>
    <definedName name="Шт" localSheetId="27">[4]Данные!$AU$3:$BX$3</definedName>
    <definedName name="Шт" localSheetId="30">[4]Данные!$AU$3:$BX$3</definedName>
    <definedName name="Шт" localSheetId="11">[3]Данные!$AU$3:$BX$3</definedName>
    <definedName name="Шт" localSheetId="24">[5]Данные!$AU$3:$BX$3</definedName>
    <definedName name="Шт" localSheetId="12">[6]Данные!$AU$3:$BX$3</definedName>
    <definedName name="Шт" localSheetId="9">[3]Данные!$AU$3:$BX$3</definedName>
    <definedName name="Шт">[4]Данные!$AU$3:$BX$3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14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G122" i="137" l="1"/>
  <c r="V98" i="150" l="1"/>
  <c r="R98" i="150"/>
  <c r="O97" i="150"/>
  <c r="N97" i="150"/>
  <c r="M97" i="150"/>
  <c r="L97" i="150"/>
  <c r="G97" i="150"/>
  <c r="D97" i="150"/>
  <c r="P96" i="150"/>
  <c r="G96" i="150"/>
  <c r="F96" i="150"/>
  <c r="E96" i="150"/>
  <c r="D96" i="150"/>
  <c r="P95" i="150"/>
  <c r="G95" i="150"/>
  <c r="K95" i="150" s="1"/>
  <c r="P94" i="150"/>
  <c r="G94" i="150"/>
  <c r="K94" i="150" s="1"/>
  <c r="D94" i="150"/>
  <c r="X93" i="150"/>
  <c r="W93" i="150"/>
  <c r="W98" i="150" s="1"/>
  <c r="V93" i="150"/>
  <c r="U93" i="150"/>
  <c r="U8" i="150" s="1"/>
  <c r="U6" i="150" s="1"/>
  <c r="T93" i="150"/>
  <c r="S93" i="150"/>
  <c r="S98" i="150" s="1"/>
  <c r="R93" i="150"/>
  <c r="R8" i="150" s="1"/>
  <c r="R6" i="150" s="1"/>
  <c r="Q93" i="150"/>
  <c r="Q8" i="150" s="1"/>
  <c r="Q6" i="150" s="1"/>
  <c r="G93" i="150"/>
  <c r="K93" i="150" s="1"/>
  <c r="P92" i="150"/>
  <c r="G92" i="150"/>
  <c r="D92" i="150"/>
  <c r="K92" i="150" s="1"/>
  <c r="O91" i="150"/>
  <c r="N91" i="150"/>
  <c r="M91" i="150"/>
  <c r="L91" i="150"/>
  <c r="J91" i="150"/>
  <c r="I91" i="150"/>
  <c r="H91" i="150"/>
  <c r="D91" i="150"/>
  <c r="O90" i="150"/>
  <c r="N90" i="150"/>
  <c r="M90" i="150"/>
  <c r="L90" i="150"/>
  <c r="J90" i="150"/>
  <c r="I90" i="150"/>
  <c r="H90" i="150"/>
  <c r="P89" i="150"/>
  <c r="G89" i="150"/>
  <c r="E89" i="150"/>
  <c r="K89" i="150" s="1"/>
  <c r="P88" i="150"/>
  <c r="G88" i="150"/>
  <c r="D88" i="150"/>
  <c r="P87" i="150"/>
  <c r="G87" i="150"/>
  <c r="K87" i="150" s="1"/>
  <c r="P86" i="150"/>
  <c r="G86" i="150"/>
  <c r="K86" i="150" s="1"/>
  <c r="P85" i="150"/>
  <c r="G85" i="150"/>
  <c r="E85" i="150"/>
  <c r="D85" i="150"/>
  <c r="P84" i="150"/>
  <c r="G84" i="150"/>
  <c r="E84" i="150"/>
  <c r="P83" i="150"/>
  <c r="G83" i="150"/>
  <c r="K83" i="150" s="1"/>
  <c r="P82" i="150"/>
  <c r="G82" i="150"/>
  <c r="F82" i="150"/>
  <c r="P81" i="150"/>
  <c r="G81" i="150"/>
  <c r="K81" i="150" s="1"/>
  <c r="P80" i="150"/>
  <c r="G80" i="150"/>
  <c r="K80" i="150" s="1"/>
  <c r="P79" i="150"/>
  <c r="G79" i="150"/>
  <c r="F79" i="150"/>
  <c r="E79" i="150"/>
  <c r="D79" i="150"/>
  <c r="P78" i="150"/>
  <c r="G78" i="150"/>
  <c r="D78" i="150"/>
  <c r="P77" i="150"/>
  <c r="G77" i="150"/>
  <c r="K77" i="150" s="1"/>
  <c r="P76" i="150"/>
  <c r="G76" i="150"/>
  <c r="F76" i="150"/>
  <c r="D76" i="150"/>
  <c r="K76" i="150" s="1"/>
  <c r="P75" i="150"/>
  <c r="G75" i="150"/>
  <c r="E75" i="150"/>
  <c r="D75" i="150"/>
  <c r="P74" i="150"/>
  <c r="G74" i="150"/>
  <c r="F74" i="150"/>
  <c r="E74" i="150"/>
  <c r="D74" i="150"/>
  <c r="P73" i="150"/>
  <c r="G73" i="150"/>
  <c r="K73" i="150" s="1"/>
  <c r="P72" i="150"/>
  <c r="G72" i="150"/>
  <c r="F72" i="150"/>
  <c r="E72" i="150"/>
  <c r="D72" i="150"/>
  <c r="P71" i="150"/>
  <c r="G71" i="150"/>
  <c r="E71" i="150"/>
  <c r="D71" i="150"/>
  <c r="P70" i="150"/>
  <c r="G70" i="150"/>
  <c r="K70" i="150" s="1"/>
  <c r="O69" i="150"/>
  <c r="N69" i="150"/>
  <c r="M69" i="150"/>
  <c r="L69" i="150"/>
  <c r="G69" i="150"/>
  <c r="K69" i="150" s="1"/>
  <c r="P68" i="150"/>
  <c r="G68" i="150"/>
  <c r="K68" i="150" s="1"/>
  <c r="P67" i="150"/>
  <c r="G67" i="150"/>
  <c r="K67" i="150" s="1"/>
  <c r="P66" i="150"/>
  <c r="G66" i="150"/>
  <c r="E66" i="150"/>
  <c r="P65" i="150"/>
  <c r="G65" i="150"/>
  <c r="F65" i="150"/>
  <c r="E65" i="150"/>
  <c r="P64" i="150"/>
  <c r="G64" i="150"/>
  <c r="D64" i="150"/>
  <c r="K64" i="150" s="1"/>
  <c r="P63" i="150"/>
  <c r="G63" i="150"/>
  <c r="K63" i="150" s="1"/>
  <c r="P62" i="150"/>
  <c r="G62" i="150"/>
  <c r="F62" i="150"/>
  <c r="D62" i="150"/>
  <c r="P61" i="150"/>
  <c r="G61" i="150"/>
  <c r="K61" i="150" s="1"/>
  <c r="D61" i="150"/>
  <c r="P60" i="150"/>
  <c r="G60" i="150"/>
  <c r="K60" i="150" s="1"/>
  <c r="D60" i="150"/>
  <c r="P59" i="150"/>
  <c r="G59" i="150"/>
  <c r="D59" i="150"/>
  <c r="P58" i="150"/>
  <c r="G58" i="150"/>
  <c r="D58" i="150"/>
  <c r="P57" i="150"/>
  <c r="G57" i="150"/>
  <c r="D57" i="150"/>
  <c r="P56" i="150"/>
  <c r="G56" i="150"/>
  <c r="K56" i="150" s="1"/>
  <c r="O55" i="150"/>
  <c r="N55" i="150"/>
  <c r="M55" i="150"/>
  <c r="G55" i="150"/>
  <c r="D55" i="150"/>
  <c r="P54" i="150"/>
  <c r="G54" i="150"/>
  <c r="F54" i="150"/>
  <c r="D54" i="150"/>
  <c r="P53" i="150"/>
  <c r="G53" i="150"/>
  <c r="D53" i="150"/>
  <c r="P52" i="150"/>
  <c r="G52" i="150"/>
  <c r="F52" i="150"/>
  <c r="D52" i="150"/>
  <c r="O51" i="150"/>
  <c r="P51" i="150" s="1"/>
  <c r="N51" i="150"/>
  <c r="M51" i="150"/>
  <c r="G51" i="150"/>
  <c r="F51" i="150"/>
  <c r="D51" i="150"/>
  <c r="P50" i="150"/>
  <c r="G50" i="150"/>
  <c r="K50" i="150" s="1"/>
  <c r="D50" i="150"/>
  <c r="P49" i="150"/>
  <c r="K49" i="150"/>
  <c r="G49" i="150"/>
  <c r="O48" i="150"/>
  <c r="N48" i="150"/>
  <c r="M48" i="150"/>
  <c r="L48" i="150"/>
  <c r="G48" i="150"/>
  <c r="F48" i="150"/>
  <c r="E48" i="150"/>
  <c r="P47" i="150"/>
  <c r="G47" i="150"/>
  <c r="F47" i="150"/>
  <c r="D47" i="150"/>
  <c r="O46" i="150"/>
  <c r="N46" i="150"/>
  <c r="M46" i="150"/>
  <c r="L46" i="150"/>
  <c r="G46" i="150"/>
  <c r="F46" i="150"/>
  <c r="E46" i="150"/>
  <c r="D46" i="150"/>
  <c r="O45" i="150"/>
  <c r="P45" i="150" s="1"/>
  <c r="G45" i="150"/>
  <c r="K45" i="150" s="1"/>
  <c r="F44" i="150"/>
  <c r="K44" i="150" s="1"/>
  <c r="P43" i="150"/>
  <c r="G43" i="150"/>
  <c r="K43" i="150" s="1"/>
  <c r="P42" i="150"/>
  <c r="G42" i="150"/>
  <c r="D42" i="150"/>
  <c r="K42" i="150" s="1"/>
  <c r="P41" i="150"/>
  <c r="G41" i="150"/>
  <c r="D41" i="150"/>
  <c r="P40" i="150"/>
  <c r="G40" i="150"/>
  <c r="F40" i="150"/>
  <c r="E40" i="150"/>
  <c r="D40" i="150"/>
  <c r="K40" i="150" s="1"/>
  <c r="P39" i="150"/>
  <c r="G39" i="150"/>
  <c r="F39" i="150"/>
  <c r="E39" i="150"/>
  <c r="N38" i="150"/>
  <c r="P38" i="150" s="1"/>
  <c r="G38" i="150"/>
  <c r="F38" i="150"/>
  <c r="P37" i="150"/>
  <c r="G37" i="150"/>
  <c r="K37" i="150" s="1"/>
  <c r="O36" i="150"/>
  <c r="N36" i="150"/>
  <c r="L36" i="150"/>
  <c r="J36" i="150"/>
  <c r="I36" i="150"/>
  <c r="G36" i="150" s="1"/>
  <c r="H36" i="150"/>
  <c r="D36" i="150"/>
  <c r="O35" i="150"/>
  <c r="N35" i="150"/>
  <c r="M35" i="150"/>
  <c r="L35" i="150"/>
  <c r="G35" i="150"/>
  <c r="F35" i="150"/>
  <c r="E35" i="150"/>
  <c r="D35" i="150"/>
  <c r="P34" i="150"/>
  <c r="G34" i="150"/>
  <c r="K34" i="150" s="1"/>
  <c r="D34" i="150"/>
  <c r="P33" i="150"/>
  <c r="G33" i="150"/>
  <c r="D33" i="150"/>
  <c r="P32" i="150"/>
  <c r="J32" i="150"/>
  <c r="H32" i="150"/>
  <c r="F32" i="150"/>
  <c r="E32" i="150"/>
  <c r="D32" i="150"/>
  <c r="O31" i="150"/>
  <c r="N31" i="150"/>
  <c r="M31" i="150"/>
  <c r="L31" i="150"/>
  <c r="J31" i="150"/>
  <c r="H31" i="150"/>
  <c r="F31" i="150"/>
  <c r="E31" i="150"/>
  <c r="D31" i="150"/>
  <c r="P30" i="150"/>
  <c r="J30" i="150"/>
  <c r="I30" i="150"/>
  <c r="H30" i="150"/>
  <c r="F30" i="150"/>
  <c r="D30" i="150"/>
  <c r="P29" i="150"/>
  <c r="G29" i="150"/>
  <c r="F29" i="150"/>
  <c r="D29" i="150"/>
  <c r="P28" i="150"/>
  <c r="G28" i="150"/>
  <c r="K28" i="150" s="1"/>
  <c r="P27" i="150"/>
  <c r="G27" i="150"/>
  <c r="F27" i="150"/>
  <c r="P26" i="150"/>
  <c r="G26" i="150"/>
  <c r="D26" i="150"/>
  <c r="O25" i="150"/>
  <c r="N25" i="150"/>
  <c r="M25" i="150"/>
  <c r="L25" i="150"/>
  <c r="J25" i="150"/>
  <c r="I25" i="150"/>
  <c r="H25" i="150"/>
  <c r="E25" i="150"/>
  <c r="D25" i="150"/>
  <c r="P24" i="150"/>
  <c r="H24" i="150"/>
  <c r="G24" i="150" s="1"/>
  <c r="F24" i="150"/>
  <c r="P23" i="150"/>
  <c r="G23" i="150"/>
  <c r="K23" i="150" s="1"/>
  <c r="P22" i="150"/>
  <c r="G22" i="150"/>
  <c r="D22" i="150"/>
  <c r="P21" i="150"/>
  <c r="G21" i="150"/>
  <c r="F21" i="150"/>
  <c r="D21" i="150"/>
  <c r="P20" i="150"/>
  <c r="J20" i="150"/>
  <c r="I20" i="150"/>
  <c r="H20" i="150"/>
  <c r="E20" i="150"/>
  <c r="P19" i="150"/>
  <c r="G19" i="150"/>
  <c r="F19" i="150"/>
  <c r="D19" i="150"/>
  <c r="K19" i="150" s="1"/>
  <c r="P18" i="150"/>
  <c r="G18" i="150"/>
  <c r="K18" i="150" s="1"/>
  <c r="P17" i="150"/>
  <c r="G17" i="150"/>
  <c r="K17" i="150" s="1"/>
  <c r="P16" i="150"/>
  <c r="G16" i="150"/>
  <c r="D16" i="150"/>
  <c r="P15" i="150"/>
  <c r="I15" i="150"/>
  <c r="H15" i="150"/>
  <c r="F15" i="150"/>
  <c r="D15" i="150"/>
  <c r="O14" i="150"/>
  <c r="N14" i="150"/>
  <c r="M14" i="150"/>
  <c r="L14" i="150"/>
  <c r="G14" i="150"/>
  <c r="D14" i="150"/>
  <c r="P13" i="150"/>
  <c r="G13" i="150"/>
  <c r="K13" i="150" s="1"/>
  <c r="P12" i="150"/>
  <c r="G12" i="150"/>
  <c r="D12" i="150"/>
  <c r="K12" i="150" s="1"/>
  <c r="O11" i="150"/>
  <c r="N11" i="150"/>
  <c r="M11" i="150"/>
  <c r="M98" i="150" s="1"/>
  <c r="L11" i="150"/>
  <c r="G11" i="150"/>
  <c r="K11" i="150" s="1"/>
  <c r="P10" i="150"/>
  <c r="G10" i="150"/>
  <c r="D10" i="150"/>
  <c r="P9" i="150"/>
  <c r="G9" i="150"/>
  <c r="V8" i="150"/>
  <c r="V6" i="150" s="1"/>
  <c r="J8" i="150" l="1"/>
  <c r="J6" i="150" s="1"/>
  <c r="K38" i="150"/>
  <c r="K47" i="150"/>
  <c r="K59" i="150"/>
  <c r="K74" i="150"/>
  <c r="K22" i="150"/>
  <c r="K57" i="150"/>
  <c r="K96" i="150"/>
  <c r="K21" i="150"/>
  <c r="K41" i="150"/>
  <c r="K53" i="150"/>
  <c r="K85" i="150"/>
  <c r="K88" i="150"/>
  <c r="K52" i="150"/>
  <c r="K51" i="150"/>
  <c r="S8" i="150"/>
  <c r="S6" i="150" s="1"/>
  <c r="K58" i="150"/>
  <c r="K65" i="150"/>
  <c r="P90" i="150"/>
  <c r="J98" i="150"/>
  <c r="K33" i="150"/>
  <c r="K72" i="150"/>
  <c r="W8" i="150"/>
  <c r="W6" i="150" s="1"/>
  <c r="N8" i="150"/>
  <c r="N6" i="150" s="1"/>
  <c r="O98" i="150"/>
  <c r="K29" i="150"/>
  <c r="G31" i="150"/>
  <c r="K39" i="150"/>
  <c r="K62" i="150"/>
  <c r="K84" i="150"/>
  <c r="K10" i="150"/>
  <c r="P14" i="150"/>
  <c r="G20" i="150"/>
  <c r="K20" i="150" s="1"/>
  <c r="P25" i="150"/>
  <c r="K27" i="150"/>
  <c r="K31" i="150"/>
  <c r="G32" i="150"/>
  <c r="K32" i="150" s="1"/>
  <c r="K35" i="150"/>
  <c r="P35" i="150"/>
  <c r="K48" i="150"/>
  <c r="P55" i="150"/>
  <c r="K71" i="150"/>
  <c r="K79" i="150"/>
  <c r="G90" i="150"/>
  <c r="K90" i="150" s="1"/>
  <c r="K97" i="150"/>
  <c r="K16" i="150"/>
  <c r="K24" i="150"/>
  <c r="K26" i="150"/>
  <c r="G30" i="150"/>
  <c r="K30" i="150" s="1"/>
  <c r="K46" i="150"/>
  <c r="P46" i="150"/>
  <c r="K55" i="150"/>
  <c r="K66" i="150"/>
  <c r="P69" i="150"/>
  <c r="K78" i="150"/>
  <c r="E98" i="150"/>
  <c r="K82" i="150"/>
  <c r="G91" i="150"/>
  <c r="K91" i="150" s="1"/>
  <c r="P97" i="150"/>
  <c r="K14" i="150"/>
  <c r="D8" i="150"/>
  <c r="Y93" i="150"/>
  <c r="K9" i="150"/>
  <c r="L98" i="150"/>
  <c r="L8" i="150"/>
  <c r="L6" i="150" s="1"/>
  <c r="P11" i="150"/>
  <c r="H98" i="150"/>
  <c r="G15" i="150"/>
  <c r="G98" i="150" s="1"/>
  <c r="H8" i="150"/>
  <c r="H6" i="150" s="1"/>
  <c r="F98" i="150"/>
  <c r="N98" i="150"/>
  <c r="U98" i="150"/>
  <c r="F8" i="150"/>
  <c r="F6" i="150" s="1"/>
  <c r="M8" i="150"/>
  <c r="M6" i="150" s="1"/>
  <c r="I8" i="150"/>
  <c r="I6" i="150" s="1"/>
  <c r="E8" i="150"/>
  <c r="E6" i="150" s="1"/>
  <c r="P31" i="150"/>
  <c r="K36" i="150"/>
  <c r="P48" i="150"/>
  <c r="P91" i="150"/>
  <c r="I98" i="150"/>
  <c r="Q98" i="150"/>
  <c r="O8" i="150"/>
  <c r="O6" i="150" s="1"/>
  <c r="D98" i="150"/>
  <c r="K15" i="150"/>
  <c r="G25" i="150"/>
  <c r="K25" i="150" s="1"/>
  <c r="P36" i="150"/>
  <c r="K54" i="150"/>
  <c r="K75" i="150"/>
  <c r="T98" i="150"/>
  <c r="T8" i="150"/>
  <c r="T6" i="150" s="1"/>
  <c r="X98" i="150"/>
  <c r="X8" i="150"/>
  <c r="X6" i="150" s="1"/>
  <c r="M143" i="61"/>
  <c r="M142" i="61"/>
  <c r="M141" i="61"/>
  <c r="M140" i="61"/>
  <c r="M139" i="61"/>
  <c r="M138" i="61"/>
  <c r="M137" i="61"/>
  <c r="M136" i="61"/>
  <c r="M135" i="61"/>
  <c r="M134" i="61"/>
  <c r="M133" i="61"/>
  <c r="M132" i="61"/>
  <c r="M131" i="61"/>
  <c r="M130" i="61"/>
  <c r="M129" i="61"/>
  <c r="M128" i="61"/>
  <c r="M127" i="61"/>
  <c r="M126" i="61"/>
  <c r="M125" i="61"/>
  <c r="M124" i="61"/>
  <c r="M123" i="61"/>
  <c r="M122" i="61"/>
  <c r="M121" i="61"/>
  <c r="M120" i="61"/>
  <c r="M119" i="61"/>
  <c r="M118" i="61"/>
  <c r="M117" i="61"/>
  <c r="M116" i="61"/>
  <c r="M115" i="61"/>
  <c r="M114" i="61"/>
  <c r="M113" i="61"/>
  <c r="M112" i="61"/>
  <c r="M111" i="61"/>
  <c r="M110" i="61"/>
  <c r="M109" i="61"/>
  <c r="M108" i="61"/>
  <c r="M107" i="61"/>
  <c r="M106" i="61"/>
  <c r="M105" i="61"/>
  <c r="M104" i="61"/>
  <c r="M103" i="61"/>
  <c r="M102" i="61"/>
  <c r="M101" i="61"/>
  <c r="M100" i="61"/>
  <c r="M99" i="61"/>
  <c r="M98" i="61"/>
  <c r="M97" i="61"/>
  <c r="M96" i="61"/>
  <c r="M95" i="61"/>
  <c r="M94" i="61"/>
  <c r="M93" i="61"/>
  <c r="M92" i="61"/>
  <c r="M91" i="61"/>
  <c r="M90" i="61"/>
  <c r="M89" i="61"/>
  <c r="M88" i="61"/>
  <c r="M87" i="61"/>
  <c r="M86" i="61"/>
  <c r="M85" i="61"/>
  <c r="M84" i="61"/>
  <c r="M83" i="61"/>
  <c r="M82" i="61"/>
  <c r="M81" i="61"/>
  <c r="M80" i="61"/>
  <c r="M79" i="61"/>
  <c r="M78" i="61"/>
  <c r="M77" i="61"/>
  <c r="M76" i="61"/>
  <c r="M75" i="61"/>
  <c r="M74" i="61"/>
  <c r="M73" i="61"/>
  <c r="M72" i="61"/>
  <c r="M71" i="61"/>
  <c r="M70" i="61"/>
  <c r="M69" i="61"/>
  <c r="M68" i="61"/>
  <c r="M67" i="61"/>
  <c r="M66" i="61"/>
  <c r="M65" i="61"/>
  <c r="M64" i="61"/>
  <c r="M63" i="61"/>
  <c r="M62" i="61"/>
  <c r="M61" i="61"/>
  <c r="M60" i="61"/>
  <c r="M59" i="61"/>
  <c r="M58" i="61"/>
  <c r="M57" i="61"/>
  <c r="M56" i="61"/>
  <c r="M55" i="61"/>
  <c r="M54" i="61"/>
  <c r="M53" i="61"/>
  <c r="M52" i="61"/>
  <c r="M51" i="61"/>
  <c r="M50" i="61"/>
  <c r="M49" i="61"/>
  <c r="M48" i="61"/>
  <c r="M47" i="61"/>
  <c r="M46" i="61"/>
  <c r="M45" i="61"/>
  <c r="M44" i="61"/>
  <c r="M43" i="61"/>
  <c r="M42" i="61"/>
  <c r="M41" i="61"/>
  <c r="M40" i="61"/>
  <c r="M39" i="61"/>
  <c r="M38" i="61"/>
  <c r="M37" i="61"/>
  <c r="M36" i="61"/>
  <c r="M35" i="61"/>
  <c r="M34" i="61"/>
  <c r="M33" i="61"/>
  <c r="M32" i="61"/>
  <c r="M31" i="61"/>
  <c r="M30" i="61"/>
  <c r="M29" i="61"/>
  <c r="M28" i="61"/>
  <c r="M27" i="61"/>
  <c r="M26" i="61"/>
  <c r="M25" i="61"/>
  <c r="M24" i="61"/>
  <c r="M23" i="61"/>
  <c r="M22" i="61"/>
  <c r="M21" i="61"/>
  <c r="M20" i="61"/>
  <c r="M19" i="61"/>
  <c r="M18" i="61"/>
  <c r="M17" i="61"/>
  <c r="M16" i="61"/>
  <c r="M15" i="61"/>
  <c r="M14" i="61"/>
  <c r="M13" i="61"/>
  <c r="M12" i="61"/>
  <c r="M11" i="61"/>
  <c r="G8" i="150" l="1"/>
  <c r="G6" i="150" s="1"/>
  <c r="P98" i="150"/>
  <c r="K98" i="150"/>
  <c r="P8" i="150"/>
  <c r="P6" i="150" s="1"/>
  <c r="Y8" i="150"/>
  <c r="Y6" i="150" s="1"/>
  <c r="Y98" i="150"/>
  <c r="K8" i="150"/>
  <c r="K6" i="150" s="1"/>
  <c r="D6" i="150"/>
  <c r="AA5" i="60"/>
  <c r="AA8" i="60"/>
  <c r="AA10" i="60"/>
  <c r="AA13" i="60"/>
  <c r="AA15" i="60"/>
  <c r="AA17" i="60"/>
  <c r="AA20" i="60"/>
  <c r="AA27" i="60"/>
  <c r="AA30" i="60"/>
  <c r="AA38" i="60"/>
  <c r="AA43" i="60"/>
  <c r="AA42" i="60" s="1"/>
  <c r="AA45" i="60"/>
  <c r="AA46" i="60"/>
  <c r="AA52" i="60"/>
  <c r="AA54" i="60"/>
  <c r="AA72" i="60"/>
  <c r="AA75" i="60"/>
  <c r="AA81" i="60"/>
  <c r="AA84" i="60"/>
  <c r="AA87" i="60"/>
  <c r="AA89" i="60"/>
  <c r="AG91" i="60"/>
  <c r="AG90" i="60"/>
  <c r="AF89" i="60"/>
  <c r="AE89" i="60"/>
  <c r="AD89" i="60"/>
  <c r="AC89" i="60"/>
  <c r="AB89" i="60"/>
  <c r="Z89" i="60"/>
  <c r="Y89" i="60"/>
  <c r="X89" i="60"/>
  <c r="W89" i="60"/>
  <c r="V89" i="60"/>
  <c r="U89" i="60"/>
  <c r="T89" i="60"/>
  <c r="S89" i="60"/>
  <c r="R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D89" i="60"/>
  <c r="T88" i="60"/>
  <c r="P88" i="60"/>
  <c r="K88" i="60"/>
  <c r="AG88" i="60" s="1"/>
  <c r="AF87" i="60"/>
  <c r="AE87" i="60"/>
  <c r="AD87" i="60"/>
  <c r="AC87" i="60"/>
  <c r="AB87" i="60"/>
  <c r="Z87" i="60"/>
  <c r="Y87" i="60"/>
  <c r="X87" i="60"/>
  <c r="W87" i="60"/>
  <c r="V87" i="60"/>
  <c r="U87" i="60"/>
  <c r="T87" i="60"/>
  <c r="S87" i="60"/>
  <c r="R87" i="60"/>
  <c r="Q87" i="60"/>
  <c r="P87" i="60"/>
  <c r="O87" i="60"/>
  <c r="N87" i="60"/>
  <c r="M87" i="60"/>
  <c r="L87" i="60"/>
  <c r="J87" i="60"/>
  <c r="I87" i="60"/>
  <c r="H87" i="60"/>
  <c r="G87" i="60"/>
  <c r="F87" i="60"/>
  <c r="E87" i="60"/>
  <c r="D87" i="60"/>
  <c r="P86" i="60"/>
  <c r="D86" i="60"/>
  <c r="P85" i="60"/>
  <c r="L85" i="60"/>
  <c r="L84" i="60" s="1"/>
  <c r="D85" i="60"/>
  <c r="AF84" i="60"/>
  <c r="AE84" i="60"/>
  <c r="AD84" i="60"/>
  <c r="AC84" i="60"/>
  <c r="AB84" i="60"/>
  <c r="Z84" i="60"/>
  <c r="Y84" i="60"/>
  <c r="X84" i="60"/>
  <c r="W84" i="60"/>
  <c r="V84" i="60"/>
  <c r="U84" i="60"/>
  <c r="T84" i="60"/>
  <c r="S84" i="60"/>
  <c r="R84" i="60"/>
  <c r="Q84" i="60"/>
  <c r="O84" i="60"/>
  <c r="N84" i="60"/>
  <c r="M84" i="60"/>
  <c r="K84" i="60"/>
  <c r="J84" i="60"/>
  <c r="I84" i="60"/>
  <c r="H84" i="60"/>
  <c r="G84" i="60"/>
  <c r="F84" i="60"/>
  <c r="E84" i="60"/>
  <c r="M83" i="60"/>
  <c r="AG83" i="60" s="1"/>
  <c r="K82" i="60"/>
  <c r="D82" i="60"/>
  <c r="AF81" i="60"/>
  <c r="AE81" i="60"/>
  <c r="AD81" i="60"/>
  <c r="AC81" i="60"/>
  <c r="AB81" i="60"/>
  <c r="Z81" i="60"/>
  <c r="Y81" i="60"/>
  <c r="X81" i="60"/>
  <c r="W81" i="60"/>
  <c r="V81" i="60"/>
  <c r="U81" i="60"/>
  <c r="T81" i="60"/>
  <c r="S81" i="60"/>
  <c r="R81" i="60"/>
  <c r="Q81" i="60"/>
  <c r="P81" i="60"/>
  <c r="O81" i="60"/>
  <c r="N81" i="60"/>
  <c r="L81" i="60"/>
  <c r="K81" i="60"/>
  <c r="J81" i="60"/>
  <c r="I81" i="60"/>
  <c r="H81" i="60"/>
  <c r="G81" i="60"/>
  <c r="F81" i="60"/>
  <c r="E81" i="60"/>
  <c r="D80" i="60"/>
  <c r="AG80" i="60" s="1"/>
  <c r="R79" i="60"/>
  <c r="P79" i="60"/>
  <c r="O79" i="60"/>
  <c r="E79" i="60"/>
  <c r="D79" i="60"/>
  <c r="X78" i="60"/>
  <c r="W78" i="60"/>
  <c r="T78" i="60"/>
  <c r="R78" i="60"/>
  <c r="P78" i="60"/>
  <c r="O78" i="60"/>
  <c r="N78" i="60"/>
  <c r="J78" i="60"/>
  <c r="J75" i="60" s="1"/>
  <c r="E78" i="60"/>
  <c r="D78" i="60"/>
  <c r="X77" i="60"/>
  <c r="W77" i="60"/>
  <c r="T77" i="60"/>
  <c r="R77" i="60"/>
  <c r="P77" i="60"/>
  <c r="K77" i="60"/>
  <c r="E77" i="60"/>
  <c r="D77" i="60"/>
  <c r="W76" i="60"/>
  <c r="T76" i="60"/>
  <c r="R76" i="60"/>
  <c r="N76" i="60"/>
  <c r="L76" i="60"/>
  <c r="L75" i="60" s="1"/>
  <c r="K76" i="60"/>
  <c r="K75" i="60" s="1"/>
  <c r="E76" i="60"/>
  <c r="D76" i="60"/>
  <c r="AF75" i="60"/>
  <c r="AE75" i="60"/>
  <c r="AD75" i="60"/>
  <c r="AC75" i="60"/>
  <c r="AB75" i="60"/>
  <c r="Z75" i="60"/>
  <c r="Y75" i="60"/>
  <c r="V75" i="60"/>
  <c r="U75" i="60"/>
  <c r="S75" i="60"/>
  <c r="Q75" i="60"/>
  <c r="M75" i="60"/>
  <c r="I75" i="60"/>
  <c r="H75" i="60"/>
  <c r="G75" i="60"/>
  <c r="F75" i="60"/>
  <c r="D74" i="60"/>
  <c r="D72" i="60" s="1"/>
  <c r="L73" i="60"/>
  <c r="L72" i="60" s="1"/>
  <c r="D73" i="60"/>
  <c r="AF72" i="60"/>
  <c r="AE72" i="60"/>
  <c r="AD72" i="60"/>
  <c r="AC72" i="60"/>
  <c r="AB72" i="60"/>
  <c r="Z72" i="60"/>
  <c r="Y72" i="60"/>
  <c r="X72" i="60"/>
  <c r="W72" i="60"/>
  <c r="V72" i="60"/>
  <c r="U72" i="60"/>
  <c r="T72" i="60"/>
  <c r="S72" i="60"/>
  <c r="R72" i="60"/>
  <c r="Q72" i="60"/>
  <c r="P72" i="60"/>
  <c r="O72" i="60"/>
  <c r="N72" i="60"/>
  <c r="M72" i="60"/>
  <c r="K72" i="60"/>
  <c r="J72" i="60"/>
  <c r="I72" i="60"/>
  <c r="H72" i="60"/>
  <c r="G72" i="60"/>
  <c r="F72" i="60"/>
  <c r="E72" i="60"/>
  <c r="G71" i="60"/>
  <c r="AG71" i="60" s="1"/>
  <c r="AE70" i="60"/>
  <c r="W70" i="60"/>
  <c r="V70" i="60"/>
  <c r="T70" i="60"/>
  <c r="R70" i="60"/>
  <c r="P70" i="60"/>
  <c r="E70" i="60"/>
  <c r="D70" i="60"/>
  <c r="AE69" i="60"/>
  <c r="G69" i="60"/>
  <c r="G68" i="60"/>
  <c r="AG68" i="60" s="1"/>
  <c r="R67" i="60"/>
  <c r="G67" i="60"/>
  <c r="G66" i="60"/>
  <c r="AG66" i="60" s="1"/>
  <c r="G65" i="60"/>
  <c r="AG65" i="60" s="1"/>
  <c r="G64" i="60"/>
  <c r="AG64" i="60" s="1"/>
  <c r="AE63" i="60"/>
  <c r="W63" i="60"/>
  <c r="V63" i="60"/>
  <c r="U63" i="60"/>
  <c r="S63" i="60"/>
  <c r="R63" i="60"/>
  <c r="G63" i="60"/>
  <c r="E63" i="60"/>
  <c r="D63" i="60"/>
  <c r="AE62" i="60"/>
  <c r="V62" i="60"/>
  <c r="G62" i="60"/>
  <c r="E62" i="60"/>
  <c r="D62" i="60"/>
  <c r="AF61" i="60"/>
  <c r="AE61" i="60"/>
  <c r="V61" i="60"/>
  <c r="G61" i="60"/>
  <c r="E61" i="60"/>
  <c r="D61" i="60"/>
  <c r="AF60" i="60"/>
  <c r="AE60" i="60"/>
  <c r="Y60" i="60"/>
  <c r="V60" i="60"/>
  <c r="S60" i="60"/>
  <c r="R60" i="60"/>
  <c r="P60" i="60"/>
  <c r="G60" i="60"/>
  <c r="E60" i="60"/>
  <c r="D60" i="60"/>
  <c r="AF59" i="60"/>
  <c r="AE59" i="60"/>
  <c r="Y59" i="60"/>
  <c r="W59" i="60"/>
  <c r="V59" i="60"/>
  <c r="T59" i="60"/>
  <c r="S59" i="60"/>
  <c r="R59" i="60"/>
  <c r="P59" i="60"/>
  <c r="G59" i="60"/>
  <c r="E59" i="60"/>
  <c r="D59" i="60"/>
  <c r="AF58" i="60"/>
  <c r="AE58" i="60"/>
  <c r="Y58" i="60"/>
  <c r="W58" i="60"/>
  <c r="V58" i="60"/>
  <c r="U58" i="60"/>
  <c r="T58" i="60"/>
  <c r="S58" i="60"/>
  <c r="R58" i="60"/>
  <c r="P58" i="60"/>
  <c r="G58" i="60"/>
  <c r="E58" i="60"/>
  <c r="D58" i="60"/>
  <c r="AE57" i="60"/>
  <c r="Y57" i="60"/>
  <c r="W57" i="60"/>
  <c r="V57" i="60"/>
  <c r="T57" i="60"/>
  <c r="S57" i="60"/>
  <c r="R57" i="60"/>
  <c r="P57" i="60"/>
  <c r="G57" i="60"/>
  <c r="E57" i="60"/>
  <c r="D57" i="60"/>
  <c r="AE56" i="60"/>
  <c r="Y56" i="60"/>
  <c r="W56" i="60"/>
  <c r="V56" i="60"/>
  <c r="T56" i="60"/>
  <c r="S56" i="60"/>
  <c r="R56" i="60"/>
  <c r="P56" i="60"/>
  <c r="G56" i="60"/>
  <c r="E56" i="60"/>
  <c r="D56" i="60"/>
  <c r="AF55" i="60"/>
  <c r="AE55" i="60"/>
  <c r="Y55" i="60"/>
  <c r="W55" i="60"/>
  <c r="V55" i="60"/>
  <c r="U55" i="60"/>
  <c r="T55" i="60"/>
  <c r="S55" i="60"/>
  <c r="R55" i="60"/>
  <c r="P55" i="60"/>
  <c r="G55" i="60"/>
  <c r="E55" i="60"/>
  <c r="D55" i="60"/>
  <c r="AD54" i="60"/>
  <c r="AC54" i="60"/>
  <c r="AB54" i="60"/>
  <c r="Z54" i="60"/>
  <c r="X54" i="60"/>
  <c r="Q54" i="60"/>
  <c r="O54" i="60"/>
  <c r="N54" i="60"/>
  <c r="M54" i="60"/>
  <c r="L54" i="60"/>
  <c r="K54" i="60"/>
  <c r="J54" i="60"/>
  <c r="I54" i="60"/>
  <c r="H54" i="60"/>
  <c r="F54" i="60"/>
  <c r="AG53" i="60"/>
  <c r="AF52" i="60"/>
  <c r="AE52" i="60"/>
  <c r="AD52" i="60"/>
  <c r="AC52" i="60"/>
  <c r="AB52" i="60"/>
  <c r="Z52" i="60"/>
  <c r="Y52" i="60"/>
  <c r="X52" i="60"/>
  <c r="W52" i="60"/>
  <c r="V52" i="60"/>
  <c r="U52" i="60"/>
  <c r="T52" i="60"/>
  <c r="S52" i="60"/>
  <c r="R52" i="60"/>
  <c r="Q52" i="60"/>
  <c r="P52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AG51" i="60"/>
  <c r="AG50" i="60"/>
  <c r="G49" i="60"/>
  <c r="AG49" i="60" s="1"/>
  <c r="K48" i="60"/>
  <c r="AG48" i="60" s="1"/>
  <c r="K47" i="60"/>
  <c r="AG47" i="60" s="1"/>
  <c r="AF46" i="60"/>
  <c r="AE46" i="60"/>
  <c r="AD46" i="60"/>
  <c r="AC46" i="60"/>
  <c r="AB46" i="60"/>
  <c r="Z46" i="60"/>
  <c r="Y46" i="60"/>
  <c r="X46" i="60"/>
  <c r="W46" i="60"/>
  <c r="V46" i="60"/>
  <c r="U46" i="60"/>
  <c r="T46" i="60"/>
  <c r="S46" i="60"/>
  <c r="R46" i="60"/>
  <c r="Q46" i="60"/>
  <c r="P46" i="60"/>
  <c r="O46" i="60"/>
  <c r="N46" i="60"/>
  <c r="M46" i="60"/>
  <c r="L46" i="60"/>
  <c r="J46" i="60"/>
  <c r="I46" i="60"/>
  <c r="H46" i="60"/>
  <c r="G46" i="60"/>
  <c r="F46" i="60"/>
  <c r="E46" i="60"/>
  <c r="D46" i="60"/>
  <c r="AB45" i="60"/>
  <c r="Z45" i="60"/>
  <c r="Y45" i="60"/>
  <c r="T45" i="60"/>
  <c r="M45" i="60"/>
  <c r="AG44" i="60"/>
  <c r="AC43" i="60"/>
  <c r="AC42" i="60" s="1"/>
  <c r="AB43" i="60"/>
  <c r="Z43" i="60"/>
  <c r="Y43" i="60"/>
  <c r="Y42" i="60" s="1"/>
  <c r="T43" i="60"/>
  <c r="S43" i="60"/>
  <c r="S42" i="60" s="1"/>
  <c r="M43" i="60"/>
  <c r="M42" i="60" s="1"/>
  <c r="K43" i="60"/>
  <c r="AF42" i="60"/>
  <c r="AE42" i="60"/>
  <c r="AD42" i="60"/>
  <c r="X42" i="60"/>
  <c r="W42" i="60"/>
  <c r="V42" i="60"/>
  <c r="U42" i="60"/>
  <c r="R42" i="60"/>
  <c r="Q42" i="60"/>
  <c r="P42" i="60"/>
  <c r="O42" i="60"/>
  <c r="N42" i="60"/>
  <c r="L42" i="60"/>
  <c r="K42" i="60"/>
  <c r="J42" i="60"/>
  <c r="I42" i="60"/>
  <c r="H42" i="60"/>
  <c r="G42" i="60"/>
  <c r="F42" i="60"/>
  <c r="E42" i="60"/>
  <c r="D42" i="60"/>
  <c r="AD41" i="60"/>
  <c r="K41" i="60"/>
  <c r="AD40" i="60"/>
  <c r="K40" i="60"/>
  <c r="E40" i="60"/>
  <c r="E38" i="60" s="1"/>
  <c r="AD39" i="60"/>
  <c r="P39" i="60"/>
  <c r="P38" i="60" s="1"/>
  <c r="K39" i="60"/>
  <c r="AF38" i="60"/>
  <c r="AE38" i="60"/>
  <c r="AC38" i="60"/>
  <c r="AB38" i="60"/>
  <c r="Z38" i="60"/>
  <c r="Y38" i="60"/>
  <c r="X38" i="60"/>
  <c r="W38" i="60"/>
  <c r="V38" i="60"/>
  <c r="U38" i="60"/>
  <c r="T38" i="60"/>
  <c r="S38" i="60"/>
  <c r="R38" i="60"/>
  <c r="Q38" i="60"/>
  <c r="O38" i="60"/>
  <c r="N38" i="60"/>
  <c r="M38" i="60"/>
  <c r="L38" i="60"/>
  <c r="J38" i="60"/>
  <c r="I38" i="60"/>
  <c r="H38" i="60"/>
  <c r="G38" i="60"/>
  <c r="F38" i="60"/>
  <c r="D38" i="60"/>
  <c r="AG37" i="60"/>
  <c r="AG36" i="60"/>
  <c r="AG35" i="60"/>
  <c r="AG34" i="60"/>
  <c r="K33" i="60"/>
  <c r="H33" i="60"/>
  <c r="D33" i="60"/>
  <c r="AG32" i="60"/>
  <c r="X31" i="60"/>
  <c r="X30" i="60" s="1"/>
  <c r="T31" i="60"/>
  <c r="T30" i="60" s="1"/>
  <c r="H31" i="60"/>
  <c r="H30" i="60" s="1"/>
  <c r="D31" i="60"/>
  <c r="AF30" i="60"/>
  <c r="AE30" i="60"/>
  <c r="AD30" i="60"/>
  <c r="AC30" i="60"/>
  <c r="AB30" i="60"/>
  <c r="Z30" i="60"/>
  <c r="Y30" i="60"/>
  <c r="W30" i="60"/>
  <c r="V30" i="60"/>
  <c r="U30" i="60"/>
  <c r="S30" i="60"/>
  <c r="R30" i="60"/>
  <c r="Q30" i="60"/>
  <c r="P30" i="60"/>
  <c r="O30" i="60"/>
  <c r="N30" i="60"/>
  <c r="M30" i="60"/>
  <c r="L30" i="60"/>
  <c r="K30" i="60"/>
  <c r="J30" i="60"/>
  <c r="I30" i="60"/>
  <c r="G30" i="60"/>
  <c r="F30" i="60"/>
  <c r="E30" i="60"/>
  <c r="Q29" i="60"/>
  <c r="K29" i="60"/>
  <c r="D29" i="60"/>
  <c r="Q28" i="60"/>
  <c r="Q27" i="60" s="1"/>
  <c r="K28" i="60"/>
  <c r="D28" i="60"/>
  <c r="AF27" i="60"/>
  <c r="AE27" i="60"/>
  <c r="AD27" i="60"/>
  <c r="AC27" i="60"/>
  <c r="AB27" i="60"/>
  <c r="Z27" i="60"/>
  <c r="Y27" i="60"/>
  <c r="X27" i="60"/>
  <c r="W27" i="60"/>
  <c r="V27" i="60"/>
  <c r="U27" i="60"/>
  <c r="T27" i="60"/>
  <c r="S27" i="60"/>
  <c r="R27" i="60"/>
  <c r="P27" i="60"/>
  <c r="O27" i="60"/>
  <c r="N27" i="60"/>
  <c r="M27" i="60"/>
  <c r="L27" i="60"/>
  <c r="J27" i="60"/>
  <c r="I27" i="60"/>
  <c r="H27" i="60"/>
  <c r="G27" i="60"/>
  <c r="F27" i="60"/>
  <c r="E27" i="60"/>
  <c r="P26" i="60"/>
  <c r="E26" i="60"/>
  <c r="D26" i="60"/>
  <c r="T25" i="60"/>
  <c r="R25" i="60"/>
  <c r="AG25" i="60" s="1"/>
  <c r="L24" i="60"/>
  <c r="K24" i="60"/>
  <c r="AG24" i="60" s="1"/>
  <c r="T23" i="60"/>
  <c r="P23" i="60"/>
  <c r="E23" i="60"/>
  <c r="D23" i="60"/>
  <c r="AG22" i="60"/>
  <c r="T21" i="60"/>
  <c r="R21" i="60"/>
  <c r="P21" i="60"/>
  <c r="L21" i="60"/>
  <c r="K21" i="60"/>
  <c r="H21" i="60"/>
  <c r="H20" i="60" s="1"/>
  <c r="E21" i="60"/>
  <c r="D21" i="60"/>
  <c r="AF20" i="60"/>
  <c r="AE20" i="60"/>
  <c r="AD20" i="60"/>
  <c r="AC20" i="60"/>
  <c r="AB20" i="60"/>
  <c r="Z20" i="60"/>
  <c r="Y20" i="60"/>
  <c r="X20" i="60"/>
  <c r="W20" i="60"/>
  <c r="V20" i="60"/>
  <c r="U20" i="60"/>
  <c r="S20" i="60"/>
  <c r="Q20" i="60"/>
  <c r="O20" i="60"/>
  <c r="N20" i="60"/>
  <c r="M20" i="60"/>
  <c r="J20" i="60"/>
  <c r="I20" i="60"/>
  <c r="G20" i="60"/>
  <c r="F20" i="60"/>
  <c r="AG19" i="60"/>
  <c r="T18" i="60"/>
  <c r="T17" i="60" s="1"/>
  <c r="AF17" i="60"/>
  <c r="AE17" i="60"/>
  <c r="AD17" i="60"/>
  <c r="AC17" i="60"/>
  <c r="AB17" i="60"/>
  <c r="Z17" i="60"/>
  <c r="Y17" i="60"/>
  <c r="X17" i="60"/>
  <c r="W17" i="60"/>
  <c r="V17" i="60"/>
  <c r="U17" i="60"/>
  <c r="S17" i="60"/>
  <c r="R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I16" i="60"/>
  <c r="AG16" i="60" s="1"/>
  <c r="AF15" i="60"/>
  <c r="AE15" i="60"/>
  <c r="AD15" i="60"/>
  <c r="AC15" i="60"/>
  <c r="AB15" i="60"/>
  <c r="Z15" i="60"/>
  <c r="Y15" i="60"/>
  <c r="X15" i="60"/>
  <c r="W15" i="60"/>
  <c r="V15" i="60"/>
  <c r="U15" i="60"/>
  <c r="T15" i="60"/>
  <c r="S15" i="60"/>
  <c r="R15" i="60"/>
  <c r="Q15" i="60"/>
  <c r="P15" i="60"/>
  <c r="O15" i="60"/>
  <c r="N15" i="60"/>
  <c r="M15" i="60"/>
  <c r="L15" i="60"/>
  <c r="K15" i="60"/>
  <c r="J15" i="60"/>
  <c r="H15" i="60"/>
  <c r="G15" i="60"/>
  <c r="F15" i="60"/>
  <c r="E15" i="60"/>
  <c r="D15" i="60"/>
  <c r="AG14" i="60"/>
  <c r="AG13" i="60" s="1"/>
  <c r="AF13" i="60"/>
  <c r="AE13" i="60"/>
  <c r="AD13" i="60"/>
  <c r="AC13" i="60"/>
  <c r="AB13" i="60"/>
  <c r="Z13" i="60"/>
  <c r="Y13" i="60"/>
  <c r="X13" i="60"/>
  <c r="W13" i="60"/>
  <c r="V13" i="60"/>
  <c r="U13" i="60"/>
  <c r="T13" i="60"/>
  <c r="S13" i="60"/>
  <c r="R13" i="60"/>
  <c r="Q13" i="60"/>
  <c r="P13" i="60"/>
  <c r="O13" i="60"/>
  <c r="N13" i="60"/>
  <c r="M13" i="60"/>
  <c r="L13" i="60"/>
  <c r="K13" i="60"/>
  <c r="J13" i="60"/>
  <c r="I13" i="60"/>
  <c r="H13" i="60"/>
  <c r="G13" i="60"/>
  <c r="F13" i="60"/>
  <c r="E13" i="60"/>
  <c r="D13" i="60"/>
  <c r="AG12" i="60"/>
  <c r="K11" i="60"/>
  <c r="AG11" i="60" s="1"/>
  <c r="AF10" i="60"/>
  <c r="AE10" i="60"/>
  <c r="AD10" i="60"/>
  <c r="AC10" i="60"/>
  <c r="AB10" i="60"/>
  <c r="Z10" i="60"/>
  <c r="Y10" i="60"/>
  <c r="X10" i="60"/>
  <c r="W10" i="60"/>
  <c r="V10" i="60"/>
  <c r="U10" i="60"/>
  <c r="T10" i="60"/>
  <c r="S10" i="60"/>
  <c r="R10" i="60"/>
  <c r="Q10" i="60"/>
  <c r="P10" i="60"/>
  <c r="O10" i="60"/>
  <c r="N10" i="60"/>
  <c r="M10" i="60"/>
  <c r="L10" i="60"/>
  <c r="J10" i="60"/>
  <c r="I10" i="60"/>
  <c r="H10" i="60"/>
  <c r="G10" i="60"/>
  <c r="F10" i="60"/>
  <c r="E10" i="60"/>
  <c r="D10" i="60"/>
  <c r="P9" i="60"/>
  <c r="P8" i="60" s="1"/>
  <c r="K9" i="60"/>
  <c r="K8" i="60" s="1"/>
  <c r="AF8" i="60"/>
  <c r="AE8" i="60"/>
  <c r="AD8" i="60"/>
  <c r="AC8" i="60"/>
  <c r="AB8" i="60"/>
  <c r="Z8" i="60"/>
  <c r="Y8" i="60"/>
  <c r="X8" i="60"/>
  <c r="W8" i="60"/>
  <c r="V8" i="60"/>
  <c r="U8" i="60"/>
  <c r="T8" i="60"/>
  <c r="S8" i="60"/>
  <c r="R8" i="60"/>
  <c r="Q8" i="60"/>
  <c r="O8" i="60"/>
  <c r="N8" i="60"/>
  <c r="M8" i="60"/>
  <c r="L8" i="60"/>
  <c r="J8" i="60"/>
  <c r="I8" i="60"/>
  <c r="H8" i="60"/>
  <c r="G8" i="60"/>
  <c r="F8" i="60"/>
  <c r="E8" i="60"/>
  <c r="D8" i="60"/>
  <c r="AD7" i="60"/>
  <c r="P7" i="60"/>
  <c r="P5" i="60" s="1"/>
  <c r="K7" i="60"/>
  <c r="K5" i="60" s="1"/>
  <c r="AD6" i="60"/>
  <c r="AG6" i="60" s="1"/>
  <c r="AF5" i="60"/>
  <c r="AE5" i="60"/>
  <c r="AC5" i="60"/>
  <c r="AB5" i="60"/>
  <c r="Z5" i="60"/>
  <c r="Y5" i="60"/>
  <c r="X5" i="60"/>
  <c r="W5" i="60"/>
  <c r="V5" i="60"/>
  <c r="U5" i="60"/>
  <c r="T5" i="60"/>
  <c r="S5" i="60"/>
  <c r="R5" i="60"/>
  <c r="Q5" i="60"/>
  <c r="O5" i="60"/>
  <c r="N5" i="60"/>
  <c r="M5" i="60"/>
  <c r="L5" i="60"/>
  <c r="J5" i="60"/>
  <c r="I5" i="60"/>
  <c r="H5" i="60"/>
  <c r="G5" i="60"/>
  <c r="F5" i="60"/>
  <c r="E5" i="60"/>
  <c r="D5" i="60"/>
  <c r="L20" i="60" l="1"/>
  <c r="I15" i="60"/>
  <c r="AG89" i="60"/>
  <c r="T20" i="60"/>
  <c r="W75" i="60"/>
  <c r="Y54" i="60"/>
  <c r="Y92" i="60" s="1"/>
  <c r="AB42" i="60"/>
  <c r="T42" i="60"/>
  <c r="AG26" i="60"/>
  <c r="M81" i="60"/>
  <c r="M92" i="60" s="1"/>
  <c r="AG67" i="60"/>
  <c r="AG73" i="60"/>
  <c r="N75" i="60"/>
  <c r="N92" i="60" s="1"/>
  <c r="R20" i="60"/>
  <c r="S54" i="60"/>
  <c r="S92" i="60" s="1"/>
  <c r="U54" i="60"/>
  <c r="U92" i="60" s="1"/>
  <c r="T75" i="60"/>
  <c r="AD5" i="60"/>
  <c r="D30" i="60"/>
  <c r="AA92" i="60"/>
  <c r="E54" i="60"/>
  <c r="AG87" i="60"/>
  <c r="K20" i="60"/>
  <c r="Z42" i="60"/>
  <c r="AG52" i="60"/>
  <c r="AG70" i="60"/>
  <c r="P75" i="60"/>
  <c r="AG85" i="60"/>
  <c r="AG40" i="60"/>
  <c r="O75" i="60"/>
  <c r="O92" i="60" s="1"/>
  <c r="AG61" i="60"/>
  <c r="AG33" i="60"/>
  <c r="K38" i="60"/>
  <c r="AG41" i="60"/>
  <c r="AG43" i="60"/>
  <c r="AG82" i="60"/>
  <c r="AG81" i="60" s="1"/>
  <c r="AG9" i="60"/>
  <c r="AG8" i="60" s="1"/>
  <c r="K10" i="60"/>
  <c r="K27" i="60"/>
  <c r="X75" i="60"/>
  <c r="X92" i="60" s="1"/>
  <c r="P84" i="60"/>
  <c r="K87" i="60"/>
  <c r="AE54" i="60"/>
  <c r="AE92" i="60" s="1"/>
  <c r="E20" i="60"/>
  <c r="AG29" i="60"/>
  <c r="AG57" i="60"/>
  <c r="AG63" i="60"/>
  <c r="H92" i="60"/>
  <c r="Q92" i="60"/>
  <c r="P20" i="60"/>
  <c r="AG58" i="60"/>
  <c r="R75" i="60"/>
  <c r="I92" i="60"/>
  <c r="Z92" i="60"/>
  <c r="AC92" i="60"/>
  <c r="AF54" i="60"/>
  <c r="AF92" i="60" s="1"/>
  <c r="AG62" i="60"/>
  <c r="AG69" i="60"/>
  <c r="AB92" i="60"/>
  <c r="AD38" i="60"/>
  <c r="AG56" i="60"/>
  <c r="T54" i="60"/>
  <c r="G54" i="60"/>
  <c r="G92" i="60" s="1"/>
  <c r="AG76" i="60"/>
  <c r="D75" i="60"/>
  <c r="AG78" i="60"/>
  <c r="J92" i="60"/>
  <c r="AG21" i="60"/>
  <c r="D27" i="60"/>
  <c r="AG45" i="60"/>
  <c r="E75" i="60"/>
  <c r="AG86" i="60"/>
  <c r="AG23" i="60"/>
  <c r="K46" i="60"/>
  <c r="D54" i="60"/>
  <c r="V54" i="60"/>
  <c r="V92" i="60" s="1"/>
  <c r="P54" i="60"/>
  <c r="AG59" i="60"/>
  <c r="W54" i="60"/>
  <c r="AG31" i="60"/>
  <c r="F92" i="60"/>
  <c r="R54" i="60"/>
  <c r="AG79" i="60"/>
  <c r="L92" i="60"/>
  <c r="AG10" i="60"/>
  <c r="AG15" i="60"/>
  <c r="AG46" i="60"/>
  <c r="AG18" i="60"/>
  <c r="AG28" i="60"/>
  <c r="D81" i="60"/>
  <c r="D84" i="60"/>
  <c r="AG60" i="60"/>
  <c r="AG7" i="60"/>
  <c r="AG74" i="60"/>
  <c r="AG39" i="60"/>
  <c r="AG77" i="60"/>
  <c r="D20" i="60"/>
  <c r="AG55" i="60"/>
  <c r="F97" i="149"/>
  <c r="E97" i="149"/>
  <c r="D97" i="149"/>
  <c r="R92" i="60" l="1"/>
  <c r="AG20" i="60"/>
  <c r="AD92" i="60"/>
  <c r="W92" i="60"/>
  <c r="T92" i="60"/>
  <c r="K92" i="60"/>
  <c r="E92" i="60"/>
  <c r="AG42" i="60"/>
  <c r="AG84" i="60"/>
  <c r="AG30" i="60"/>
  <c r="P92" i="60"/>
  <c r="AG75" i="60"/>
  <c r="D92" i="60"/>
  <c r="AG54" i="60"/>
  <c r="AG5" i="60"/>
  <c r="AG38" i="60"/>
  <c r="AG72" i="60"/>
  <c r="AG27" i="60"/>
  <c r="AG17" i="60"/>
  <c r="E25" i="148"/>
  <c r="D25" i="148"/>
  <c r="F25" i="148" s="1"/>
  <c r="E24" i="148"/>
  <c r="F24" i="148" s="1"/>
  <c r="E23" i="148"/>
  <c r="F23" i="148" s="1"/>
  <c r="E22" i="148"/>
  <c r="F22" i="148" s="1"/>
  <c r="E21" i="148"/>
  <c r="F21" i="148" s="1"/>
  <c r="E20" i="148"/>
  <c r="F20" i="148" s="1"/>
  <c r="E19" i="148"/>
  <c r="F19" i="148" s="1"/>
  <c r="E18" i="148"/>
  <c r="F18" i="148" s="1"/>
  <c r="E17" i="148"/>
  <c r="F17" i="148" s="1"/>
  <c r="E16" i="148"/>
  <c r="F16" i="148" s="1"/>
  <c r="E15" i="148"/>
  <c r="F15" i="148" s="1"/>
  <c r="F14" i="148"/>
  <c r="E14" i="148"/>
  <c r="E13" i="148"/>
  <c r="F13" i="148" s="1"/>
  <c r="E12" i="148"/>
  <c r="D12" i="148"/>
  <c r="F12" i="148" s="1"/>
  <c r="E11" i="148"/>
  <c r="D11" i="148"/>
  <c r="D6" i="148" s="1"/>
  <c r="E10" i="148"/>
  <c r="F10" i="148" s="1"/>
  <c r="F9" i="148"/>
  <c r="E9" i="148"/>
  <c r="E8" i="148"/>
  <c r="F8" i="148" s="1"/>
  <c r="E7" i="148"/>
  <c r="F7" i="148" s="1"/>
  <c r="F5" i="148"/>
  <c r="D26" i="147"/>
  <c r="D25" i="147"/>
  <c r="D24" i="147"/>
  <c r="D23" i="147"/>
  <c r="D22" i="147"/>
  <c r="D21" i="147"/>
  <c r="D20" i="147"/>
  <c r="D19" i="147"/>
  <c r="D18" i="147"/>
  <c r="D16" i="147"/>
  <c r="D15" i="147"/>
  <c r="D14" i="147"/>
  <c r="D13" i="147"/>
  <c r="D12" i="147"/>
  <c r="D11" i="147"/>
  <c r="D10" i="147"/>
  <c r="D9" i="147"/>
  <c r="D8" i="147"/>
  <c r="D7" i="147"/>
  <c r="G93" i="145"/>
  <c r="G92" i="145"/>
  <c r="G91" i="145"/>
  <c r="G90" i="145"/>
  <c r="G89" i="145"/>
  <c r="G88" i="145"/>
  <c r="G87" i="145"/>
  <c r="G86" i="145"/>
  <c r="G85" i="145"/>
  <c r="G84" i="145"/>
  <c r="G83" i="145"/>
  <c r="G82" i="145"/>
  <c r="G81" i="145"/>
  <c r="G80" i="145"/>
  <c r="G79" i="145"/>
  <c r="G78" i="145"/>
  <c r="G77" i="145"/>
  <c r="G76" i="145"/>
  <c r="G75" i="145"/>
  <c r="G74" i="145"/>
  <c r="G73" i="145"/>
  <c r="G72" i="145"/>
  <c r="G71" i="145"/>
  <c r="G70" i="145"/>
  <c r="G69" i="145"/>
  <c r="G68" i="145"/>
  <c r="G67" i="145"/>
  <c r="G66" i="145"/>
  <c r="G65" i="145"/>
  <c r="G64" i="145"/>
  <c r="G63" i="145"/>
  <c r="G62" i="145"/>
  <c r="G61" i="145"/>
  <c r="G60" i="145"/>
  <c r="G59" i="145"/>
  <c r="G58" i="145"/>
  <c r="G57" i="145"/>
  <c r="G56" i="145"/>
  <c r="G55" i="145"/>
  <c r="G54" i="145"/>
  <c r="G53" i="145"/>
  <c r="G52" i="145"/>
  <c r="G51" i="145"/>
  <c r="N50" i="145"/>
  <c r="G50" i="145"/>
  <c r="G49" i="145"/>
  <c r="G48" i="145"/>
  <c r="G47" i="145"/>
  <c r="G46" i="145"/>
  <c r="G45" i="145"/>
  <c r="G44" i="145"/>
  <c r="G43" i="145"/>
  <c r="G42" i="145"/>
  <c r="G41" i="145"/>
  <c r="G40" i="145"/>
  <c r="G39" i="145"/>
  <c r="G38" i="145"/>
  <c r="G37" i="145"/>
  <c r="G36" i="145"/>
  <c r="G35" i="145"/>
  <c r="G34" i="145"/>
  <c r="G33" i="145"/>
  <c r="G32" i="145"/>
  <c r="G31" i="145"/>
  <c r="G30" i="145"/>
  <c r="G29" i="145"/>
  <c r="G28" i="145"/>
  <c r="G27" i="145"/>
  <c r="G26" i="145"/>
  <c r="G25" i="145"/>
  <c r="G24" i="145"/>
  <c r="G23" i="145"/>
  <c r="G22" i="145"/>
  <c r="D7" i="145"/>
  <c r="D5" i="145" s="1"/>
  <c r="G20" i="145"/>
  <c r="G19" i="145"/>
  <c r="G18" i="145"/>
  <c r="G17" i="145"/>
  <c r="G16" i="145"/>
  <c r="G15" i="145"/>
  <c r="G14" i="145"/>
  <c r="G13" i="145"/>
  <c r="G12" i="145"/>
  <c r="G11" i="145"/>
  <c r="G10" i="145"/>
  <c r="G9" i="145"/>
  <c r="F94" i="145"/>
  <c r="E94" i="145"/>
  <c r="G8" i="145"/>
  <c r="E7" i="145"/>
  <c r="E5" i="145" s="1"/>
  <c r="L56" i="144"/>
  <c r="H56" i="144"/>
  <c r="L55" i="144"/>
  <c r="H55" i="144"/>
  <c r="L54" i="144"/>
  <c r="H54" i="144"/>
  <c r="L53" i="144"/>
  <c r="H53" i="144"/>
  <c r="L52" i="144"/>
  <c r="H52" i="144"/>
  <c r="L51" i="144"/>
  <c r="H51" i="144"/>
  <c r="L50" i="144"/>
  <c r="H50" i="144"/>
  <c r="L49" i="144"/>
  <c r="H49" i="144"/>
  <c r="L48" i="144"/>
  <c r="H48" i="144"/>
  <c r="L47" i="144"/>
  <c r="H47" i="144"/>
  <c r="L46" i="144"/>
  <c r="H46" i="144"/>
  <c r="L45" i="144"/>
  <c r="H45" i="144"/>
  <c r="L44" i="144"/>
  <c r="H44" i="144"/>
  <c r="L43" i="144"/>
  <c r="H43" i="144"/>
  <c r="L42" i="144"/>
  <c r="H42" i="144"/>
  <c r="L41" i="144"/>
  <c r="H41" i="144"/>
  <c r="L40" i="144"/>
  <c r="H40" i="144"/>
  <c r="L39" i="144"/>
  <c r="H39" i="144"/>
  <c r="L38" i="144"/>
  <c r="H38" i="144"/>
  <c r="L37" i="144"/>
  <c r="H37" i="144"/>
  <c r="L36" i="144"/>
  <c r="H36" i="144"/>
  <c r="L35" i="144"/>
  <c r="H35" i="144"/>
  <c r="L34" i="144"/>
  <c r="H34" i="144"/>
  <c r="L33" i="144"/>
  <c r="H33" i="144"/>
  <c r="L32" i="144"/>
  <c r="H32" i="144"/>
  <c r="L31" i="144"/>
  <c r="H31" i="144"/>
  <c r="L30" i="144"/>
  <c r="H29" i="144"/>
  <c r="L28" i="144"/>
  <c r="H28" i="144"/>
  <c r="L27" i="144"/>
  <c r="H27" i="144"/>
  <c r="L26" i="144"/>
  <c r="H26" i="144"/>
  <c r="L25" i="144"/>
  <c r="H25" i="144"/>
  <c r="L24" i="144"/>
  <c r="H24" i="144"/>
  <c r="L23" i="144"/>
  <c r="H23" i="144"/>
  <c r="L22" i="144"/>
  <c r="H22" i="144"/>
  <c r="L21" i="144"/>
  <c r="H21" i="144"/>
  <c r="L20" i="144"/>
  <c r="H20" i="144"/>
  <c r="L19" i="144"/>
  <c r="H19" i="144"/>
  <c r="L18" i="144"/>
  <c r="H18" i="144"/>
  <c r="L17" i="144"/>
  <c r="H17" i="144"/>
  <c r="L16" i="144"/>
  <c r="H16" i="144"/>
  <c r="L15" i="144"/>
  <c r="J57" i="144"/>
  <c r="L13" i="144"/>
  <c r="H13" i="144"/>
  <c r="H12" i="144"/>
  <c r="L11" i="144"/>
  <c r="H11" i="144"/>
  <c r="L10" i="144"/>
  <c r="H10" i="144"/>
  <c r="L9" i="144"/>
  <c r="L8" i="144"/>
  <c r="J7" i="144"/>
  <c r="J5" i="144" s="1"/>
  <c r="K6" i="144"/>
  <c r="I6" i="144"/>
  <c r="F6" i="144"/>
  <c r="E6" i="144"/>
  <c r="D6" i="144"/>
  <c r="AG92" i="60" l="1"/>
  <c r="D4" i="148"/>
  <c r="E6" i="148"/>
  <c r="E4" i="148" s="1"/>
  <c r="F11" i="148"/>
  <c r="D29" i="147"/>
  <c r="D6" i="147"/>
  <c r="D4" i="147" s="1"/>
  <c r="D94" i="145"/>
  <c r="G21" i="145"/>
  <c r="G94" i="145" s="1"/>
  <c r="F7" i="145"/>
  <c r="F5" i="145" s="1"/>
  <c r="J68" i="144"/>
  <c r="L6" i="144"/>
  <c r="F57" i="144"/>
  <c r="H8" i="144"/>
  <c r="H14" i="144"/>
  <c r="G7" i="144"/>
  <c r="G5" i="144" s="1"/>
  <c r="G57" i="144"/>
  <c r="H6" i="144"/>
  <c r="F7" i="144"/>
  <c r="F5" i="144" s="1"/>
  <c r="I7" i="144"/>
  <c r="I5" i="144" s="1"/>
  <c r="E7" i="144"/>
  <c r="E5" i="144" s="1"/>
  <c r="E57" i="144"/>
  <c r="H9" i="144"/>
  <c r="L14" i="144"/>
  <c r="K7" i="144"/>
  <c r="K5" i="144" s="1"/>
  <c r="K57" i="144"/>
  <c r="D7" i="144"/>
  <c r="D5" i="144" s="1"/>
  <c r="D57" i="144"/>
  <c r="H30" i="144"/>
  <c r="L12" i="144"/>
  <c r="L57" i="144" s="1"/>
  <c r="I57" i="144"/>
  <c r="L28" i="143"/>
  <c r="K28" i="143"/>
  <c r="I28" i="143"/>
  <c r="H28" i="143"/>
  <c r="L27" i="143"/>
  <c r="K27" i="143"/>
  <c r="I27" i="143"/>
  <c r="H27" i="143"/>
  <c r="L26" i="143"/>
  <c r="K26" i="143"/>
  <c r="J26" i="143" s="1"/>
  <c r="I26" i="143"/>
  <c r="H26" i="143"/>
  <c r="L25" i="143"/>
  <c r="K25" i="143"/>
  <c r="E25" i="143" s="1"/>
  <c r="I25" i="143"/>
  <c r="H25" i="143"/>
  <c r="L24" i="143"/>
  <c r="K24" i="143"/>
  <c r="I24" i="143"/>
  <c r="H24" i="143"/>
  <c r="L23" i="143"/>
  <c r="K23" i="143"/>
  <c r="I23" i="143"/>
  <c r="H23" i="143"/>
  <c r="L22" i="143"/>
  <c r="K22" i="143"/>
  <c r="I22" i="143"/>
  <c r="G22" i="143" s="1"/>
  <c r="H22" i="143"/>
  <c r="E22" i="143" s="1"/>
  <c r="L21" i="143"/>
  <c r="K21" i="143"/>
  <c r="J21" i="143" s="1"/>
  <c r="I21" i="143"/>
  <c r="F21" i="143" s="1"/>
  <c r="H21" i="143"/>
  <c r="L20" i="143"/>
  <c r="K20" i="143"/>
  <c r="I20" i="143"/>
  <c r="H20" i="143"/>
  <c r="E20" i="143" s="1"/>
  <c r="L19" i="143"/>
  <c r="K19" i="143"/>
  <c r="I19" i="143"/>
  <c r="H19" i="143"/>
  <c r="L18" i="143"/>
  <c r="K18" i="143"/>
  <c r="I18" i="143"/>
  <c r="H18" i="143"/>
  <c r="G18" i="143"/>
  <c r="L17" i="143"/>
  <c r="K17" i="143"/>
  <c r="I17" i="143"/>
  <c r="H17" i="143"/>
  <c r="L16" i="143"/>
  <c r="J16" i="143" s="1"/>
  <c r="K16" i="143"/>
  <c r="I16" i="143"/>
  <c r="F16" i="143" s="1"/>
  <c r="H16" i="143"/>
  <c r="G16" i="143" s="1"/>
  <c r="L15" i="143"/>
  <c r="K15" i="143"/>
  <c r="I15" i="143"/>
  <c r="F15" i="143" s="1"/>
  <c r="H15" i="143"/>
  <c r="L14" i="143"/>
  <c r="J14" i="143" s="1"/>
  <c r="K14" i="143"/>
  <c r="I14" i="143"/>
  <c r="H14" i="143"/>
  <c r="E14" i="143" s="1"/>
  <c r="L13" i="143"/>
  <c r="K13" i="143"/>
  <c r="I13" i="143"/>
  <c r="H13" i="143"/>
  <c r="L12" i="143"/>
  <c r="K12" i="143"/>
  <c r="I12" i="143"/>
  <c r="H12" i="143"/>
  <c r="L11" i="143"/>
  <c r="J11" i="143" s="1"/>
  <c r="K11" i="143"/>
  <c r="I11" i="143"/>
  <c r="H11" i="143"/>
  <c r="E11" i="143" s="1"/>
  <c r="L10" i="143"/>
  <c r="F10" i="143" s="1"/>
  <c r="K10" i="143"/>
  <c r="I10" i="143"/>
  <c r="H10" i="143"/>
  <c r="G10" i="143" s="1"/>
  <c r="L9" i="143"/>
  <c r="K9" i="143"/>
  <c r="I9" i="143"/>
  <c r="G9" i="143" s="1"/>
  <c r="H9" i="143"/>
  <c r="J9" i="143" l="1"/>
  <c r="J13" i="143"/>
  <c r="J15" i="143"/>
  <c r="E17" i="143"/>
  <c r="G23" i="143"/>
  <c r="F12" i="143"/>
  <c r="E18" i="143"/>
  <c r="J23" i="143"/>
  <c r="J12" i="143"/>
  <c r="E26" i="143"/>
  <c r="F20" i="143"/>
  <c r="F24" i="143"/>
  <c r="F9" i="143"/>
  <c r="G15" i="143"/>
  <c r="J24" i="143"/>
  <c r="E19" i="143"/>
  <c r="G21" i="143"/>
  <c r="J22" i="143"/>
  <c r="G28" i="143"/>
  <c r="D20" i="143"/>
  <c r="G11" i="143"/>
  <c r="J28" i="143"/>
  <c r="D11" i="143"/>
  <c r="E13" i="143"/>
  <c r="J18" i="143"/>
  <c r="F22" i="143"/>
  <c r="D22" i="143" s="1"/>
  <c r="G27" i="143"/>
  <c r="F11" i="143"/>
  <c r="F27" i="143"/>
  <c r="G17" i="143"/>
  <c r="G19" i="143"/>
  <c r="G24" i="143"/>
  <c r="J27" i="143"/>
  <c r="H8" i="143"/>
  <c r="E9" i="143"/>
  <c r="J10" i="143"/>
  <c r="G26" i="143"/>
  <c r="L8" i="143"/>
  <c r="G20" i="143"/>
  <c r="F26" i="143"/>
  <c r="D26" i="143" s="1"/>
  <c r="G13" i="143"/>
  <c r="F14" i="143"/>
  <c r="D14" i="143" s="1"/>
  <c r="F18" i="143"/>
  <c r="J20" i="143"/>
  <c r="K8" i="143"/>
  <c r="G12" i="143"/>
  <c r="G14" i="143"/>
  <c r="E21" i="143"/>
  <c r="D21" i="143" s="1"/>
  <c r="G25" i="143"/>
  <c r="F19" i="143"/>
  <c r="J25" i="143"/>
  <c r="E10" i="143"/>
  <c r="D10" i="143" s="1"/>
  <c r="J19" i="143"/>
  <c r="E23" i="143"/>
  <c r="D23" i="143" s="1"/>
  <c r="F4" i="148"/>
  <c r="J17" i="143"/>
  <c r="F23" i="143"/>
  <c r="F28" i="143"/>
  <c r="F6" i="148"/>
  <c r="G7" i="145"/>
  <c r="G5" i="145" s="1"/>
  <c r="K68" i="144"/>
  <c r="L7" i="144"/>
  <c r="L5" i="144" s="1"/>
  <c r="I68" i="144"/>
  <c r="H7" i="144"/>
  <c r="H5" i="144" s="1"/>
  <c r="H57" i="144"/>
  <c r="F17" i="143"/>
  <c r="D17" i="143" s="1"/>
  <c r="E28" i="143"/>
  <c r="D28" i="143" s="1"/>
  <c r="I8" i="143"/>
  <c r="G8" i="143" s="1"/>
  <c r="E15" i="143"/>
  <c r="D15" i="143" s="1"/>
  <c r="E27" i="143"/>
  <c r="E16" i="143"/>
  <c r="D16" i="143" s="1"/>
  <c r="F13" i="143"/>
  <c r="E12" i="143"/>
  <c r="E24" i="143"/>
  <c r="D24" i="143" s="1"/>
  <c r="F25" i="143"/>
  <c r="D25" i="143" s="1"/>
  <c r="D12" i="143" l="1"/>
  <c r="D18" i="143"/>
  <c r="D9" i="143"/>
  <c r="D19" i="143"/>
  <c r="D13" i="143"/>
  <c r="D27" i="143"/>
  <c r="J8" i="143"/>
  <c r="H64" i="144"/>
  <c r="L68" i="144"/>
  <c r="K70" i="144" s="1"/>
  <c r="L64" i="144"/>
  <c r="E8" i="143"/>
  <c r="F8" i="143"/>
  <c r="D8" i="143" l="1"/>
  <c r="H151" i="142" l="1"/>
  <c r="G151" i="142"/>
  <c r="F151" i="142" s="1"/>
  <c r="E151" i="142"/>
  <c r="H150" i="142"/>
  <c r="G150" i="142"/>
  <c r="E150" i="142"/>
  <c r="H149" i="142"/>
  <c r="G149" i="142"/>
  <c r="E149" i="142"/>
  <c r="H148" i="142"/>
  <c r="G148" i="142"/>
  <c r="E148" i="142"/>
  <c r="H147" i="142"/>
  <c r="G147" i="142"/>
  <c r="E147" i="142"/>
  <c r="H146" i="142"/>
  <c r="G146" i="142"/>
  <c r="E146" i="142"/>
  <c r="H145" i="142"/>
  <c r="G145" i="142"/>
  <c r="E145" i="142"/>
  <c r="H144" i="142"/>
  <c r="G144" i="142"/>
  <c r="E144" i="142"/>
  <c r="H143" i="142"/>
  <c r="G143" i="142"/>
  <c r="E143" i="142"/>
  <c r="H142" i="142"/>
  <c r="G142" i="142"/>
  <c r="F142" i="142" s="1"/>
  <c r="E142" i="142"/>
  <c r="D142" i="142" s="1"/>
  <c r="H141" i="142"/>
  <c r="G141" i="142"/>
  <c r="E141" i="142"/>
  <c r="H140" i="142"/>
  <c r="G140" i="142"/>
  <c r="E140" i="142"/>
  <c r="H139" i="142"/>
  <c r="G139" i="142"/>
  <c r="F139" i="142" s="1"/>
  <c r="E139" i="142"/>
  <c r="H138" i="142"/>
  <c r="G138" i="142"/>
  <c r="F138" i="142" s="1"/>
  <c r="E138" i="142"/>
  <c r="H137" i="142"/>
  <c r="G137" i="142"/>
  <c r="F137" i="142" s="1"/>
  <c r="E137" i="142"/>
  <c r="H136" i="142"/>
  <c r="G136" i="142"/>
  <c r="E136" i="142"/>
  <c r="H135" i="142"/>
  <c r="G135" i="142"/>
  <c r="E135" i="142"/>
  <c r="H134" i="142"/>
  <c r="G134" i="142"/>
  <c r="E134" i="142"/>
  <c r="H133" i="142"/>
  <c r="G133" i="142"/>
  <c r="E133" i="142"/>
  <c r="H132" i="142"/>
  <c r="G132" i="142"/>
  <c r="E132" i="142"/>
  <c r="H131" i="142"/>
  <c r="G131" i="142"/>
  <c r="E131" i="142"/>
  <c r="H130" i="142"/>
  <c r="G130" i="142"/>
  <c r="E130" i="142"/>
  <c r="H129" i="142"/>
  <c r="G129" i="142"/>
  <c r="E129" i="142"/>
  <c r="H128" i="142"/>
  <c r="G128" i="142"/>
  <c r="E128" i="142"/>
  <c r="H127" i="142"/>
  <c r="G127" i="142"/>
  <c r="F127" i="142" s="1"/>
  <c r="E127" i="142"/>
  <c r="H126" i="142"/>
  <c r="G126" i="142"/>
  <c r="F126" i="142" s="1"/>
  <c r="E126" i="142"/>
  <c r="H125" i="142"/>
  <c r="F125" i="142" s="1"/>
  <c r="D125" i="142" s="1"/>
  <c r="G125" i="142"/>
  <c r="E125" i="142"/>
  <c r="H124" i="142"/>
  <c r="G124" i="142"/>
  <c r="E124" i="142"/>
  <c r="H123" i="142"/>
  <c r="G123" i="142"/>
  <c r="E123" i="142"/>
  <c r="H122" i="142"/>
  <c r="G122" i="142"/>
  <c r="E122" i="142"/>
  <c r="H121" i="142"/>
  <c r="G121" i="142"/>
  <c r="E121" i="142"/>
  <c r="H120" i="142"/>
  <c r="G120" i="142"/>
  <c r="E120" i="142"/>
  <c r="H119" i="142"/>
  <c r="G119" i="142"/>
  <c r="E119" i="142"/>
  <c r="H118" i="142"/>
  <c r="G118" i="142"/>
  <c r="E118" i="142"/>
  <c r="H117" i="142"/>
  <c r="G117" i="142"/>
  <c r="E117" i="142"/>
  <c r="H116" i="142"/>
  <c r="G116" i="142"/>
  <c r="F116" i="142" s="1"/>
  <c r="E116" i="142"/>
  <c r="H115" i="142"/>
  <c r="G115" i="142"/>
  <c r="E115" i="142"/>
  <c r="H114" i="142"/>
  <c r="G114" i="142"/>
  <c r="E114" i="142"/>
  <c r="H113" i="142"/>
  <c r="G113" i="142"/>
  <c r="F113" i="142" s="1"/>
  <c r="E113" i="142"/>
  <c r="H112" i="142"/>
  <c r="G112" i="142"/>
  <c r="E112" i="142"/>
  <c r="H111" i="142"/>
  <c r="G111" i="142"/>
  <c r="E111" i="142"/>
  <c r="H110" i="142"/>
  <c r="G110" i="142"/>
  <c r="E110" i="142"/>
  <c r="H109" i="142"/>
  <c r="G109" i="142"/>
  <c r="E109" i="142"/>
  <c r="H108" i="142"/>
  <c r="G108" i="142"/>
  <c r="E108" i="142"/>
  <c r="H107" i="142"/>
  <c r="G107" i="142"/>
  <c r="E107" i="142"/>
  <c r="H106" i="142"/>
  <c r="G106" i="142"/>
  <c r="E106" i="142"/>
  <c r="H105" i="142"/>
  <c r="G105" i="142"/>
  <c r="E105" i="142"/>
  <c r="H104" i="142"/>
  <c r="G104" i="142"/>
  <c r="E104" i="142"/>
  <c r="H103" i="142"/>
  <c r="G103" i="142"/>
  <c r="F103" i="142" s="1"/>
  <c r="E103" i="142"/>
  <c r="H102" i="142"/>
  <c r="G102" i="142"/>
  <c r="E102" i="142"/>
  <c r="H101" i="142"/>
  <c r="G101" i="142"/>
  <c r="E101" i="142"/>
  <c r="H100" i="142"/>
  <c r="G100" i="142"/>
  <c r="E100" i="142"/>
  <c r="H99" i="142"/>
  <c r="G99" i="142"/>
  <c r="E99" i="142"/>
  <c r="H98" i="142"/>
  <c r="G98" i="142"/>
  <c r="E98" i="142"/>
  <c r="H97" i="142"/>
  <c r="G97" i="142"/>
  <c r="E97" i="142"/>
  <c r="H96" i="142"/>
  <c r="G96" i="142"/>
  <c r="E96" i="142"/>
  <c r="H95" i="142"/>
  <c r="G95" i="142"/>
  <c r="F95" i="142" s="1"/>
  <c r="E95" i="142"/>
  <c r="H94" i="142"/>
  <c r="G94" i="142"/>
  <c r="E94" i="142"/>
  <c r="H93" i="142"/>
  <c r="G93" i="142"/>
  <c r="E93" i="142"/>
  <c r="H92" i="142"/>
  <c r="G92" i="142"/>
  <c r="F92" i="142" s="1"/>
  <c r="E92" i="142"/>
  <c r="H91" i="142"/>
  <c r="G91" i="142"/>
  <c r="E91" i="142"/>
  <c r="H90" i="142"/>
  <c r="G90" i="142"/>
  <c r="E90" i="142"/>
  <c r="H89" i="142"/>
  <c r="G89" i="142"/>
  <c r="F89" i="142" s="1"/>
  <c r="E89" i="142"/>
  <c r="H88" i="142"/>
  <c r="G88" i="142"/>
  <c r="E88" i="142"/>
  <c r="H87" i="142"/>
  <c r="G87" i="142"/>
  <c r="E87" i="142"/>
  <c r="H86" i="142"/>
  <c r="G86" i="142"/>
  <c r="E86" i="142"/>
  <c r="H85" i="142"/>
  <c r="F85" i="142" s="1"/>
  <c r="G85" i="142"/>
  <c r="E85" i="142"/>
  <c r="H84" i="142"/>
  <c r="G84" i="142"/>
  <c r="F84" i="142" s="1"/>
  <c r="E84" i="142"/>
  <c r="H83" i="142"/>
  <c r="G83" i="142"/>
  <c r="E83" i="142"/>
  <c r="H82" i="142"/>
  <c r="G82" i="142"/>
  <c r="F82" i="142" s="1"/>
  <c r="E82" i="142"/>
  <c r="H81" i="142"/>
  <c r="G81" i="142"/>
  <c r="E81" i="142"/>
  <c r="H80" i="142"/>
  <c r="G80" i="142"/>
  <c r="E80" i="142"/>
  <c r="H79" i="142"/>
  <c r="G79" i="142"/>
  <c r="E79" i="142"/>
  <c r="H78" i="142"/>
  <c r="G78" i="142"/>
  <c r="F78" i="142" s="1"/>
  <c r="E78" i="142"/>
  <c r="H77" i="142"/>
  <c r="G77" i="142"/>
  <c r="F77" i="142" s="1"/>
  <c r="E77" i="142"/>
  <c r="H76" i="142"/>
  <c r="G76" i="142"/>
  <c r="E76" i="142"/>
  <c r="H75" i="142"/>
  <c r="G75" i="142"/>
  <c r="E75" i="142"/>
  <c r="H74" i="142"/>
  <c r="G74" i="142"/>
  <c r="E74" i="142"/>
  <c r="H73" i="142"/>
  <c r="G73" i="142"/>
  <c r="E73" i="142"/>
  <c r="H72" i="142"/>
  <c r="G72" i="142"/>
  <c r="F72" i="142" s="1"/>
  <c r="E72" i="142"/>
  <c r="H71" i="142"/>
  <c r="G71" i="142"/>
  <c r="E71" i="142"/>
  <c r="H70" i="142"/>
  <c r="G70" i="142"/>
  <c r="E70" i="142"/>
  <c r="H69" i="142"/>
  <c r="G69" i="142"/>
  <c r="E69" i="142"/>
  <c r="H68" i="142"/>
  <c r="G68" i="142"/>
  <c r="E68" i="142"/>
  <c r="H67" i="142"/>
  <c r="G67" i="142"/>
  <c r="E67" i="142"/>
  <c r="H66" i="142"/>
  <c r="G66" i="142"/>
  <c r="F66" i="142" s="1"/>
  <c r="E66" i="142"/>
  <c r="H65" i="142"/>
  <c r="G65" i="142"/>
  <c r="E65" i="142"/>
  <c r="H64" i="142"/>
  <c r="G64" i="142"/>
  <c r="E64" i="142"/>
  <c r="H63" i="142"/>
  <c r="G63" i="142"/>
  <c r="E63" i="142"/>
  <c r="H62" i="142"/>
  <c r="G62" i="142"/>
  <c r="F62" i="142" s="1"/>
  <c r="E62" i="142"/>
  <c r="H61" i="142"/>
  <c r="G61" i="142"/>
  <c r="E61" i="142"/>
  <c r="H60" i="142"/>
  <c r="G60" i="142"/>
  <c r="E60" i="142"/>
  <c r="H59" i="142"/>
  <c r="G59" i="142"/>
  <c r="E59" i="142"/>
  <c r="H58" i="142"/>
  <c r="G58" i="142"/>
  <c r="E58" i="142"/>
  <c r="H57" i="142"/>
  <c r="G57" i="142"/>
  <c r="E57" i="142"/>
  <c r="H56" i="142"/>
  <c r="G56" i="142"/>
  <c r="E56" i="142"/>
  <c r="H55" i="142"/>
  <c r="G55" i="142"/>
  <c r="E55" i="142"/>
  <c r="H54" i="142"/>
  <c r="G54" i="142"/>
  <c r="E54" i="142"/>
  <c r="H53" i="142"/>
  <c r="G53" i="142"/>
  <c r="E53" i="142"/>
  <c r="H52" i="142"/>
  <c r="G52" i="142"/>
  <c r="E52" i="142"/>
  <c r="H51" i="142"/>
  <c r="G51" i="142"/>
  <c r="E51" i="142"/>
  <c r="H50" i="142"/>
  <c r="G50" i="142"/>
  <c r="E50" i="142"/>
  <c r="H49" i="142"/>
  <c r="G49" i="142"/>
  <c r="E49" i="142"/>
  <c r="H48" i="142"/>
  <c r="G48" i="142"/>
  <c r="F48" i="142" s="1"/>
  <c r="E48" i="142"/>
  <c r="H47" i="142"/>
  <c r="G47" i="142"/>
  <c r="E47" i="142"/>
  <c r="H46" i="142"/>
  <c r="G46" i="142"/>
  <c r="E46" i="142"/>
  <c r="H45" i="142"/>
  <c r="G45" i="142"/>
  <c r="E45" i="142"/>
  <c r="H44" i="142"/>
  <c r="G44" i="142"/>
  <c r="E44" i="142"/>
  <c r="H43" i="142"/>
  <c r="G43" i="142"/>
  <c r="E43" i="142"/>
  <c r="H42" i="142"/>
  <c r="G42" i="142"/>
  <c r="E42" i="142"/>
  <c r="H41" i="142"/>
  <c r="G41" i="142"/>
  <c r="E41" i="142"/>
  <c r="H40" i="142"/>
  <c r="G40" i="142"/>
  <c r="E40" i="142"/>
  <c r="H39" i="142"/>
  <c r="G39" i="142"/>
  <c r="E39" i="142"/>
  <c r="H38" i="142"/>
  <c r="G38" i="142"/>
  <c r="E38" i="142"/>
  <c r="H37" i="142"/>
  <c r="G37" i="142"/>
  <c r="E37" i="142"/>
  <c r="H36" i="142"/>
  <c r="G36" i="142"/>
  <c r="E36" i="142"/>
  <c r="H35" i="142"/>
  <c r="G35" i="142"/>
  <c r="F35" i="142" s="1"/>
  <c r="E35" i="142"/>
  <c r="H34" i="142"/>
  <c r="G34" i="142"/>
  <c r="E34" i="142"/>
  <c r="H33" i="142"/>
  <c r="G33" i="142"/>
  <c r="E33" i="142"/>
  <c r="H32" i="142"/>
  <c r="G32" i="142"/>
  <c r="F32" i="142" s="1"/>
  <c r="E32" i="142"/>
  <c r="H31" i="142"/>
  <c r="G31" i="142"/>
  <c r="E31" i="142"/>
  <c r="H30" i="142"/>
  <c r="G30" i="142"/>
  <c r="F30" i="142" s="1"/>
  <c r="E30" i="142"/>
  <c r="H29" i="142"/>
  <c r="G29" i="142"/>
  <c r="E29" i="142"/>
  <c r="H28" i="142"/>
  <c r="G28" i="142"/>
  <c r="E28" i="142"/>
  <c r="H27" i="142"/>
  <c r="G27" i="142"/>
  <c r="E27" i="142"/>
  <c r="H26" i="142"/>
  <c r="G26" i="142"/>
  <c r="E26" i="142"/>
  <c r="H25" i="142"/>
  <c r="G25" i="142"/>
  <c r="E25" i="142"/>
  <c r="H24" i="142"/>
  <c r="G24" i="142"/>
  <c r="F24" i="142" s="1"/>
  <c r="E24" i="142"/>
  <c r="H23" i="142"/>
  <c r="F23" i="142" s="1"/>
  <c r="G23" i="142"/>
  <c r="E23" i="142"/>
  <c r="H22" i="142"/>
  <c r="G22" i="142"/>
  <c r="F22" i="142" s="1"/>
  <c r="E22" i="142"/>
  <c r="H21" i="142"/>
  <c r="G21" i="142"/>
  <c r="E21" i="142"/>
  <c r="H20" i="142"/>
  <c r="G20" i="142"/>
  <c r="E20" i="142"/>
  <c r="H19" i="142"/>
  <c r="G19" i="142"/>
  <c r="E19" i="142"/>
  <c r="H18" i="142"/>
  <c r="G18" i="142"/>
  <c r="F18" i="142" s="1"/>
  <c r="E18" i="142"/>
  <c r="H17" i="142"/>
  <c r="G17" i="142"/>
  <c r="E17" i="142"/>
  <c r="H16" i="142"/>
  <c r="G16" i="142"/>
  <c r="F16" i="142" s="1"/>
  <c r="E16" i="142"/>
  <c r="H15" i="142"/>
  <c r="G15" i="142"/>
  <c r="E15" i="142"/>
  <c r="H14" i="142"/>
  <c r="G14" i="142"/>
  <c r="F14" i="142" s="1"/>
  <c r="E14" i="142"/>
  <c r="H13" i="142"/>
  <c r="G13" i="142"/>
  <c r="E13" i="142"/>
  <c r="H12" i="142"/>
  <c r="G12" i="142"/>
  <c r="F12" i="142" s="1"/>
  <c r="E12" i="142"/>
  <c r="H11" i="142"/>
  <c r="G11" i="142"/>
  <c r="E11" i="142"/>
  <c r="H10" i="142"/>
  <c r="G10" i="142"/>
  <c r="E10" i="142"/>
  <c r="D8" i="142"/>
  <c r="F47" i="142" l="1"/>
  <c r="F52" i="142"/>
  <c r="F83" i="142"/>
  <c r="D83" i="142" s="1"/>
  <c r="F94" i="142"/>
  <c r="F112" i="142"/>
  <c r="D112" i="142" s="1"/>
  <c r="F115" i="142"/>
  <c r="D115" i="142" s="1"/>
  <c r="F131" i="142"/>
  <c r="D131" i="142" s="1"/>
  <c r="F63" i="142"/>
  <c r="D63" i="142" s="1"/>
  <c r="F13" i="142"/>
  <c r="D138" i="142"/>
  <c r="D23" i="142"/>
  <c r="F26" i="142"/>
  <c r="F70" i="142"/>
  <c r="D70" i="142" s="1"/>
  <c r="F117" i="142"/>
  <c r="D117" i="142" s="1"/>
  <c r="F37" i="142"/>
  <c r="F71" i="142"/>
  <c r="D71" i="142" s="1"/>
  <c r="F86" i="142"/>
  <c r="D86" i="142" s="1"/>
  <c r="D35" i="142"/>
  <c r="F74" i="142"/>
  <c r="F97" i="142"/>
  <c r="D97" i="142" s="1"/>
  <c r="F110" i="142"/>
  <c r="D110" i="142" s="1"/>
  <c r="D48" i="142"/>
  <c r="F149" i="142"/>
  <c r="F100" i="142"/>
  <c r="F147" i="142"/>
  <c r="F25" i="142"/>
  <c r="D25" i="142" s="1"/>
  <c r="F38" i="142"/>
  <c r="D38" i="142" s="1"/>
  <c r="F46" i="142"/>
  <c r="D46" i="142" s="1"/>
  <c r="F98" i="142"/>
  <c r="F111" i="142"/>
  <c r="D111" i="142" s="1"/>
  <c r="F119" i="142"/>
  <c r="D89" i="142"/>
  <c r="F44" i="142"/>
  <c r="F140" i="142"/>
  <c r="D100" i="142"/>
  <c r="F136" i="142"/>
  <c r="D136" i="142" s="1"/>
  <c r="D16" i="142"/>
  <c r="F50" i="142"/>
  <c r="D50" i="142" s="1"/>
  <c r="F99" i="142"/>
  <c r="D99" i="142" s="1"/>
  <c r="F104" i="142"/>
  <c r="D104" i="142" s="1"/>
  <c r="F109" i="142"/>
  <c r="F146" i="142"/>
  <c r="D26" i="142"/>
  <c r="F64" i="142"/>
  <c r="D64" i="142" s="1"/>
  <c r="F68" i="142"/>
  <c r="F90" i="142"/>
  <c r="D90" i="142" s="1"/>
  <c r="F105" i="142"/>
  <c r="D105" i="142" s="1"/>
  <c r="D113" i="142"/>
  <c r="F132" i="142"/>
  <c r="D132" i="142" s="1"/>
  <c r="F34" i="142"/>
  <c r="D34" i="142" s="1"/>
  <c r="F53" i="142"/>
  <c r="D53" i="142" s="1"/>
  <c r="F76" i="142"/>
  <c r="D76" i="142" s="1"/>
  <c r="D137" i="142"/>
  <c r="F11" i="142"/>
  <c r="D11" i="142" s="1"/>
  <c r="F42" i="142"/>
  <c r="F65" i="142"/>
  <c r="D65" i="142" s="1"/>
  <c r="D77" i="142"/>
  <c r="F106" i="142"/>
  <c r="F118" i="142"/>
  <c r="D118" i="142" s="1"/>
  <c r="F122" i="142"/>
  <c r="D122" i="142" s="1"/>
  <c r="F133" i="142"/>
  <c r="D133" i="142" s="1"/>
  <c r="D149" i="142"/>
  <c r="F41" i="142"/>
  <c r="D41" i="142" s="1"/>
  <c r="F88" i="142"/>
  <c r="D92" i="142"/>
  <c r="D24" i="142"/>
  <c r="D47" i="142"/>
  <c r="F107" i="142"/>
  <c r="D107" i="142" s="1"/>
  <c r="D119" i="142"/>
  <c r="F134" i="142"/>
  <c r="D134" i="142" s="1"/>
  <c r="D146" i="142"/>
  <c r="F59" i="142"/>
  <c r="D59" i="142" s="1"/>
  <c r="F96" i="142"/>
  <c r="D96" i="142" s="1"/>
  <c r="F123" i="142"/>
  <c r="D123" i="142" s="1"/>
  <c r="D98" i="142"/>
  <c r="F21" i="142"/>
  <c r="D21" i="142" s="1"/>
  <c r="F67" i="142"/>
  <c r="D67" i="142" s="1"/>
  <c r="F143" i="142"/>
  <c r="D143" i="142" s="1"/>
  <c r="D72" i="142"/>
  <c r="F29" i="142"/>
  <c r="F33" i="142"/>
  <c r="D33" i="142" s="1"/>
  <c r="F56" i="142"/>
  <c r="D56" i="142" s="1"/>
  <c r="F60" i="142"/>
  <c r="D60" i="142" s="1"/>
  <c r="D68" i="142"/>
  <c r="F75" i="142"/>
  <c r="D75" i="142" s="1"/>
  <c r="F101" i="142"/>
  <c r="D101" i="142" s="1"/>
  <c r="D147" i="142"/>
  <c r="D12" i="142"/>
  <c r="F20" i="142"/>
  <c r="D20" i="142" s="1"/>
  <c r="F27" i="142"/>
  <c r="D27" i="142" s="1"/>
  <c r="F31" i="142"/>
  <c r="D31" i="142" s="1"/>
  <c r="D42" i="142"/>
  <c r="F93" i="142"/>
  <c r="D93" i="142" s="1"/>
  <c r="F124" i="142"/>
  <c r="D124" i="142" s="1"/>
  <c r="F145" i="142"/>
  <c r="D145" i="142" s="1"/>
  <c r="D13" i="142"/>
  <c r="F49" i="142"/>
  <c r="D49" i="142" s="1"/>
  <c r="E9" i="142"/>
  <c r="E7" i="142" s="1"/>
  <c r="F10" i="142"/>
  <c r="D10" i="142" s="1"/>
  <c r="F28" i="142"/>
  <c r="D28" i="142" s="1"/>
  <c r="D32" i="142"/>
  <c r="F57" i="142"/>
  <c r="D57" i="142" s="1"/>
  <c r="F79" i="142"/>
  <c r="D79" i="142" s="1"/>
  <c r="D94" i="142"/>
  <c r="F114" i="142"/>
  <c r="D114" i="142" s="1"/>
  <c r="F121" i="142"/>
  <c r="D121" i="142" s="1"/>
  <c r="F128" i="142"/>
  <c r="D128" i="142" s="1"/>
  <c r="F135" i="142"/>
  <c r="D135" i="142" s="1"/>
  <c r="D139" i="142"/>
  <c r="D14" i="142"/>
  <c r="F17" i="142"/>
  <c r="D17" i="142" s="1"/>
  <c r="D29" i="142"/>
  <c r="F39" i="142"/>
  <c r="D39" i="142" s="1"/>
  <c r="F43" i="142"/>
  <c r="D43" i="142" s="1"/>
  <c r="F61" i="142"/>
  <c r="D61" i="142" s="1"/>
  <c r="F69" i="142"/>
  <c r="D69" i="142" s="1"/>
  <c r="D18" i="142"/>
  <c r="D22" i="142"/>
  <c r="F36" i="142"/>
  <c r="D36" i="142" s="1"/>
  <c r="F54" i="142"/>
  <c r="D54" i="142" s="1"/>
  <c r="F58" i="142"/>
  <c r="D58" i="142" s="1"/>
  <c r="D62" i="142"/>
  <c r="F80" i="142"/>
  <c r="D80" i="142" s="1"/>
  <c r="F87" i="142"/>
  <c r="D87" i="142" s="1"/>
  <c r="F108" i="142"/>
  <c r="D108" i="142" s="1"/>
  <c r="F129" i="142"/>
  <c r="D129" i="142" s="1"/>
  <c r="F150" i="142"/>
  <c r="D150" i="142" s="1"/>
  <c r="D44" i="142"/>
  <c r="D151" i="142"/>
  <c r="F40" i="142"/>
  <c r="D40" i="142" s="1"/>
  <c r="D95" i="142"/>
  <c r="F51" i="142"/>
  <c r="D51" i="142" s="1"/>
  <c r="F55" i="142"/>
  <c r="D55" i="142" s="1"/>
  <c r="D74" i="142"/>
  <c r="F81" i="142"/>
  <c r="D81" i="142" s="1"/>
  <c r="F102" i="142"/>
  <c r="D102" i="142" s="1"/>
  <c r="D106" i="142"/>
  <c r="F130" i="142"/>
  <c r="D130" i="142" s="1"/>
  <c r="F144" i="142"/>
  <c r="D144" i="142" s="1"/>
  <c r="D84" i="142"/>
  <c r="D127" i="142"/>
  <c r="F73" i="142"/>
  <c r="D73" i="142" s="1"/>
  <c r="F91" i="142"/>
  <c r="D91" i="142" s="1"/>
  <c r="F15" i="142"/>
  <c r="D15" i="142" s="1"/>
  <c r="F19" i="142"/>
  <c r="D19" i="142" s="1"/>
  <c r="F45" i="142"/>
  <c r="D45" i="142" s="1"/>
  <c r="D82" i="142"/>
  <c r="D103" i="142"/>
  <c r="F120" i="142"/>
  <c r="D120" i="142" s="1"/>
  <c r="F141" i="142"/>
  <c r="D141" i="142" s="1"/>
  <c r="F148" i="142"/>
  <c r="D148" i="142" s="1"/>
  <c r="D66" i="142"/>
  <c r="D126" i="142"/>
  <c r="D140" i="142"/>
  <c r="D109" i="142"/>
  <c r="D37" i="142"/>
  <c r="D88" i="142"/>
  <c r="D30" i="142"/>
  <c r="D116" i="142"/>
  <c r="D52" i="142"/>
  <c r="D85" i="142"/>
  <c r="D78" i="142"/>
  <c r="H9" i="142"/>
  <c r="H7" i="142" s="1"/>
  <c r="G9" i="142"/>
  <c r="G7" i="142" l="1"/>
  <c r="F9" i="142"/>
  <c r="F7" i="142" l="1"/>
  <c r="D9" i="142"/>
  <c r="D7" i="142" s="1"/>
  <c r="H151" i="141" l="1"/>
  <c r="G151" i="141"/>
  <c r="F151" i="141"/>
  <c r="E151" i="141"/>
  <c r="H150" i="141"/>
  <c r="G150" i="141"/>
  <c r="F150" i="141"/>
  <c r="E150" i="141"/>
  <c r="H149" i="141"/>
  <c r="G149" i="141"/>
  <c r="F149" i="141"/>
  <c r="D149" i="141" s="1"/>
  <c r="E149" i="141"/>
  <c r="H148" i="141"/>
  <c r="G148" i="141"/>
  <c r="F148" i="141"/>
  <c r="E148" i="141"/>
  <c r="H147" i="141"/>
  <c r="G147" i="141"/>
  <c r="F147" i="141"/>
  <c r="E147" i="141"/>
  <c r="H146" i="141"/>
  <c r="G146" i="141"/>
  <c r="F146" i="141"/>
  <c r="E146" i="141"/>
  <c r="H145" i="141"/>
  <c r="G145" i="141"/>
  <c r="F145" i="141"/>
  <c r="E145" i="141"/>
  <c r="H144" i="141"/>
  <c r="G144" i="141"/>
  <c r="F144" i="141"/>
  <c r="E144" i="141"/>
  <c r="H143" i="141"/>
  <c r="G143" i="141"/>
  <c r="F143" i="141"/>
  <c r="E143" i="141"/>
  <c r="H142" i="141"/>
  <c r="G142" i="141"/>
  <c r="F142" i="141"/>
  <c r="E142" i="141"/>
  <c r="H141" i="141"/>
  <c r="G141" i="141"/>
  <c r="F141" i="141"/>
  <c r="E141" i="141"/>
  <c r="H140" i="141"/>
  <c r="G140" i="141"/>
  <c r="F140" i="141"/>
  <c r="E140" i="141"/>
  <c r="H139" i="141"/>
  <c r="G139" i="141"/>
  <c r="F139" i="141"/>
  <c r="D139" i="141" s="1"/>
  <c r="E139" i="141"/>
  <c r="H138" i="141"/>
  <c r="G138" i="141"/>
  <c r="F138" i="141"/>
  <c r="E138" i="141"/>
  <c r="H137" i="141"/>
  <c r="G137" i="141"/>
  <c r="F137" i="141"/>
  <c r="E137" i="141"/>
  <c r="H136" i="141"/>
  <c r="G136" i="141"/>
  <c r="F136" i="141"/>
  <c r="E136" i="141"/>
  <c r="H135" i="141"/>
  <c r="G135" i="141"/>
  <c r="F135" i="141"/>
  <c r="E135" i="141"/>
  <c r="H134" i="141"/>
  <c r="G134" i="141"/>
  <c r="F134" i="141"/>
  <c r="E134" i="141"/>
  <c r="H133" i="141"/>
  <c r="G133" i="141"/>
  <c r="F133" i="141"/>
  <c r="E133" i="141"/>
  <c r="H132" i="141"/>
  <c r="G132" i="141"/>
  <c r="F132" i="141"/>
  <c r="E132" i="141"/>
  <c r="H131" i="141"/>
  <c r="G131" i="141"/>
  <c r="F131" i="141"/>
  <c r="E131" i="141"/>
  <c r="H130" i="141"/>
  <c r="G130" i="141"/>
  <c r="F130" i="141"/>
  <c r="E130" i="141"/>
  <c r="H129" i="141"/>
  <c r="G129" i="141"/>
  <c r="F129" i="141"/>
  <c r="E129" i="141"/>
  <c r="H128" i="141"/>
  <c r="G128" i="141"/>
  <c r="F128" i="141"/>
  <c r="E128" i="141"/>
  <c r="H127" i="141"/>
  <c r="G127" i="141"/>
  <c r="F127" i="141"/>
  <c r="E127" i="141"/>
  <c r="H126" i="141"/>
  <c r="G126" i="141"/>
  <c r="F126" i="141"/>
  <c r="E126" i="141"/>
  <c r="H125" i="141"/>
  <c r="G125" i="141"/>
  <c r="F125" i="141"/>
  <c r="E125" i="141"/>
  <c r="H124" i="141"/>
  <c r="G124" i="141"/>
  <c r="F124" i="141"/>
  <c r="E124" i="141"/>
  <c r="H123" i="141"/>
  <c r="G123" i="141"/>
  <c r="F123" i="141"/>
  <c r="E123" i="141"/>
  <c r="H122" i="141"/>
  <c r="G122" i="141"/>
  <c r="F122" i="141"/>
  <c r="E122" i="141"/>
  <c r="H121" i="141"/>
  <c r="G121" i="141"/>
  <c r="F121" i="141"/>
  <c r="E121" i="141"/>
  <c r="H120" i="141"/>
  <c r="G120" i="141"/>
  <c r="F120" i="141"/>
  <c r="E120" i="141"/>
  <c r="H119" i="141"/>
  <c r="G119" i="141"/>
  <c r="F119" i="141"/>
  <c r="E119" i="141"/>
  <c r="H118" i="141"/>
  <c r="G118" i="141"/>
  <c r="F118" i="141"/>
  <c r="E118" i="141"/>
  <c r="H117" i="141"/>
  <c r="G117" i="141"/>
  <c r="F117" i="141"/>
  <c r="E117" i="141"/>
  <c r="H116" i="141"/>
  <c r="G116" i="141"/>
  <c r="F116" i="141"/>
  <c r="E116" i="141"/>
  <c r="H115" i="141"/>
  <c r="G115" i="141"/>
  <c r="F115" i="141"/>
  <c r="E115" i="141"/>
  <c r="H114" i="141"/>
  <c r="G114" i="141"/>
  <c r="F114" i="141"/>
  <c r="E114" i="141"/>
  <c r="H113" i="141"/>
  <c r="G113" i="141"/>
  <c r="F113" i="141"/>
  <c r="E113" i="141"/>
  <c r="H112" i="141"/>
  <c r="G112" i="141"/>
  <c r="F112" i="141"/>
  <c r="E112" i="141"/>
  <c r="H111" i="141"/>
  <c r="G111" i="141"/>
  <c r="F111" i="141"/>
  <c r="E111" i="141"/>
  <c r="H110" i="141"/>
  <c r="G110" i="141"/>
  <c r="F110" i="141"/>
  <c r="E110" i="141"/>
  <c r="H109" i="141"/>
  <c r="G109" i="141"/>
  <c r="F109" i="141"/>
  <c r="E109" i="141"/>
  <c r="H108" i="141"/>
  <c r="G108" i="141"/>
  <c r="F108" i="141"/>
  <c r="E108" i="141"/>
  <c r="H107" i="141"/>
  <c r="G107" i="141"/>
  <c r="F107" i="141"/>
  <c r="E107" i="141"/>
  <c r="H106" i="141"/>
  <c r="G106" i="141"/>
  <c r="F106" i="141"/>
  <c r="E106" i="141"/>
  <c r="H105" i="141"/>
  <c r="G105" i="141"/>
  <c r="F105" i="141"/>
  <c r="E105" i="141"/>
  <c r="H104" i="141"/>
  <c r="G104" i="141"/>
  <c r="F104" i="141"/>
  <c r="E104" i="141"/>
  <c r="H103" i="141"/>
  <c r="G103" i="141"/>
  <c r="F103" i="141"/>
  <c r="E103" i="141"/>
  <c r="H102" i="141"/>
  <c r="G102" i="141"/>
  <c r="F102" i="141"/>
  <c r="E102" i="141"/>
  <c r="H101" i="141"/>
  <c r="G101" i="141"/>
  <c r="F101" i="141"/>
  <c r="E101" i="141"/>
  <c r="H100" i="141"/>
  <c r="G100" i="141"/>
  <c r="F100" i="141"/>
  <c r="E100" i="141"/>
  <c r="H99" i="141"/>
  <c r="G99" i="141"/>
  <c r="F99" i="141"/>
  <c r="E99" i="141"/>
  <c r="H98" i="141"/>
  <c r="G98" i="141"/>
  <c r="F98" i="141"/>
  <c r="E98" i="141"/>
  <c r="H97" i="141"/>
  <c r="G97" i="141"/>
  <c r="F97" i="141"/>
  <c r="E97" i="141"/>
  <c r="H96" i="141"/>
  <c r="G96" i="141"/>
  <c r="F96" i="141"/>
  <c r="E96" i="141"/>
  <c r="H95" i="141"/>
  <c r="G95" i="141"/>
  <c r="F95" i="141"/>
  <c r="E95" i="141"/>
  <c r="H94" i="141"/>
  <c r="G94" i="141"/>
  <c r="F94" i="141"/>
  <c r="E94" i="141"/>
  <c r="H93" i="141"/>
  <c r="G93" i="141"/>
  <c r="F93" i="141"/>
  <c r="E93" i="141"/>
  <c r="H92" i="141"/>
  <c r="G92" i="141"/>
  <c r="F92" i="141"/>
  <c r="E92" i="141"/>
  <c r="H91" i="141"/>
  <c r="G91" i="141"/>
  <c r="F91" i="141"/>
  <c r="E91" i="141"/>
  <c r="H90" i="141"/>
  <c r="G90" i="141"/>
  <c r="F90" i="141"/>
  <c r="E90" i="141"/>
  <c r="H89" i="141"/>
  <c r="G89" i="141"/>
  <c r="F89" i="141"/>
  <c r="E89" i="141"/>
  <c r="H88" i="141"/>
  <c r="G88" i="141"/>
  <c r="F88" i="141"/>
  <c r="E88" i="141"/>
  <c r="H87" i="141"/>
  <c r="G87" i="141"/>
  <c r="F87" i="141"/>
  <c r="E87" i="141"/>
  <c r="H86" i="141"/>
  <c r="G86" i="141"/>
  <c r="F86" i="141"/>
  <c r="E86" i="141"/>
  <c r="H85" i="141"/>
  <c r="G85" i="141"/>
  <c r="F85" i="141"/>
  <c r="E85" i="141"/>
  <c r="H84" i="141"/>
  <c r="G84" i="141"/>
  <c r="F84" i="141"/>
  <c r="E84" i="141"/>
  <c r="H83" i="141"/>
  <c r="G83" i="141"/>
  <c r="F83" i="141"/>
  <c r="E83" i="141"/>
  <c r="H82" i="141"/>
  <c r="G82" i="141"/>
  <c r="F82" i="141"/>
  <c r="E82" i="141"/>
  <c r="H81" i="141"/>
  <c r="G81" i="141"/>
  <c r="F81" i="141"/>
  <c r="E81" i="141"/>
  <c r="H80" i="141"/>
  <c r="G80" i="141"/>
  <c r="F80" i="141"/>
  <c r="E80" i="141"/>
  <c r="H79" i="141"/>
  <c r="G79" i="141"/>
  <c r="F79" i="141"/>
  <c r="E79" i="141"/>
  <c r="H78" i="141"/>
  <c r="G78" i="141"/>
  <c r="F78" i="141"/>
  <c r="E78" i="141"/>
  <c r="H77" i="141"/>
  <c r="G77" i="141"/>
  <c r="F77" i="141"/>
  <c r="E77" i="141"/>
  <c r="H76" i="141"/>
  <c r="G76" i="141"/>
  <c r="F76" i="141"/>
  <c r="E76" i="141"/>
  <c r="H75" i="141"/>
  <c r="G75" i="141"/>
  <c r="F75" i="141"/>
  <c r="E75" i="141"/>
  <c r="H74" i="141"/>
  <c r="G74" i="141"/>
  <c r="F74" i="141"/>
  <c r="E74" i="141"/>
  <c r="H73" i="141"/>
  <c r="G73" i="141"/>
  <c r="F73" i="141"/>
  <c r="E73" i="141"/>
  <c r="H72" i="141"/>
  <c r="G72" i="141"/>
  <c r="F72" i="141"/>
  <c r="E72" i="141"/>
  <c r="H71" i="141"/>
  <c r="G71" i="141"/>
  <c r="F71" i="141"/>
  <c r="E71" i="141"/>
  <c r="H70" i="141"/>
  <c r="G70" i="141"/>
  <c r="F70" i="141"/>
  <c r="E70" i="141"/>
  <c r="H69" i="141"/>
  <c r="G69" i="141"/>
  <c r="F69" i="141"/>
  <c r="E69" i="141"/>
  <c r="H68" i="141"/>
  <c r="G68" i="141"/>
  <c r="F68" i="141"/>
  <c r="E68" i="141"/>
  <c r="H67" i="141"/>
  <c r="G67" i="141"/>
  <c r="F67" i="141"/>
  <c r="E67" i="141"/>
  <c r="H66" i="141"/>
  <c r="G66" i="141"/>
  <c r="F66" i="141"/>
  <c r="E66" i="141"/>
  <c r="H65" i="141"/>
  <c r="G65" i="141"/>
  <c r="F65" i="141"/>
  <c r="E65" i="141"/>
  <c r="H64" i="141"/>
  <c r="G64" i="141"/>
  <c r="F64" i="141"/>
  <c r="E64" i="141"/>
  <c r="H63" i="141"/>
  <c r="G63" i="141"/>
  <c r="F63" i="141"/>
  <c r="E63" i="141"/>
  <c r="H62" i="141"/>
  <c r="G62" i="141"/>
  <c r="F62" i="141"/>
  <c r="E62" i="141"/>
  <c r="H61" i="141"/>
  <c r="G61" i="141"/>
  <c r="F61" i="141"/>
  <c r="E61" i="141"/>
  <c r="H60" i="141"/>
  <c r="G60" i="141"/>
  <c r="F60" i="141"/>
  <c r="E60" i="141"/>
  <c r="H59" i="141"/>
  <c r="G59" i="141"/>
  <c r="F59" i="141"/>
  <c r="E59" i="141"/>
  <c r="H58" i="141"/>
  <c r="G58" i="141"/>
  <c r="F58" i="141"/>
  <c r="E58" i="141"/>
  <c r="H57" i="141"/>
  <c r="G57" i="141"/>
  <c r="F57" i="141"/>
  <c r="E57" i="141"/>
  <c r="H56" i="141"/>
  <c r="G56" i="141"/>
  <c r="F56" i="141"/>
  <c r="E56" i="141"/>
  <c r="H55" i="141"/>
  <c r="G55" i="141"/>
  <c r="F55" i="141"/>
  <c r="E55" i="141"/>
  <c r="H54" i="141"/>
  <c r="G54" i="141"/>
  <c r="F54" i="141"/>
  <c r="E54" i="141"/>
  <c r="H53" i="141"/>
  <c r="G53" i="141"/>
  <c r="F53" i="141"/>
  <c r="E53" i="141"/>
  <c r="H52" i="141"/>
  <c r="G52" i="141"/>
  <c r="F52" i="141"/>
  <c r="E52" i="141"/>
  <c r="H51" i="141"/>
  <c r="G51" i="141"/>
  <c r="F51" i="141"/>
  <c r="E51" i="141"/>
  <c r="H50" i="141"/>
  <c r="G50" i="141"/>
  <c r="F50" i="141"/>
  <c r="E50" i="141"/>
  <c r="H49" i="141"/>
  <c r="G49" i="141"/>
  <c r="F49" i="141"/>
  <c r="E49" i="141"/>
  <c r="H48" i="141"/>
  <c r="G48" i="141"/>
  <c r="F48" i="141"/>
  <c r="E48" i="141"/>
  <c r="H47" i="141"/>
  <c r="G47" i="141"/>
  <c r="F47" i="141"/>
  <c r="E47" i="141"/>
  <c r="H46" i="141"/>
  <c r="G46" i="141"/>
  <c r="F46" i="141"/>
  <c r="E46" i="141"/>
  <c r="H45" i="141"/>
  <c r="G45" i="141"/>
  <c r="F45" i="141"/>
  <c r="E45" i="141"/>
  <c r="H44" i="141"/>
  <c r="G44" i="141"/>
  <c r="F44" i="141"/>
  <c r="E44" i="141"/>
  <c r="H43" i="141"/>
  <c r="G43" i="141"/>
  <c r="F43" i="141"/>
  <c r="E43" i="141"/>
  <c r="H42" i="141"/>
  <c r="G42" i="141"/>
  <c r="F42" i="141"/>
  <c r="E42" i="141"/>
  <c r="H41" i="141"/>
  <c r="G41" i="141"/>
  <c r="F41" i="141"/>
  <c r="E41" i="141"/>
  <c r="H40" i="141"/>
  <c r="G40" i="141"/>
  <c r="F40" i="141"/>
  <c r="E40" i="141"/>
  <c r="H39" i="141"/>
  <c r="G39" i="141"/>
  <c r="F39" i="141"/>
  <c r="E39" i="141"/>
  <c r="H38" i="141"/>
  <c r="G38" i="141"/>
  <c r="F38" i="141"/>
  <c r="E38" i="141"/>
  <c r="H37" i="141"/>
  <c r="G37" i="141"/>
  <c r="F37" i="141"/>
  <c r="E37" i="141"/>
  <c r="H36" i="141"/>
  <c r="G36" i="141"/>
  <c r="F36" i="141"/>
  <c r="E36" i="141"/>
  <c r="H35" i="141"/>
  <c r="G35" i="141"/>
  <c r="F35" i="141"/>
  <c r="E35" i="141"/>
  <c r="H34" i="141"/>
  <c r="G34" i="141"/>
  <c r="F34" i="141"/>
  <c r="E34" i="141"/>
  <c r="H33" i="141"/>
  <c r="G33" i="141"/>
  <c r="F33" i="141"/>
  <c r="E33" i="141"/>
  <c r="H32" i="141"/>
  <c r="G32" i="141"/>
  <c r="F32" i="141"/>
  <c r="E32" i="141"/>
  <c r="H31" i="141"/>
  <c r="G31" i="141"/>
  <c r="F31" i="141"/>
  <c r="E31" i="141"/>
  <c r="H30" i="141"/>
  <c r="G30" i="141"/>
  <c r="F30" i="141"/>
  <c r="E30" i="141"/>
  <c r="H29" i="141"/>
  <c r="G29" i="141"/>
  <c r="F29" i="141"/>
  <c r="E29" i="141"/>
  <c r="H28" i="141"/>
  <c r="G28" i="141"/>
  <c r="F28" i="141"/>
  <c r="E28" i="141"/>
  <c r="H27" i="141"/>
  <c r="G27" i="141"/>
  <c r="F27" i="141"/>
  <c r="E27" i="141"/>
  <c r="H26" i="141"/>
  <c r="G26" i="141"/>
  <c r="F26" i="141"/>
  <c r="E26" i="141"/>
  <c r="H25" i="141"/>
  <c r="G25" i="141"/>
  <c r="F25" i="141"/>
  <c r="E25" i="141"/>
  <c r="H24" i="141"/>
  <c r="G24" i="141"/>
  <c r="F24" i="141"/>
  <c r="E24" i="141"/>
  <c r="H23" i="141"/>
  <c r="G23" i="141"/>
  <c r="F23" i="141"/>
  <c r="E23" i="141"/>
  <c r="H22" i="141"/>
  <c r="G22" i="141"/>
  <c r="F22" i="141"/>
  <c r="E22" i="141"/>
  <c r="H21" i="141"/>
  <c r="G21" i="141"/>
  <c r="F21" i="141"/>
  <c r="E21" i="141"/>
  <c r="H20" i="141"/>
  <c r="G20" i="141"/>
  <c r="F20" i="141"/>
  <c r="E20" i="141"/>
  <c r="H19" i="141"/>
  <c r="G19" i="141"/>
  <c r="F19" i="141"/>
  <c r="E19" i="141"/>
  <c r="H18" i="141"/>
  <c r="G18" i="141"/>
  <c r="F18" i="141"/>
  <c r="E18" i="141"/>
  <c r="H17" i="141"/>
  <c r="G17" i="141"/>
  <c r="F17" i="141"/>
  <c r="E17" i="141"/>
  <c r="H16" i="141"/>
  <c r="G16" i="141"/>
  <c r="F16" i="141"/>
  <c r="E16" i="141"/>
  <c r="H15" i="141"/>
  <c r="G15" i="141"/>
  <c r="F15" i="141"/>
  <c r="E15" i="141"/>
  <c r="H14" i="141"/>
  <c r="G14" i="141"/>
  <c r="F14" i="141"/>
  <c r="E14" i="141"/>
  <c r="H13" i="141"/>
  <c r="G13" i="141"/>
  <c r="F13" i="141"/>
  <c r="E13" i="141"/>
  <c r="H12" i="141"/>
  <c r="G12" i="141"/>
  <c r="F12" i="141"/>
  <c r="E12" i="141"/>
  <c r="H11" i="141"/>
  <c r="G11" i="141"/>
  <c r="F11" i="141"/>
  <c r="E11" i="141"/>
  <c r="H10" i="141"/>
  <c r="G10" i="141"/>
  <c r="F10" i="141"/>
  <c r="E10" i="141"/>
  <c r="D8" i="141"/>
  <c r="D96" i="141" l="1"/>
  <c r="D17" i="141"/>
  <c r="D31" i="141"/>
  <c r="D33" i="141"/>
  <c r="D55" i="141"/>
  <c r="D57" i="141"/>
  <c r="D69" i="141"/>
  <c r="D81" i="141"/>
  <c r="D91" i="141"/>
  <c r="D103" i="141"/>
  <c r="D105" i="141"/>
  <c r="D115" i="141"/>
  <c r="D129" i="141"/>
  <c r="D45" i="141"/>
  <c r="D99" i="141"/>
  <c r="D151" i="141"/>
  <c r="D43" i="141"/>
  <c r="D10" i="141"/>
  <c r="D14" i="141"/>
  <c r="D56" i="141"/>
  <c r="D70" i="141"/>
  <c r="D72" i="141"/>
  <c r="D84" i="141"/>
  <c r="D88" i="141"/>
  <c r="D118" i="141"/>
  <c r="D120" i="141"/>
  <c r="D132" i="141"/>
  <c r="D136" i="141"/>
  <c r="D138" i="141"/>
  <c r="D24" i="141"/>
  <c r="D27" i="141"/>
  <c r="D125" i="141"/>
  <c r="D137" i="141"/>
  <c r="D34" i="141"/>
  <c r="D40" i="141"/>
  <c r="D60" i="141"/>
  <c r="D93" i="141"/>
  <c r="D117" i="141"/>
  <c r="D19" i="141"/>
  <c r="D144" i="141"/>
  <c r="D147" i="141"/>
  <c r="D13" i="141"/>
  <c r="D67" i="141"/>
  <c r="D108" i="141"/>
  <c r="D141" i="141"/>
  <c r="D79" i="141"/>
  <c r="D73" i="141"/>
  <c r="D74" i="141"/>
  <c r="D127" i="141"/>
  <c r="D104" i="141"/>
  <c r="D121" i="141"/>
  <c r="D12" i="141"/>
  <c r="D21" i="141"/>
  <c r="D119" i="141"/>
  <c r="D16" i="141"/>
  <c r="D36" i="141"/>
  <c r="D39" i="141"/>
  <c r="D42" i="141"/>
  <c r="D61" i="141"/>
  <c r="D76" i="141"/>
  <c r="D87" i="141"/>
  <c r="D90" i="141"/>
  <c r="D107" i="141"/>
  <c r="D109" i="141"/>
  <c r="D124" i="141"/>
  <c r="D135" i="141"/>
  <c r="G9" i="141"/>
  <c r="G7" i="141" s="1"/>
  <c r="D59" i="141"/>
  <c r="D62" i="141"/>
  <c r="D65" i="141"/>
  <c r="D110" i="141"/>
  <c r="D113" i="141"/>
  <c r="D22" i="141"/>
  <c r="D28" i="141"/>
  <c r="D48" i="141"/>
  <c r="D51" i="141"/>
  <c r="D68" i="141"/>
  <c r="D82" i="141"/>
  <c r="D102" i="141"/>
  <c r="D116" i="141"/>
  <c r="D130" i="141"/>
  <c r="D150" i="141"/>
  <c r="D11" i="141"/>
  <c r="D54" i="141"/>
  <c r="D71" i="141"/>
  <c r="D122" i="141"/>
  <c r="D20" i="141"/>
  <c r="D25" i="141"/>
  <c r="D63" i="141"/>
  <c r="D66" i="141"/>
  <c r="D77" i="141"/>
  <c r="D80" i="141"/>
  <c r="D94" i="141"/>
  <c r="D128" i="141"/>
  <c r="D142" i="141"/>
  <c r="H9" i="141"/>
  <c r="H7" i="141" s="1"/>
  <c r="D26" i="141"/>
  <c r="D29" i="141"/>
  <c r="D46" i="141"/>
  <c r="D52" i="141"/>
  <c r="D83" i="141"/>
  <c r="D85" i="141"/>
  <c r="D100" i="141"/>
  <c r="D111" i="141"/>
  <c r="D131" i="141"/>
  <c r="D133" i="141"/>
  <c r="D148" i="141"/>
  <c r="D23" i="141"/>
  <c r="D32" i="141"/>
  <c r="D37" i="141"/>
  <c r="D86" i="141"/>
  <c r="D89" i="141"/>
  <c r="D114" i="141"/>
  <c r="D134" i="141"/>
  <c r="D15" i="141"/>
  <c r="D41" i="141"/>
  <c r="D92" i="141"/>
  <c r="D18" i="141"/>
  <c r="D38" i="141"/>
  <c r="D78" i="141"/>
  <c r="D126" i="141"/>
  <c r="D140" i="141"/>
  <c r="D44" i="141"/>
  <c r="D49" i="141"/>
  <c r="D64" i="141"/>
  <c r="D95" i="141"/>
  <c r="D97" i="141"/>
  <c r="D112" i="141"/>
  <c r="D123" i="141"/>
  <c r="D143" i="141"/>
  <c r="D145" i="141"/>
  <c r="D35" i="141"/>
  <c r="D58" i="141"/>
  <c r="D75" i="141"/>
  <c r="D106" i="141"/>
  <c r="D30" i="141"/>
  <c r="D47" i="141"/>
  <c r="D50" i="141"/>
  <c r="D53" i="141"/>
  <c r="D98" i="141"/>
  <c r="D101" i="141"/>
  <c r="D146" i="141"/>
  <c r="E9" i="141"/>
  <c r="E7" i="141" s="1"/>
  <c r="F9" i="141"/>
  <c r="F7" i="141" s="1"/>
  <c r="D9" i="141" l="1"/>
  <c r="D7" i="141" s="1"/>
  <c r="N152" i="140"/>
  <c r="M152" i="140"/>
  <c r="L152" i="140"/>
  <c r="K152" i="140" s="1"/>
  <c r="J152" i="140"/>
  <c r="I152" i="140"/>
  <c r="H152" i="140"/>
  <c r="G152" i="140"/>
  <c r="E152" i="140"/>
  <c r="N151" i="140"/>
  <c r="M151" i="140"/>
  <c r="L151" i="140"/>
  <c r="K151" i="140" s="1"/>
  <c r="J151" i="140"/>
  <c r="I151" i="140"/>
  <c r="H151" i="140"/>
  <c r="G151" i="140"/>
  <c r="E151" i="140"/>
  <c r="N150" i="140"/>
  <c r="M150" i="140"/>
  <c r="L150" i="140"/>
  <c r="K150" i="140" s="1"/>
  <c r="J150" i="140"/>
  <c r="I150" i="140"/>
  <c r="H150" i="140"/>
  <c r="G150" i="140"/>
  <c r="E150" i="140"/>
  <c r="N149" i="140"/>
  <c r="M149" i="140"/>
  <c r="L149" i="140"/>
  <c r="J149" i="140"/>
  <c r="I149" i="140"/>
  <c r="H149" i="140"/>
  <c r="G149" i="140"/>
  <c r="E149" i="140"/>
  <c r="N148" i="140"/>
  <c r="M148" i="140"/>
  <c r="L148" i="140"/>
  <c r="J148" i="140"/>
  <c r="I148" i="140"/>
  <c r="H148" i="140"/>
  <c r="G148" i="140"/>
  <c r="E148" i="140"/>
  <c r="N147" i="140"/>
  <c r="M147" i="140"/>
  <c r="L147" i="140"/>
  <c r="J147" i="140"/>
  <c r="I147" i="140"/>
  <c r="H147" i="140"/>
  <c r="G147" i="140"/>
  <c r="E147" i="140"/>
  <c r="N146" i="140"/>
  <c r="M146" i="140"/>
  <c r="L146" i="140"/>
  <c r="J146" i="140"/>
  <c r="I146" i="140"/>
  <c r="H146" i="140"/>
  <c r="G146" i="140"/>
  <c r="E146" i="140"/>
  <c r="N145" i="140"/>
  <c r="M145" i="140"/>
  <c r="L145" i="140"/>
  <c r="K145" i="140" s="1"/>
  <c r="J145" i="140"/>
  <c r="I145" i="140"/>
  <c r="H145" i="140"/>
  <c r="G145" i="140"/>
  <c r="E145" i="140"/>
  <c r="N144" i="140"/>
  <c r="M144" i="140"/>
  <c r="L144" i="140"/>
  <c r="J144" i="140"/>
  <c r="I144" i="140"/>
  <c r="H144" i="140"/>
  <c r="G144" i="140"/>
  <c r="E144" i="140"/>
  <c r="N143" i="140"/>
  <c r="M143" i="140"/>
  <c r="L143" i="140"/>
  <c r="K143" i="140" s="1"/>
  <c r="J143" i="140"/>
  <c r="I143" i="140"/>
  <c r="H143" i="140"/>
  <c r="G143" i="140"/>
  <c r="E143" i="140"/>
  <c r="N142" i="140"/>
  <c r="M142" i="140"/>
  <c r="L142" i="140"/>
  <c r="K142" i="140" s="1"/>
  <c r="J142" i="140"/>
  <c r="I142" i="140"/>
  <c r="H142" i="140"/>
  <c r="G142" i="140"/>
  <c r="E142" i="140"/>
  <c r="N141" i="140"/>
  <c r="M141" i="140"/>
  <c r="L141" i="140"/>
  <c r="J141" i="140"/>
  <c r="I141" i="140"/>
  <c r="H141" i="140"/>
  <c r="G141" i="140"/>
  <c r="E141" i="140"/>
  <c r="N140" i="140"/>
  <c r="M140" i="140"/>
  <c r="L140" i="140"/>
  <c r="J140" i="140"/>
  <c r="I140" i="140"/>
  <c r="H140" i="140"/>
  <c r="G140" i="140"/>
  <c r="E140" i="140"/>
  <c r="N139" i="140"/>
  <c r="M139" i="140"/>
  <c r="L139" i="140"/>
  <c r="J139" i="140"/>
  <c r="I139" i="140"/>
  <c r="H139" i="140"/>
  <c r="G139" i="140"/>
  <c r="E139" i="140"/>
  <c r="N138" i="140"/>
  <c r="M138" i="140"/>
  <c r="L138" i="140"/>
  <c r="K138" i="140" s="1"/>
  <c r="J138" i="140"/>
  <c r="I138" i="140"/>
  <c r="H138" i="140"/>
  <c r="G138" i="140"/>
  <c r="E138" i="140"/>
  <c r="N137" i="140"/>
  <c r="M137" i="140"/>
  <c r="L137" i="140"/>
  <c r="K137" i="140" s="1"/>
  <c r="J137" i="140"/>
  <c r="I137" i="140"/>
  <c r="H137" i="140"/>
  <c r="G137" i="140"/>
  <c r="E137" i="140"/>
  <c r="N136" i="140"/>
  <c r="M136" i="140"/>
  <c r="L136" i="140"/>
  <c r="K136" i="140" s="1"/>
  <c r="J136" i="140"/>
  <c r="I136" i="140"/>
  <c r="H136" i="140"/>
  <c r="G136" i="140"/>
  <c r="E136" i="140"/>
  <c r="N135" i="140"/>
  <c r="M135" i="140"/>
  <c r="L135" i="140"/>
  <c r="J135" i="140"/>
  <c r="I135" i="140"/>
  <c r="H135" i="140"/>
  <c r="G135" i="140"/>
  <c r="E135" i="140"/>
  <c r="N134" i="140"/>
  <c r="M134" i="140"/>
  <c r="L134" i="140"/>
  <c r="J134" i="140"/>
  <c r="I134" i="140"/>
  <c r="H134" i="140"/>
  <c r="G134" i="140"/>
  <c r="E134" i="140"/>
  <c r="N133" i="140"/>
  <c r="M133" i="140"/>
  <c r="L133" i="140"/>
  <c r="J133" i="140"/>
  <c r="I133" i="140"/>
  <c r="H133" i="140"/>
  <c r="G133" i="140"/>
  <c r="E133" i="140"/>
  <c r="N132" i="140"/>
  <c r="M132" i="140"/>
  <c r="L132" i="140"/>
  <c r="J132" i="140"/>
  <c r="I132" i="140"/>
  <c r="H132" i="140"/>
  <c r="G132" i="140"/>
  <c r="E132" i="140"/>
  <c r="N131" i="140"/>
  <c r="M131" i="140"/>
  <c r="L131" i="140"/>
  <c r="K131" i="140" s="1"/>
  <c r="J131" i="140"/>
  <c r="I131" i="140"/>
  <c r="H131" i="140"/>
  <c r="G131" i="140"/>
  <c r="E131" i="140"/>
  <c r="N130" i="140"/>
  <c r="M130" i="140"/>
  <c r="L130" i="140"/>
  <c r="J130" i="140"/>
  <c r="I130" i="140"/>
  <c r="H130" i="140"/>
  <c r="G130" i="140"/>
  <c r="E130" i="140"/>
  <c r="N129" i="140"/>
  <c r="M129" i="140"/>
  <c r="L129" i="140"/>
  <c r="J129" i="140"/>
  <c r="I129" i="140"/>
  <c r="H129" i="140"/>
  <c r="G129" i="140"/>
  <c r="E129" i="140"/>
  <c r="N128" i="140"/>
  <c r="M128" i="140"/>
  <c r="L128" i="140"/>
  <c r="J128" i="140"/>
  <c r="I128" i="140"/>
  <c r="H128" i="140"/>
  <c r="G128" i="140"/>
  <c r="E128" i="140"/>
  <c r="N127" i="140"/>
  <c r="M127" i="140"/>
  <c r="L127" i="140"/>
  <c r="J127" i="140"/>
  <c r="I127" i="140"/>
  <c r="H127" i="140"/>
  <c r="G127" i="140"/>
  <c r="E127" i="140"/>
  <c r="N126" i="140"/>
  <c r="M126" i="140"/>
  <c r="L126" i="140"/>
  <c r="J126" i="140"/>
  <c r="I126" i="140"/>
  <c r="H126" i="140"/>
  <c r="G126" i="140"/>
  <c r="E126" i="140"/>
  <c r="N125" i="140"/>
  <c r="M125" i="140"/>
  <c r="L125" i="140"/>
  <c r="K125" i="140" s="1"/>
  <c r="J125" i="140"/>
  <c r="I125" i="140"/>
  <c r="H125" i="140"/>
  <c r="G125" i="140"/>
  <c r="E125" i="140"/>
  <c r="N124" i="140"/>
  <c r="M124" i="140"/>
  <c r="L124" i="140"/>
  <c r="K124" i="140" s="1"/>
  <c r="J124" i="140"/>
  <c r="I124" i="140"/>
  <c r="H124" i="140"/>
  <c r="G124" i="140"/>
  <c r="E124" i="140"/>
  <c r="N123" i="140"/>
  <c r="M123" i="140"/>
  <c r="L123" i="140"/>
  <c r="J123" i="140"/>
  <c r="I123" i="140"/>
  <c r="H123" i="140"/>
  <c r="G123" i="140"/>
  <c r="E123" i="140"/>
  <c r="N122" i="140"/>
  <c r="M122" i="140"/>
  <c r="L122" i="140"/>
  <c r="J122" i="140"/>
  <c r="I122" i="140"/>
  <c r="H122" i="140"/>
  <c r="G122" i="140"/>
  <c r="E122" i="140"/>
  <c r="N121" i="140"/>
  <c r="M121" i="140"/>
  <c r="L121" i="140"/>
  <c r="K121" i="140" s="1"/>
  <c r="J121" i="140"/>
  <c r="I121" i="140"/>
  <c r="H121" i="140"/>
  <c r="G121" i="140"/>
  <c r="E121" i="140"/>
  <c r="N120" i="140"/>
  <c r="M120" i="140"/>
  <c r="L120" i="140"/>
  <c r="K120" i="140" s="1"/>
  <c r="J120" i="140"/>
  <c r="I120" i="140"/>
  <c r="H120" i="140"/>
  <c r="G120" i="140"/>
  <c r="E120" i="140"/>
  <c r="N119" i="140"/>
  <c r="M119" i="140"/>
  <c r="L119" i="140"/>
  <c r="K119" i="140" s="1"/>
  <c r="J119" i="140"/>
  <c r="I119" i="140"/>
  <c r="H119" i="140"/>
  <c r="G119" i="140"/>
  <c r="E119" i="140"/>
  <c r="N118" i="140"/>
  <c r="M118" i="140"/>
  <c r="L118" i="140"/>
  <c r="J118" i="140"/>
  <c r="I118" i="140"/>
  <c r="H118" i="140"/>
  <c r="G118" i="140"/>
  <c r="E118" i="140"/>
  <c r="N117" i="140"/>
  <c r="M117" i="140"/>
  <c r="L117" i="140"/>
  <c r="J117" i="140"/>
  <c r="I117" i="140"/>
  <c r="H117" i="140"/>
  <c r="G117" i="140"/>
  <c r="E117" i="140"/>
  <c r="N116" i="140"/>
  <c r="M116" i="140"/>
  <c r="L116" i="140"/>
  <c r="J116" i="140"/>
  <c r="I116" i="140"/>
  <c r="H116" i="140"/>
  <c r="G116" i="140"/>
  <c r="E116" i="140"/>
  <c r="N115" i="140"/>
  <c r="M115" i="140"/>
  <c r="L115" i="140"/>
  <c r="J115" i="140"/>
  <c r="I115" i="140"/>
  <c r="H115" i="140"/>
  <c r="G115" i="140"/>
  <c r="E115" i="140"/>
  <c r="N114" i="140"/>
  <c r="M114" i="140"/>
  <c r="L114" i="140"/>
  <c r="J114" i="140"/>
  <c r="I114" i="140"/>
  <c r="H114" i="140"/>
  <c r="G114" i="140"/>
  <c r="E114" i="140"/>
  <c r="N113" i="140"/>
  <c r="M113" i="140"/>
  <c r="L113" i="140"/>
  <c r="J113" i="140"/>
  <c r="I113" i="140"/>
  <c r="H113" i="140"/>
  <c r="G113" i="140"/>
  <c r="E113" i="140"/>
  <c r="N112" i="140"/>
  <c r="M112" i="140"/>
  <c r="L112" i="140"/>
  <c r="J112" i="140"/>
  <c r="I112" i="140"/>
  <c r="H112" i="140"/>
  <c r="G112" i="140"/>
  <c r="E112" i="140"/>
  <c r="N111" i="140"/>
  <c r="M111" i="140"/>
  <c r="L111" i="140"/>
  <c r="J111" i="140"/>
  <c r="I111" i="140"/>
  <c r="H111" i="140"/>
  <c r="G111" i="140"/>
  <c r="E111" i="140"/>
  <c r="N110" i="140"/>
  <c r="M110" i="140"/>
  <c r="L110" i="140"/>
  <c r="J110" i="140"/>
  <c r="I110" i="140"/>
  <c r="H110" i="140"/>
  <c r="G110" i="140"/>
  <c r="E110" i="140"/>
  <c r="N109" i="140"/>
  <c r="M109" i="140"/>
  <c r="L109" i="140"/>
  <c r="J109" i="140"/>
  <c r="I109" i="140"/>
  <c r="H109" i="140"/>
  <c r="G109" i="140"/>
  <c r="E109" i="140"/>
  <c r="N108" i="140"/>
  <c r="M108" i="140"/>
  <c r="L108" i="140"/>
  <c r="J108" i="140"/>
  <c r="I108" i="140"/>
  <c r="H108" i="140"/>
  <c r="G108" i="140"/>
  <c r="E108" i="140"/>
  <c r="N107" i="140"/>
  <c r="M107" i="140"/>
  <c r="L107" i="140"/>
  <c r="J107" i="140"/>
  <c r="I107" i="140"/>
  <c r="H107" i="140"/>
  <c r="G107" i="140"/>
  <c r="E107" i="140"/>
  <c r="N106" i="140"/>
  <c r="M106" i="140"/>
  <c r="L106" i="140"/>
  <c r="J106" i="140"/>
  <c r="I106" i="140"/>
  <c r="H106" i="140"/>
  <c r="G106" i="140"/>
  <c r="E106" i="140"/>
  <c r="N105" i="140"/>
  <c r="M105" i="140"/>
  <c r="L105" i="140"/>
  <c r="J105" i="140"/>
  <c r="I105" i="140"/>
  <c r="H105" i="140"/>
  <c r="G105" i="140"/>
  <c r="E105" i="140"/>
  <c r="N104" i="140"/>
  <c r="M104" i="140"/>
  <c r="L104" i="140"/>
  <c r="J104" i="140"/>
  <c r="I104" i="140"/>
  <c r="H104" i="140"/>
  <c r="G104" i="140"/>
  <c r="E104" i="140"/>
  <c r="N103" i="140"/>
  <c r="M103" i="140"/>
  <c r="L103" i="140"/>
  <c r="J103" i="140"/>
  <c r="I103" i="140"/>
  <c r="H103" i="140"/>
  <c r="G103" i="140"/>
  <c r="E103" i="140"/>
  <c r="N102" i="140"/>
  <c r="M102" i="140"/>
  <c r="L102" i="140"/>
  <c r="J102" i="140"/>
  <c r="I102" i="140"/>
  <c r="H102" i="140"/>
  <c r="G102" i="140"/>
  <c r="E102" i="140"/>
  <c r="N101" i="140"/>
  <c r="M101" i="140"/>
  <c r="L101" i="140"/>
  <c r="J101" i="140"/>
  <c r="I101" i="140"/>
  <c r="H101" i="140"/>
  <c r="G101" i="140"/>
  <c r="E101" i="140"/>
  <c r="N100" i="140"/>
  <c r="M100" i="140"/>
  <c r="L100" i="140"/>
  <c r="K100" i="140" s="1"/>
  <c r="J100" i="140"/>
  <c r="I100" i="140"/>
  <c r="H100" i="140"/>
  <c r="G100" i="140"/>
  <c r="E100" i="140"/>
  <c r="N99" i="140"/>
  <c r="M99" i="140"/>
  <c r="L99" i="140"/>
  <c r="J99" i="140"/>
  <c r="I99" i="140"/>
  <c r="H99" i="140"/>
  <c r="G99" i="140"/>
  <c r="E99" i="140"/>
  <c r="N98" i="140"/>
  <c r="M98" i="140"/>
  <c r="L98" i="140"/>
  <c r="J98" i="140"/>
  <c r="I98" i="140"/>
  <c r="H98" i="140"/>
  <c r="G98" i="140"/>
  <c r="E98" i="140"/>
  <c r="N97" i="140"/>
  <c r="M97" i="140"/>
  <c r="L97" i="140"/>
  <c r="J97" i="140"/>
  <c r="I97" i="140"/>
  <c r="H97" i="140"/>
  <c r="G97" i="140"/>
  <c r="E97" i="140"/>
  <c r="N96" i="140"/>
  <c r="M96" i="140"/>
  <c r="L96" i="140"/>
  <c r="J96" i="140"/>
  <c r="I96" i="140"/>
  <c r="H96" i="140"/>
  <c r="G96" i="140"/>
  <c r="E96" i="140"/>
  <c r="N95" i="140"/>
  <c r="M95" i="140"/>
  <c r="L95" i="140"/>
  <c r="K95" i="140" s="1"/>
  <c r="J95" i="140"/>
  <c r="I95" i="140"/>
  <c r="H95" i="140"/>
  <c r="G95" i="140"/>
  <c r="E95" i="140"/>
  <c r="N94" i="140"/>
  <c r="M94" i="140"/>
  <c r="L94" i="140"/>
  <c r="K94" i="140" s="1"/>
  <c r="J94" i="140"/>
  <c r="I94" i="140"/>
  <c r="H94" i="140"/>
  <c r="G94" i="140"/>
  <c r="E94" i="140"/>
  <c r="N93" i="140"/>
  <c r="M93" i="140"/>
  <c r="L93" i="140"/>
  <c r="J93" i="140"/>
  <c r="I93" i="140"/>
  <c r="H93" i="140"/>
  <c r="G93" i="140"/>
  <c r="E93" i="140"/>
  <c r="N92" i="140"/>
  <c r="M92" i="140"/>
  <c r="L92" i="140"/>
  <c r="K92" i="140" s="1"/>
  <c r="J92" i="140"/>
  <c r="I92" i="140"/>
  <c r="H92" i="140"/>
  <c r="G92" i="140"/>
  <c r="E92" i="140"/>
  <c r="N91" i="140"/>
  <c r="M91" i="140"/>
  <c r="L91" i="140"/>
  <c r="K91" i="140" s="1"/>
  <c r="J91" i="140"/>
  <c r="I91" i="140"/>
  <c r="H91" i="140"/>
  <c r="G91" i="140"/>
  <c r="E91" i="140"/>
  <c r="N90" i="140"/>
  <c r="M90" i="140"/>
  <c r="L90" i="140"/>
  <c r="K90" i="140" s="1"/>
  <c r="J90" i="140"/>
  <c r="I90" i="140"/>
  <c r="H90" i="140"/>
  <c r="G90" i="140"/>
  <c r="E90" i="140"/>
  <c r="N89" i="140"/>
  <c r="M89" i="140"/>
  <c r="L89" i="140"/>
  <c r="K89" i="140" s="1"/>
  <c r="J89" i="140"/>
  <c r="I89" i="140"/>
  <c r="H89" i="140"/>
  <c r="G89" i="140"/>
  <c r="E89" i="140"/>
  <c r="N88" i="140"/>
  <c r="M88" i="140"/>
  <c r="L88" i="140"/>
  <c r="J88" i="140"/>
  <c r="I88" i="140"/>
  <c r="H88" i="140"/>
  <c r="G88" i="140"/>
  <c r="E88" i="140"/>
  <c r="N87" i="140"/>
  <c r="M87" i="140"/>
  <c r="L87" i="140"/>
  <c r="K87" i="140" s="1"/>
  <c r="J87" i="140"/>
  <c r="I87" i="140"/>
  <c r="H87" i="140"/>
  <c r="G87" i="140"/>
  <c r="E87" i="140"/>
  <c r="N86" i="140"/>
  <c r="M86" i="140"/>
  <c r="L86" i="140"/>
  <c r="J86" i="140"/>
  <c r="I86" i="140"/>
  <c r="H86" i="140"/>
  <c r="G86" i="140"/>
  <c r="E86" i="140"/>
  <c r="N85" i="140"/>
  <c r="M85" i="140"/>
  <c r="L85" i="140"/>
  <c r="K85" i="140"/>
  <c r="J85" i="140"/>
  <c r="I85" i="140"/>
  <c r="H85" i="140"/>
  <c r="G85" i="140"/>
  <c r="E85" i="140"/>
  <c r="N84" i="140"/>
  <c r="M84" i="140"/>
  <c r="L84" i="140"/>
  <c r="J84" i="140"/>
  <c r="I84" i="140"/>
  <c r="H84" i="140"/>
  <c r="G84" i="140"/>
  <c r="E84" i="140"/>
  <c r="N83" i="140"/>
  <c r="M83" i="140"/>
  <c r="L83" i="140"/>
  <c r="J83" i="140"/>
  <c r="I83" i="140"/>
  <c r="H83" i="140"/>
  <c r="G83" i="140"/>
  <c r="E83" i="140"/>
  <c r="N82" i="140"/>
  <c r="M82" i="140"/>
  <c r="L82" i="140"/>
  <c r="K82" i="140" s="1"/>
  <c r="J82" i="140"/>
  <c r="I82" i="140"/>
  <c r="H82" i="140"/>
  <c r="G82" i="140"/>
  <c r="E82" i="140"/>
  <c r="N81" i="140"/>
  <c r="M81" i="140"/>
  <c r="L81" i="140"/>
  <c r="K81" i="140" s="1"/>
  <c r="J81" i="140"/>
  <c r="I81" i="140"/>
  <c r="H81" i="140"/>
  <c r="G81" i="140"/>
  <c r="E81" i="140"/>
  <c r="N80" i="140"/>
  <c r="M80" i="140"/>
  <c r="L80" i="140"/>
  <c r="J80" i="140"/>
  <c r="I80" i="140"/>
  <c r="H80" i="140"/>
  <c r="G80" i="140"/>
  <c r="E80" i="140"/>
  <c r="N79" i="140"/>
  <c r="M79" i="140"/>
  <c r="L79" i="140"/>
  <c r="J79" i="140"/>
  <c r="I79" i="140"/>
  <c r="H79" i="140"/>
  <c r="G79" i="140"/>
  <c r="E79" i="140"/>
  <c r="N78" i="140"/>
  <c r="M78" i="140"/>
  <c r="L78" i="140"/>
  <c r="J78" i="140"/>
  <c r="I78" i="140"/>
  <c r="H78" i="140"/>
  <c r="G78" i="140"/>
  <c r="E78" i="140"/>
  <c r="N77" i="140"/>
  <c r="M77" i="140"/>
  <c r="L77" i="140"/>
  <c r="K77" i="140" s="1"/>
  <c r="J77" i="140"/>
  <c r="I77" i="140"/>
  <c r="H77" i="140"/>
  <c r="G77" i="140"/>
  <c r="E77" i="140"/>
  <c r="N76" i="140"/>
  <c r="M76" i="140"/>
  <c r="L76" i="140"/>
  <c r="K76" i="140" s="1"/>
  <c r="J76" i="140"/>
  <c r="I76" i="140"/>
  <c r="H76" i="140"/>
  <c r="G76" i="140"/>
  <c r="E76" i="140"/>
  <c r="N75" i="140"/>
  <c r="M75" i="140"/>
  <c r="L75" i="140"/>
  <c r="J75" i="140"/>
  <c r="I75" i="140"/>
  <c r="H75" i="140"/>
  <c r="G75" i="140"/>
  <c r="E75" i="140"/>
  <c r="N74" i="140"/>
  <c r="M74" i="140"/>
  <c r="L74" i="140"/>
  <c r="K74" i="140" s="1"/>
  <c r="J74" i="140"/>
  <c r="I74" i="140"/>
  <c r="H74" i="140"/>
  <c r="G74" i="140"/>
  <c r="E74" i="140"/>
  <c r="N73" i="140"/>
  <c r="M73" i="140"/>
  <c r="L73" i="140"/>
  <c r="J73" i="140"/>
  <c r="I73" i="140"/>
  <c r="H73" i="140"/>
  <c r="G73" i="140"/>
  <c r="E73" i="140"/>
  <c r="N72" i="140"/>
  <c r="M72" i="140"/>
  <c r="L72" i="140"/>
  <c r="J72" i="140"/>
  <c r="I72" i="140"/>
  <c r="H72" i="140"/>
  <c r="G72" i="140"/>
  <c r="E72" i="140"/>
  <c r="N71" i="140"/>
  <c r="M71" i="140"/>
  <c r="L71" i="140"/>
  <c r="K71" i="140"/>
  <c r="J71" i="140"/>
  <c r="I71" i="140"/>
  <c r="H71" i="140"/>
  <c r="G71" i="140"/>
  <c r="E71" i="140"/>
  <c r="N70" i="140"/>
  <c r="M70" i="140"/>
  <c r="L70" i="140"/>
  <c r="J70" i="140"/>
  <c r="I70" i="140"/>
  <c r="H70" i="140"/>
  <c r="G70" i="140"/>
  <c r="E70" i="140"/>
  <c r="N69" i="140"/>
  <c r="M69" i="140"/>
  <c r="L69" i="140"/>
  <c r="J69" i="140"/>
  <c r="I69" i="140"/>
  <c r="H69" i="140"/>
  <c r="G69" i="140"/>
  <c r="E69" i="140"/>
  <c r="N68" i="140"/>
  <c r="M68" i="140"/>
  <c r="L68" i="140"/>
  <c r="J68" i="140"/>
  <c r="I68" i="140"/>
  <c r="H68" i="140"/>
  <c r="G68" i="140"/>
  <c r="E68" i="140"/>
  <c r="N67" i="140"/>
  <c r="M67" i="140"/>
  <c r="L67" i="140"/>
  <c r="K67" i="140" s="1"/>
  <c r="J67" i="140"/>
  <c r="I67" i="140"/>
  <c r="H67" i="140"/>
  <c r="G67" i="140"/>
  <c r="E67" i="140"/>
  <c r="N66" i="140"/>
  <c r="M66" i="140"/>
  <c r="L66" i="140"/>
  <c r="J66" i="140"/>
  <c r="I66" i="140"/>
  <c r="H66" i="140"/>
  <c r="G66" i="140"/>
  <c r="E66" i="140"/>
  <c r="N65" i="140"/>
  <c r="M65" i="140"/>
  <c r="L65" i="140"/>
  <c r="J65" i="140"/>
  <c r="I65" i="140"/>
  <c r="H65" i="140"/>
  <c r="G65" i="140"/>
  <c r="E65" i="140"/>
  <c r="N64" i="140"/>
  <c r="M64" i="140"/>
  <c r="L64" i="140"/>
  <c r="K64" i="140" s="1"/>
  <c r="J64" i="140"/>
  <c r="I64" i="140"/>
  <c r="H64" i="140"/>
  <c r="G64" i="140"/>
  <c r="E64" i="140"/>
  <c r="N63" i="140"/>
  <c r="M63" i="140"/>
  <c r="L63" i="140"/>
  <c r="K63" i="140" s="1"/>
  <c r="J63" i="140"/>
  <c r="I63" i="140"/>
  <c r="H63" i="140"/>
  <c r="G63" i="140"/>
  <c r="E63" i="140"/>
  <c r="N62" i="140"/>
  <c r="M62" i="140"/>
  <c r="L62" i="140"/>
  <c r="J62" i="140"/>
  <c r="I62" i="140"/>
  <c r="H62" i="140"/>
  <c r="G62" i="140"/>
  <c r="E62" i="140"/>
  <c r="N61" i="140"/>
  <c r="M61" i="140"/>
  <c r="L61" i="140"/>
  <c r="K61" i="140" s="1"/>
  <c r="J61" i="140"/>
  <c r="I61" i="140"/>
  <c r="H61" i="140"/>
  <c r="G61" i="140"/>
  <c r="E61" i="140"/>
  <c r="N60" i="140"/>
  <c r="M60" i="140"/>
  <c r="L60" i="140"/>
  <c r="J60" i="140"/>
  <c r="I60" i="140"/>
  <c r="H60" i="140"/>
  <c r="G60" i="140"/>
  <c r="E60" i="140"/>
  <c r="N59" i="140"/>
  <c r="M59" i="140"/>
  <c r="L59" i="140"/>
  <c r="J59" i="140"/>
  <c r="I59" i="140"/>
  <c r="H59" i="140"/>
  <c r="G59" i="140"/>
  <c r="E59" i="140"/>
  <c r="N58" i="140"/>
  <c r="M58" i="140"/>
  <c r="L58" i="140"/>
  <c r="K58" i="140" s="1"/>
  <c r="J58" i="140"/>
  <c r="I58" i="140"/>
  <c r="H58" i="140"/>
  <c r="G58" i="140"/>
  <c r="E58" i="140"/>
  <c r="N57" i="140"/>
  <c r="M57" i="140"/>
  <c r="L57" i="140"/>
  <c r="J57" i="140"/>
  <c r="I57" i="140"/>
  <c r="H57" i="140"/>
  <c r="G57" i="140"/>
  <c r="E57" i="140"/>
  <c r="N56" i="140"/>
  <c r="M56" i="140"/>
  <c r="L56" i="140"/>
  <c r="J56" i="140"/>
  <c r="I56" i="140"/>
  <c r="H56" i="140"/>
  <c r="G56" i="140"/>
  <c r="E56" i="140"/>
  <c r="N55" i="140"/>
  <c r="M55" i="140"/>
  <c r="L55" i="140"/>
  <c r="J55" i="140"/>
  <c r="I55" i="140"/>
  <c r="H55" i="140"/>
  <c r="G55" i="140"/>
  <c r="E55" i="140"/>
  <c r="N54" i="140"/>
  <c r="M54" i="140"/>
  <c r="L54" i="140"/>
  <c r="K54" i="140" s="1"/>
  <c r="J54" i="140"/>
  <c r="I54" i="140"/>
  <c r="H54" i="140"/>
  <c r="G54" i="140"/>
  <c r="E54" i="140"/>
  <c r="N53" i="140"/>
  <c r="M53" i="140"/>
  <c r="L53" i="140"/>
  <c r="K53" i="140" s="1"/>
  <c r="J53" i="140"/>
  <c r="I53" i="140"/>
  <c r="H53" i="140"/>
  <c r="G53" i="140"/>
  <c r="E53" i="140"/>
  <c r="N52" i="140"/>
  <c r="M52" i="140"/>
  <c r="L52" i="140"/>
  <c r="J52" i="140"/>
  <c r="I52" i="140"/>
  <c r="H52" i="140"/>
  <c r="G52" i="140"/>
  <c r="E52" i="140"/>
  <c r="N51" i="140"/>
  <c r="M51" i="140"/>
  <c r="L51" i="140"/>
  <c r="J51" i="140"/>
  <c r="I51" i="140"/>
  <c r="H51" i="140"/>
  <c r="G51" i="140"/>
  <c r="E51" i="140"/>
  <c r="N50" i="140"/>
  <c r="M50" i="140"/>
  <c r="L50" i="140"/>
  <c r="J50" i="140"/>
  <c r="I50" i="140"/>
  <c r="H50" i="140"/>
  <c r="G50" i="140"/>
  <c r="E50" i="140"/>
  <c r="N49" i="140"/>
  <c r="M49" i="140"/>
  <c r="L49" i="140"/>
  <c r="J49" i="140"/>
  <c r="I49" i="140"/>
  <c r="H49" i="140"/>
  <c r="G49" i="140"/>
  <c r="E49" i="140"/>
  <c r="N48" i="140"/>
  <c r="M48" i="140"/>
  <c r="L48" i="140"/>
  <c r="J48" i="140"/>
  <c r="I48" i="140"/>
  <c r="H48" i="140"/>
  <c r="G48" i="140"/>
  <c r="E48" i="140"/>
  <c r="N47" i="140"/>
  <c r="M47" i="140"/>
  <c r="L47" i="140"/>
  <c r="J47" i="140"/>
  <c r="I47" i="140"/>
  <c r="H47" i="140"/>
  <c r="G47" i="140"/>
  <c r="E47" i="140"/>
  <c r="N46" i="140"/>
  <c r="M46" i="140"/>
  <c r="L46" i="140"/>
  <c r="J46" i="140"/>
  <c r="I46" i="140"/>
  <c r="H46" i="140"/>
  <c r="G46" i="140"/>
  <c r="E46" i="140"/>
  <c r="N45" i="140"/>
  <c r="M45" i="140"/>
  <c r="L45" i="140"/>
  <c r="J45" i="140"/>
  <c r="I45" i="140"/>
  <c r="H45" i="140"/>
  <c r="G45" i="140"/>
  <c r="E45" i="140"/>
  <c r="N44" i="140"/>
  <c r="M44" i="140"/>
  <c r="L44" i="140"/>
  <c r="J44" i="140"/>
  <c r="I44" i="140"/>
  <c r="H44" i="140"/>
  <c r="G44" i="140"/>
  <c r="E44" i="140"/>
  <c r="N43" i="140"/>
  <c r="M43" i="140"/>
  <c r="L43" i="140"/>
  <c r="J43" i="140"/>
  <c r="I43" i="140"/>
  <c r="H43" i="140"/>
  <c r="G43" i="140"/>
  <c r="E43" i="140"/>
  <c r="N42" i="140"/>
  <c r="M42" i="140"/>
  <c r="L42" i="140"/>
  <c r="J42" i="140"/>
  <c r="I42" i="140"/>
  <c r="H42" i="140"/>
  <c r="G42" i="140"/>
  <c r="E42" i="140"/>
  <c r="N41" i="140"/>
  <c r="M41" i="140"/>
  <c r="L41" i="140"/>
  <c r="J41" i="140"/>
  <c r="I41" i="140"/>
  <c r="H41" i="140"/>
  <c r="G41" i="140"/>
  <c r="E41" i="140"/>
  <c r="N40" i="140"/>
  <c r="M40" i="140"/>
  <c r="L40" i="140"/>
  <c r="J40" i="140"/>
  <c r="I40" i="140"/>
  <c r="H40" i="140"/>
  <c r="G40" i="140"/>
  <c r="E40" i="140"/>
  <c r="N39" i="140"/>
  <c r="M39" i="140"/>
  <c r="L39" i="140"/>
  <c r="J39" i="140"/>
  <c r="I39" i="140"/>
  <c r="H39" i="140"/>
  <c r="G39" i="140"/>
  <c r="E39" i="140"/>
  <c r="N38" i="140"/>
  <c r="M38" i="140"/>
  <c r="L38" i="140"/>
  <c r="J38" i="140"/>
  <c r="I38" i="140"/>
  <c r="H38" i="140"/>
  <c r="G38" i="140"/>
  <c r="E38" i="140"/>
  <c r="N37" i="140"/>
  <c r="M37" i="140"/>
  <c r="L37" i="140"/>
  <c r="J37" i="140"/>
  <c r="I37" i="140"/>
  <c r="H37" i="140"/>
  <c r="G37" i="140"/>
  <c r="E37" i="140"/>
  <c r="N36" i="140"/>
  <c r="M36" i="140"/>
  <c r="L36" i="140"/>
  <c r="J36" i="140"/>
  <c r="I36" i="140"/>
  <c r="H36" i="140"/>
  <c r="G36" i="140"/>
  <c r="E36" i="140"/>
  <c r="N35" i="140"/>
  <c r="M35" i="140"/>
  <c r="L35" i="140"/>
  <c r="J35" i="140"/>
  <c r="I35" i="140"/>
  <c r="H35" i="140"/>
  <c r="G35" i="140"/>
  <c r="E35" i="140"/>
  <c r="N34" i="140"/>
  <c r="M34" i="140"/>
  <c r="L34" i="140"/>
  <c r="J34" i="140"/>
  <c r="I34" i="140"/>
  <c r="H34" i="140"/>
  <c r="G34" i="140"/>
  <c r="E34" i="140"/>
  <c r="N33" i="140"/>
  <c r="M33" i="140"/>
  <c r="L33" i="140"/>
  <c r="J33" i="140"/>
  <c r="I33" i="140"/>
  <c r="H33" i="140"/>
  <c r="G33" i="140"/>
  <c r="E33" i="140"/>
  <c r="N32" i="140"/>
  <c r="M32" i="140"/>
  <c r="L32" i="140"/>
  <c r="J32" i="140"/>
  <c r="I32" i="140"/>
  <c r="H32" i="140"/>
  <c r="G32" i="140"/>
  <c r="E32" i="140"/>
  <c r="N31" i="140"/>
  <c r="M31" i="140"/>
  <c r="L31" i="140"/>
  <c r="K31" i="140" s="1"/>
  <c r="J31" i="140"/>
  <c r="I31" i="140"/>
  <c r="H31" i="140"/>
  <c r="G31" i="140"/>
  <c r="E31" i="140"/>
  <c r="N30" i="140"/>
  <c r="M30" i="140"/>
  <c r="L30" i="140"/>
  <c r="J30" i="140"/>
  <c r="I30" i="140"/>
  <c r="H30" i="140"/>
  <c r="G30" i="140"/>
  <c r="E30" i="140"/>
  <c r="N29" i="140"/>
  <c r="M29" i="140"/>
  <c r="L29" i="140"/>
  <c r="J29" i="140"/>
  <c r="I29" i="140"/>
  <c r="H29" i="140"/>
  <c r="G29" i="140"/>
  <c r="E29" i="140"/>
  <c r="N28" i="140"/>
  <c r="M28" i="140"/>
  <c r="L28" i="140"/>
  <c r="J28" i="140"/>
  <c r="I28" i="140"/>
  <c r="H28" i="140"/>
  <c r="G28" i="140"/>
  <c r="E28" i="140"/>
  <c r="N27" i="140"/>
  <c r="M27" i="140"/>
  <c r="L27" i="140"/>
  <c r="J27" i="140"/>
  <c r="I27" i="140"/>
  <c r="H27" i="140"/>
  <c r="G27" i="140"/>
  <c r="E27" i="140"/>
  <c r="N26" i="140"/>
  <c r="M26" i="140"/>
  <c r="L26" i="140"/>
  <c r="J26" i="140"/>
  <c r="I26" i="140"/>
  <c r="H26" i="140"/>
  <c r="G26" i="140"/>
  <c r="E26" i="140"/>
  <c r="N25" i="140"/>
  <c r="M25" i="140"/>
  <c r="L25" i="140"/>
  <c r="J25" i="140"/>
  <c r="I25" i="140"/>
  <c r="H25" i="140"/>
  <c r="G25" i="140"/>
  <c r="E25" i="140"/>
  <c r="N24" i="140"/>
  <c r="M24" i="140"/>
  <c r="L24" i="140"/>
  <c r="J24" i="140"/>
  <c r="I24" i="140"/>
  <c r="H24" i="140"/>
  <c r="G24" i="140"/>
  <c r="E24" i="140"/>
  <c r="N23" i="140"/>
  <c r="M23" i="140"/>
  <c r="L23" i="140"/>
  <c r="J23" i="140"/>
  <c r="I23" i="140"/>
  <c r="H23" i="140"/>
  <c r="G23" i="140"/>
  <c r="E23" i="140"/>
  <c r="N22" i="140"/>
  <c r="M22" i="140"/>
  <c r="L22" i="140"/>
  <c r="J22" i="140"/>
  <c r="I22" i="140"/>
  <c r="H22" i="140"/>
  <c r="G22" i="140"/>
  <c r="E22" i="140"/>
  <c r="N21" i="140"/>
  <c r="M21" i="140"/>
  <c r="L21" i="140"/>
  <c r="J21" i="140"/>
  <c r="I21" i="140"/>
  <c r="H21" i="140"/>
  <c r="G21" i="140"/>
  <c r="E21" i="140"/>
  <c r="N20" i="140"/>
  <c r="M20" i="140"/>
  <c r="L20" i="140"/>
  <c r="J20" i="140"/>
  <c r="I20" i="140"/>
  <c r="H20" i="140"/>
  <c r="G20" i="140"/>
  <c r="E20" i="140"/>
  <c r="N19" i="140"/>
  <c r="M19" i="140"/>
  <c r="L19" i="140"/>
  <c r="K19" i="140" s="1"/>
  <c r="J19" i="140"/>
  <c r="I19" i="140"/>
  <c r="H19" i="140"/>
  <c r="G19" i="140"/>
  <c r="E19" i="140"/>
  <c r="N18" i="140"/>
  <c r="M18" i="140"/>
  <c r="L18" i="140"/>
  <c r="K18" i="140" s="1"/>
  <c r="J18" i="140"/>
  <c r="I18" i="140"/>
  <c r="H18" i="140"/>
  <c r="G18" i="140"/>
  <c r="E18" i="140"/>
  <c r="N17" i="140"/>
  <c r="M17" i="140"/>
  <c r="L17" i="140"/>
  <c r="K17" i="140" s="1"/>
  <c r="J17" i="140"/>
  <c r="I17" i="140"/>
  <c r="H17" i="140"/>
  <c r="G17" i="140"/>
  <c r="E17" i="140"/>
  <c r="N16" i="140"/>
  <c r="M16" i="140"/>
  <c r="L16" i="140"/>
  <c r="K16" i="140" s="1"/>
  <c r="J16" i="140"/>
  <c r="I16" i="140"/>
  <c r="H16" i="140"/>
  <c r="G16" i="140"/>
  <c r="E16" i="140"/>
  <c r="N15" i="140"/>
  <c r="M15" i="140"/>
  <c r="L15" i="140"/>
  <c r="J15" i="140"/>
  <c r="I15" i="140"/>
  <c r="H15" i="140"/>
  <c r="G15" i="140"/>
  <c r="E15" i="140"/>
  <c r="N14" i="140"/>
  <c r="M14" i="140"/>
  <c r="L14" i="140"/>
  <c r="K14" i="140" s="1"/>
  <c r="J14" i="140"/>
  <c r="I14" i="140"/>
  <c r="H14" i="140"/>
  <c r="G14" i="140"/>
  <c r="E14" i="140"/>
  <c r="N13" i="140"/>
  <c r="M13" i="140"/>
  <c r="L13" i="140"/>
  <c r="K13" i="140" s="1"/>
  <c r="J13" i="140"/>
  <c r="I13" i="140"/>
  <c r="H13" i="140"/>
  <c r="G13" i="140"/>
  <c r="E13" i="140"/>
  <c r="N12" i="140"/>
  <c r="M12" i="140"/>
  <c r="L12" i="140"/>
  <c r="J12" i="140"/>
  <c r="I12" i="140"/>
  <c r="H12" i="140"/>
  <c r="G12" i="140"/>
  <c r="E12" i="140"/>
  <c r="N11" i="140"/>
  <c r="M11" i="140"/>
  <c r="L11" i="140"/>
  <c r="K11" i="140" s="1"/>
  <c r="J11" i="140"/>
  <c r="I11" i="140"/>
  <c r="H11" i="140"/>
  <c r="G11" i="140"/>
  <c r="E11" i="140"/>
  <c r="F10" i="140"/>
  <c r="F8" i="140" s="1"/>
  <c r="K9" i="140"/>
  <c r="G9" i="140"/>
  <c r="K29" i="140" l="1"/>
  <c r="K34" i="140"/>
  <c r="D34" i="140" s="1"/>
  <c r="K52" i="140"/>
  <c r="K83" i="140"/>
  <c r="D91" i="140"/>
  <c r="K97" i="140"/>
  <c r="D97" i="140" s="1"/>
  <c r="H10" i="140"/>
  <c r="H8" i="140" s="1"/>
  <c r="D67" i="140"/>
  <c r="K88" i="140"/>
  <c r="K101" i="140"/>
  <c r="D101" i="140" s="1"/>
  <c r="K103" i="140"/>
  <c r="D103" i="140" s="1"/>
  <c r="K106" i="140"/>
  <c r="K107" i="140"/>
  <c r="K111" i="140"/>
  <c r="D111" i="140" s="1"/>
  <c r="K112" i="140"/>
  <c r="K118" i="140"/>
  <c r="D145" i="140"/>
  <c r="D151" i="140"/>
  <c r="K127" i="140"/>
  <c r="D127" i="140" s="1"/>
  <c r="K139" i="140"/>
  <c r="K148" i="140"/>
  <c r="K21" i="140"/>
  <c r="D21" i="140" s="1"/>
  <c r="K22" i="140"/>
  <c r="K27" i="140"/>
  <c r="K28" i="140"/>
  <c r="K70" i="140"/>
  <c r="D70" i="140" s="1"/>
  <c r="K32" i="140"/>
  <c r="D32" i="140" s="1"/>
  <c r="K35" i="140"/>
  <c r="K36" i="140"/>
  <c r="D36" i="140" s="1"/>
  <c r="K38" i="140"/>
  <c r="D38" i="140" s="1"/>
  <c r="K39" i="140"/>
  <c r="K41" i="140"/>
  <c r="K45" i="140"/>
  <c r="K46" i="140"/>
  <c r="D46" i="140" s="1"/>
  <c r="K47" i="140"/>
  <c r="D47" i="140" s="1"/>
  <c r="K48" i="140"/>
  <c r="K49" i="140"/>
  <c r="D49" i="140" s="1"/>
  <c r="K72" i="140"/>
  <c r="D72" i="140" s="1"/>
  <c r="K75" i="140"/>
  <c r="K113" i="140"/>
  <c r="K12" i="140"/>
  <c r="E10" i="140"/>
  <c r="E8" i="140" s="1"/>
  <c r="K37" i="140"/>
  <c r="D37" i="140" s="1"/>
  <c r="K40" i="140"/>
  <c r="K43" i="140"/>
  <c r="D43" i="140" s="1"/>
  <c r="K56" i="140"/>
  <c r="D56" i="140" s="1"/>
  <c r="K59" i="140"/>
  <c r="D59" i="140" s="1"/>
  <c r="K65" i="140"/>
  <c r="D65" i="140" s="1"/>
  <c r="K122" i="140"/>
  <c r="D61" i="140"/>
  <c r="N10" i="140"/>
  <c r="N8" i="140" s="1"/>
  <c r="K115" i="140"/>
  <c r="D115" i="140" s="1"/>
  <c r="J10" i="140"/>
  <c r="J8" i="140" s="1"/>
  <c r="K30" i="140"/>
  <c r="D85" i="140"/>
  <c r="K93" i="140"/>
  <c r="D93" i="140" s="1"/>
  <c r="K109" i="140"/>
  <c r="D109" i="140" s="1"/>
  <c r="K140" i="140"/>
  <c r="D121" i="140"/>
  <c r="M10" i="140"/>
  <c r="D14" i="140"/>
  <c r="K20" i="140"/>
  <c r="K23" i="140"/>
  <c r="D23" i="140" s="1"/>
  <c r="K55" i="140"/>
  <c r="D55" i="140" s="1"/>
  <c r="K102" i="140"/>
  <c r="D102" i="140" s="1"/>
  <c r="K130" i="140"/>
  <c r="K133" i="140"/>
  <c r="D133" i="140" s="1"/>
  <c r="K149" i="140"/>
  <c r="D149" i="140" s="1"/>
  <c r="K79" i="140"/>
  <c r="D79" i="140" s="1"/>
  <c r="D152" i="140"/>
  <c r="I10" i="140"/>
  <c r="I8" i="140" s="1"/>
  <c r="K73" i="140"/>
  <c r="D73" i="140" s="1"/>
  <c r="D31" i="140"/>
  <c r="K66" i="140"/>
  <c r="D66" i="140" s="1"/>
  <c r="D139" i="140"/>
  <c r="K25" i="140"/>
  <c r="D25" i="140" s="1"/>
  <c r="D27" i="140"/>
  <c r="K104" i="140"/>
  <c r="D104" i="140" s="1"/>
  <c r="K129" i="140"/>
  <c r="D19" i="140"/>
  <c r="D41" i="140"/>
  <c r="D30" i="140"/>
  <c r="D48" i="140"/>
  <c r="D52" i="140"/>
  <c r="K60" i="140"/>
  <c r="K86" i="140"/>
  <c r="D86" i="140" s="1"/>
  <c r="D100" i="140"/>
  <c r="K108" i="140"/>
  <c r="D108" i="140" s="1"/>
  <c r="D118" i="140"/>
  <c r="K126" i="140"/>
  <c r="D126" i="140" s="1"/>
  <c r="D136" i="140"/>
  <c r="K144" i="140"/>
  <c r="D144" i="140" s="1"/>
  <c r="D12" i="140"/>
  <c r="D16" i="140"/>
  <c r="K24" i="140"/>
  <c r="D24" i="140" s="1"/>
  <c r="K42" i="140"/>
  <c r="D42" i="140" s="1"/>
  <c r="D51" i="140"/>
  <c r="K78" i="140"/>
  <c r="D78" i="140" s="1"/>
  <c r="K147" i="140"/>
  <c r="D13" i="140"/>
  <c r="D74" i="140"/>
  <c r="D95" i="140"/>
  <c r="D113" i="140"/>
  <c r="D122" i="140"/>
  <c r="D131" i="140"/>
  <c r="D140" i="140"/>
  <c r="D20" i="140"/>
  <c r="D29" i="140"/>
  <c r="D54" i="140"/>
  <c r="D87" i="140"/>
  <c r="D88" i="140"/>
  <c r="D120" i="140"/>
  <c r="D138" i="140"/>
  <c r="D77" i="140"/>
  <c r="L10" i="140"/>
  <c r="L8" i="140" s="1"/>
  <c r="D11" i="140"/>
  <c r="D18" i="140"/>
  <c r="D58" i="140"/>
  <c r="D83" i="140"/>
  <c r="K96" i="140"/>
  <c r="D96" i="140" s="1"/>
  <c r="D106" i="140"/>
  <c r="K114" i="140"/>
  <c r="D114" i="140" s="1"/>
  <c r="D124" i="140"/>
  <c r="K132" i="140"/>
  <c r="D132" i="140" s="1"/>
  <c r="D142" i="140"/>
  <c r="G10" i="140"/>
  <c r="G8" i="140" s="1"/>
  <c r="D22" i="140"/>
  <c r="D40" i="140"/>
  <c r="D75" i="140"/>
  <c r="D76" i="140"/>
  <c r="D92" i="140"/>
  <c r="K146" i="140"/>
  <c r="D146" i="140" s="1"/>
  <c r="K51" i="140"/>
  <c r="D53" i="140"/>
  <c r="K62" i="140"/>
  <c r="D62" i="140" s="1"/>
  <c r="K69" i="140"/>
  <c r="D69" i="140" s="1"/>
  <c r="D71" i="140"/>
  <c r="K84" i="140"/>
  <c r="D84" i="140" s="1"/>
  <c r="K99" i="140"/>
  <c r="D99" i="140" s="1"/>
  <c r="K110" i="140"/>
  <c r="D110" i="140" s="1"/>
  <c r="K117" i="140"/>
  <c r="D117" i="140" s="1"/>
  <c r="D119" i="140"/>
  <c r="K128" i="140"/>
  <c r="D128" i="140" s="1"/>
  <c r="K135" i="140"/>
  <c r="D135" i="140" s="1"/>
  <c r="D137" i="140"/>
  <c r="D9" i="140"/>
  <c r="K15" i="140"/>
  <c r="D15" i="140" s="1"/>
  <c r="D17" i="140"/>
  <c r="K26" i="140"/>
  <c r="D26" i="140" s="1"/>
  <c r="K33" i="140"/>
  <c r="D33" i="140" s="1"/>
  <c r="D35" i="140"/>
  <c r="K44" i="140"/>
  <c r="D44" i="140" s="1"/>
  <c r="K80" i="140"/>
  <c r="D80" i="140" s="1"/>
  <c r="D148" i="140"/>
  <c r="D64" i="140"/>
  <c r="D94" i="140"/>
  <c r="D112" i="140"/>
  <c r="D130" i="140"/>
  <c r="D28" i="140"/>
  <c r="D89" i="140"/>
  <c r="D45" i="140"/>
  <c r="K50" i="140"/>
  <c r="D50" i="140" s="1"/>
  <c r="K57" i="140"/>
  <c r="D57" i="140" s="1"/>
  <c r="D63" i="140"/>
  <c r="K68" i="140"/>
  <c r="D68" i="140" s="1"/>
  <c r="D81" i="140"/>
  <c r="D82" i="140"/>
  <c r="K98" i="140"/>
  <c r="D98" i="140" s="1"/>
  <c r="K105" i="140"/>
  <c r="D105" i="140" s="1"/>
  <c r="D107" i="140"/>
  <c r="K116" i="140"/>
  <c r="D116" i="140" s="1"/>
  <c r="K123" i="140"/>
  <c r="D123" i="140" s="1"/>
  <c r="D125" i="140"/>
  <c r="K134" i="140"/>
  <c r="D134" i="140" s="1"/>
  <c r="K141" i="140"/>
  <c r="D143" i="140"/>
  <c r="D150" i="140"/>
  <c r="D141" i="140"/>
  <c r="D39" i="140"/>
  <c r="M8" i="140"/>
  <c r="D60" i="140"/>
  <c r="D147" i="140"/>
  <c r="D90" i="140"/>
  <c r="D129" i="140"/>
  <c r="K10" i="140" l="1"/>
  <c r="K8" i="140" s="1"/>
  <c r="D8" i="140" s="1"/>
  <c r="D10" i="140" l="1"/>
  <c r="L153" i="139"/>
  <c r="K153" i="139"/>
  <c r="J153" i="139"/>
  <c r="H153" i="139"/>
  <c r="G153" i="139"/>
  <c r="F153" i="139" s="1"/>
  <c r="E153" i="139"/>
  <c r="L152" i="139"/>
  <c r="K152" i="139"/>
  <c r="J152" i="139"/>
  <c r="H152" i="139"/>
  <c r="G152" i="139"/>
  <c r="E152" i="139"/>
  <c r="L151" i="139"/>
  <c r="K151" i="139"/>
  <c r="J151" i="139"/>
  <c r="I151" i="139" s="1"/>
  <c r="H151" i="139"/>
  <c r="G151" i="139"/>
  <c r="F151" i="139" s="1"/>
  <c r="E151" i="139"/>
  <c r="L150" i="139"/>
  <c r="K150" i="139"/>
  <c r="J150" i="139"/>
  <c r="I150" i="139" s="1"/>
  <c r="H150" i="139"/>
  <c r="G150" i="139"/>
  <c r="E150" i="139"/>
  <c r="L149" i="139"/>
  <c r="K149" i="139"/>
  <c r="J149" i="139"/>
  <c r="H149" i="139"/>
  <c r="G149" i="139"/>
  <c r="E149" i="139"/>
  <c r="L148" i="139"/>
  <c r="K148" i="139"/>
  <c r="J148" i="139"/>
  <c r="H148" i="139"/>
  <c r="G148" i="139"/>
  <c r="E148" i="139"/>
  <c r="L147" i="139"/>
  <c r="K147" i="139"/>
  <c r="J147" i="139"/>
  <c r="H147" i="139"/>
  <c r="G147" i="139"/>
  <c r="E147" i="139"/>
  <c r="L146" i="139"/>
  <c r="K146" i="139"/>
  <c r="J146" i="139"/>
  <c r="H146" i="139"/>
  <c r="F146" i="139" s="1"/>
  <c r="G146" i="139"/>
  <c r="E146" i="139"/>
  <c r="L145" i="139"/>
  <c r="K145" i="139"/>
  <c r="J145" i="139"/>
  <c r="I145" i="139" s="1"/>
  <c r="H145" i="139"/>
  <c r="G145" i="139"/>
  <c r="E145" i="139"/>
  <c r="L144" i="139"/>
  <c r="K144" i="139"/>
  <c r="J144" i="139"/>
  <c r="H144" i="139"/>
  <c r="G144" i="139"/>
  <c r="E144" i="139"/>
  <c r="L143" i="139"/>
  <c r="K143" i="139"/>
  <c r="J143" i="139"/>
  <c r="H143" i="139"/>
  <c r="G143" i="139"/>
  <c r="E143" i="139"/>
  <c r="L142" i="139"/>
  <c r="K142" i="139"/>
  <c r="J142" i="139"/>
  <c r="H142" i="139"/>
  <c r="G142" i="139"/>
  <c r="E142" i="139"/>
  <c r="L141" i="139"/>
  <c r="K141" i="139"/>
  <c r="J141" i="139"/>
  <c r="H141" i="139"/>
  <c r="G141" i="139"/>
  <c r="E141" i="139"/>
  <c r="L140" i="139"/>
  <c r="K140" i="139"/>
  <c r="J140" i="139"/>
  <c r="H140" i="139"/>
  <c r="G140" i="139"/>
  <c r="E140" i="139"/>
  <c r="L139" i="139"/>
  <c r="K139" i="139"/>
  <c r="J139" i="139"/>
  <c r="H139" i="139"/>
  <c r="G139" i="139"/>
  <c r="E139" i="139"/>
  <c r="L138" i="139"/>
  <c r="K138" i="139"/>
  <c r="J138" i="139"/>
  <c r="H138" i="139"/>
  <c r="G138" i="139"/>
  <c r="E138" i="139"/>
  <c r="L137" i="139"/>
  <c r="K137" i="139"/>
  <c r="J137" i="139"/>
  <c r="H137" i="139"/>
  <c r="G137" i="139"/>
  <c r="E137" i="139"/>
  <c r="L136" i="139"/>
  <c r="K136" i="139"/>
  <c r="J136" i="139"/>
  <c r="H136" i="139"/>
  <c r="G136" i="139"/>
  <c r="F136" i="139" s="1"/>
  <c r="E136" i="139"/>
  <c r="L135" i="139"/>
  <c r="K135" i="139"/>
  <c r="J135" i="139"/>
  <c r="H135" i="139"/>
  <c r="G135" i="139"/>
  <c r="E135" i="139"/>
  <c r="L134" i="139"/>
  <c r="K134" i="139"/>
  <c r="J134" i="139"/>
  <c r="H134" i="139"/>
  <c r="G134" i="139"/>
  <c r="E134" i="139"/>
  <c r="L133" i="139"/>
  <c r="K133" i="139"/>
  <c r="J133" i="139"/>
  <c r="I133" i="139" s="1"/>
  <c r="H133" i="139"/>
  <c r="G133" i="139"/>
  <c r="E133" i="139"/>
  <c r="L132" i="139"/>
  <c r="K132" i="139"/>
  <c r="J132" i="139"/>
  <c r="H132" i="139"/>
  <c r="G132" i="139"/>
  <c r="E132" i="139"/>
  <c r="L131" i="139"/>
  <c r="K131" i="139"/>
  <c r="J131" i="139"/>
  <c r="H131" i="139"/>
  <c r="G131" i="139"/>
  <c r="E131" i="139"/>
  <c r="L130" i="139"/>
  <c r="K130" i="139"/>
  <c r="J130" i="139"/>
  <c r="H130" i="139"/>
  <c r="G130" i="139"/>
  <c r="E130" i="139"/>
  <c r="L129" i="139"/>
  <c r="K129" i="139"/>
  <c r="J129" i="139"/>
  <c r="H129" i="139"/>
  <c r="G129" i="139"/>
  <c r="E129" i="139"/>
  <c r="L128" i="139"/>
  <c r="K128" i="139"/>
  <c r="I128" i="139" s="1"/>
  <c r="J128" i="139"/>
  <c r="H128" i="139"/>
  <c r="G128" i="139"/>
  <c r="E128" i="139"/>
  <c r="L127" i="139"/>
  <c r="K127" i="139"/>
  <c r="J127" i="139"/>
  <c r="H127" i="139"/>
  <c r="G127" i="139"/>
  <c r="E127" i="139"/>
  <c r="L126" i="139"/>
  <c r="K126" i="139"/>
  <c r="J126" i="139"/>
  <c r="H126" i="139"/>
  <c r="G126" i="139"/>
  <c r="E126" i="139"/>
  <c r="L125" i="139"/>
  <c r="K125" i="139"/>
  <c r="J125" i="139"/>
  <c r="H125" i="139"/>
  <c r="G125" i="139"/>
  <c r="E125" i="139"/>
  <c r="L124" i="139"/>
  <c r="K124" i="139"/>
  <c r="J124" i="139"/>
  <c r="H124" i="139"/>
  <c r="G124" i="139"/>
  <c r="F124" i="139" s="1"/>
  <c r="E124" i="139"/>
  <c r="L123" i="139"/>
  <c r="K123" i="139"/>
  <c r="J123" i="139"/>
  <c r="H123" i="139"/>
  <c r="G123" i="139"/>
  <c r="E123" i="139"/>
  <c r="L122" i="139"/>
  <c r="K122" i="139"/>
  <c r="I122" i="139" s="1"/>
  <c r="J122" i="139"/>
  <c r="H122" i="139"/>
  <c r="F122" i="139" s="1"/>
  <c r="G122" i="139"/>
  <c r="E122" i="139"/>
  <c r="L121" i="139"/>
  <c r="K121" i="139"/>
  <c r="J121" i="139"/>
  <c r="H121" i="139"/>
  <c r="G121" i="139"/>
  <c r="E121" i="139"/>
  <c r="L120" i="139"/>
  <c r="K120" i="139"/>
  <c r="J120" i="139"/>
  <c r="H120" i="139"/>
  <c r="G120" i="139"/>
  <c r="E120" i="139"/>
  <c r="L119" i="139"/>
  <c r="K119" i="139"/>
  <c r="J119" i="139"/>
  <c r="H119" i="139"/>
  <c r="G119" i="139"/>
  <c r="E119" i="139"/>
  <c r="L118" i="139"/>
  <c r="K118" i="139"/>
  <c r="J118" i="139"/>
  <c r="H118" i="139"/>
  <c r="G118" i="139"/>
  <c r="E118" i="139"/>
  <c r="L117" i="139"/>
  <c r="K117" i="139"/>
  <c r="J117" i="139"/>
  <c r="I117" i="139" s="1"/>
  <c r="H117" i="139"/>
  <c r="G117" i="139"/>
  <c r="E117" i="139"/>
  <c r="L116" i="139"/>
  <c r="K116" i="139"/>
  <c r="J116" i="139"/>
  <c r="H116" i="139"/>
  <c r="G116" i="139"/>
  <c r="F116" i="139" s="1"/>
  <c r="E116" i="139"/>
  <c r="L115" i="139"/>
  <c r="K115" i="139"/>
  <c r="J115" i="139"/>
  <c r="H115" i="139"/>
  <c r="G115" i="139"/>
  <c r="E115" i="139"/>
  <c r="L114" i="139"/>
  <c r="K114" i="139"/>
  <c r="J114" i="139"/>
  <c r="H114" i="139"/>
  <c r="G114" i="139"/>
  <c r="E114" i="139"/>
  <c r="L113" i="139"/>
  <c r="K113" i="139"/>
  <c r="J113" i="139"/>
  <c r="H113" i="139"/>
  <c r="F113" i="139" s="1"/>
  <c r="G113" i="139"/>
  <c r="E113" i="139"/>
  <c r="L112" i="139"/>
  <c r="K112" i="139"/>
  <c r="J112" i="139"/>
  <c r="H112" i="139"/>
  <c r="G112" i="139"/>
  <c r="E112" i="139"/>
  <c r="L111" i="139"/>
  <c r="K111" i="139"/>
  <c r="J111" i="139"/>
  <c r="H111" i="139"/>
  <c r="F111" i="139" s="1"/>
  <c r="G111" i="139"/>
  <c r="E111" i="139"/>
  <c r="L110" i="139"/>
  <c r="K110" i="139"/>
  <c r="J110" i="139"/>
  <c r="H110" i="139"/>
  <c r="G110" i="139"/>
  <c r="E110" i="139"/>
  <c r="L109" i="139"/>
  <c r="K109" i="139"/>
  <c r="J109" i="139"/>
  <c r="H109" i="139"/>
  <c r="G109" i="139"/>
  <c r="E109" i="139"/>
  <c r="L108" i="139"/>
  <c r="K108" i="139"/>
  <c r="J108" i="139"/>
  <c r="H108" i="139"/>
  <c r="G108" i="139"/>
  <c r="E108" i="139"/>
  <c r="L107" i="139"/>
  <c r="K107" i="139"/>
  <c r="J107" i="139"/>
  <c r="H107" i="139"/>
  <c r="G107" i="139"/>
  <c r="E107" i="139"/>
  <c r="L106" i="139"/>
  <c r="K106" i="139"/>
  <c r="J106" i="139"/>
  <c r="H106" i="139"/>
  <c r="G106" i="139"/>
  <c r="E106" i="139"/>
  <c r="L105" i="139"/>
  <c r="K105" i="139"/>
  <c r="J105" i="139"/>
  <c r="H105" i="139"/>
  <c r="G105" i="139"/>
  <c r="E105" i="139"/>
  <c r="L104" i="139"/>
  <c r="K104" i="139"/>
  <c r="J104" i="139"/>
  <c r="H104" i="139"/>
  <c r="G104" i="139"/>
  <c r="F104" i="139" s="1"/>
  <c r="E104" i="139"/>
  <c r="L103" i="139"/>
  <c r="K103" i="139"/>
  <c r="J103" i="139"/>
  <c r="H103" i="139"/>
  <c r="G103" i="139"/>
  <c r="E103" i="139"/>
  <c r="L102" i="139"/>
  <c r="K102" i="139"/>
  <c r="J102" i="139"/>
  <c r="H102" i="139"/>
  <c r="G102" i="139"/>
  <c r="E102" i="139"/>
  <c r="L101" i="139"/>
  <c r="K101" i="139"/>
  <c r="J101" i="139"/>
  <c r="H101" i="139"/>
  <c r="G101" i="139"/>
  <c r="E101" i="139"/>
  <c r="L100" i="139"/>
  <c r="K100" i="139"/>
  <c r="J100" i="139"/>
  <c r="H100" i="139"/>
  <c r="G100" i="139"/>
  <c r="F100" i="139" s="1"/>
  <c r="E100" i="139"/>
  <c r="L99" i="139"/>
  <c r="K99" i="139"/>
  <c r="J99" i="139"/>
  <c r="H99" i="139"/>
  <c r="G99" i="139"/>
  <c r="E99" i="139"/>
  <c r="L98" i="139"/>
  <c r="K98" i="139"/>
  <c r="J98" i="139"/>
  <c r="H98" i="139"/>
  <c r="G98" i="139"/>
  <c r="E98" i="139"/>
  <c r="L97" i="139"/>
  <c r="K97" i="139"/>
  <c r="J97" i="139"/>
  <c r="H97" i="139"/>
  <c r="G97" i="139"/>
  <c r="E97" i="139"/>
  <c r="L96" i="139"/>
  <c r="K96" i="139"/>
  <c r="J96" i="139"/>
  <c r="H96" i="139"/>
  <c r="G96" i="139"/>
  <c r="F96" i="139" s="1"/>
  <c r="E96" i="139"/>
  <c r="L95" i="139"/>
  <c r="K95" i="139"/>
  <c r="J95" i="139"/>
  <c r="H95" i="139"/>
  <c r="G95" i="139"/>
  <c r="E95" i="139"/>
  <c r="L94" i="139"/>
  <c r="K94" i="139"/>
  <c r="J94" i="139"/>
  <c r="H94" i="139"/>
  <c r="G94" i="139"/>
  <c r="E94" i="139"/>
  <c r="L93" i="139"/>
  <c r="K93" i="139"/>
  <c r="J93" i="139"/>
  <c r="H93" i="139"/>
  <c r="G93" i="139"/>
  <c r="E93" i="139"/>
  <c r="L92" i="139"/>
  <c r="K92" i="139"/>
  <c r="J92" i="139"/>
  <c r="H92" i="139"/>
  <c r="G92" i="139"/>
  <c r="F92" i="139" s="1"/>
  <c r="E92" i="139"/>
  <c r="L91" i="139"/>
  <c r="K91" i="139"/>
  <c r="J91" i="139"/>
  <c r="H91" i="139"/>
  <c r="G91" i="139"/>
  <c r="E91" i="139"/>
  <c r="L90" i="139"/>
  <c r="K90" i="139"/>
  <c r="J90" i="139"/>
  <c r="H90" i="139"/>
  <c r="G90" i="139"/>
  <c r="E90" i="139"/>
  <c r="L89" i="139"/>
  <c r="K89" i="139"/>
  <c r="J89" i="139"/>
  <c r="I89" i="139" s="1"/>
  <c r="H89" i="139"/>
  <c r="G89" i="139"/>
  <c r="E89" i="139"/>
  <c r="L88" i="139"/>
  <c r="K88" i="139"/>
  <c r="J88" i="139"/>
  <c r="H88" i="139"/>
  <c r="G88" i="139"/>
  <c r="F88" i="139" s="1"/>
  <c r="E88" i="139"/>
  <c r="L87" i="139"/>
  <c r="K87" i="139"/>
  <c r="J87" i="139"/>
  <c r="H87" i="139"/>
  <c r="F87" i="139" s="1"/>
  <c r="G87" i="139"/>
  <c r="E87" i="139"/>
  <c r="L86" i="139"/>
  <c r="K86" i="139"/>
  <c r="J86" i="139"/>
  <c r="I86" i="139" s="1"/>
  <c r="H86" i="139"/>
  <c r="G86" i="139"/>
  <c r="E86" i="139"/>
  <c r="L85" i="139"/>
  <c r="K85" i="139"/>
  <c r="J85" i="139"/>
  <c r="H85" i="139"/>
  <c r="G85" i="139"/>
  <c r="F85" i="139" s="1"/>
  <c r="E85" i="139"/>
  <c r="L84" i="139"/>
  <c r="K84" i="139"/>
  <c r="J84" i="139"/>
  <c r="H84" i="139"/>
  <c r="G84" i="139"/>
  <c r="E84" i="139"/>
  <c r="L83" i="139"/>
  <c r="K83" i="139"/>
  <c r="J83" i="139"/>
  <c r="H83" i="139"/>
  <c r="G83" i="139"/>
  <c r="E83" i="139"/>
  <c r="L82" i="139"/>
  <c r="K82" i="139"/>
  <c r="J82" i="139"/>
  <c r="I82" i="139" s="1"/>
  <c r="H82" i="139"/>
  <c r="G82" i="139"/>
  <c r="E82" i="139"/>
  <c r="L81" i="139"/>
  <c r="K81" i="139"/>
  <c r="J81" i="139"/>
  <c r="H81" i="139"/>
  <c r="G81" i="139"/>
  <c r="F81" i="139" s="1"/>
  <c r="E81" i="139"/>
  <c r="L80" i="139"/>
  <c r="K80" i="139"/>
  <c r="J80" i="139"/>
  <c r="H80" i="139"/>
  <c r="G80" i="139"/>
  <c r="E80" i="139"/>
  <c r="L79" i="139"/>
  <c r="K79" i="139"/>
  <c r="J79" i="139"/>
  <c r="H79" i="139"/>
  <c r="G79" i="139"/>
  <c r="F79" i="139" s="1"/>
  <c r="E79" i="139"/>
  <c r="L78" i="139"/>
  <c r="K78" i="139"/>
  <c r="J78" i="139"/>
  <c r="H78" i="139"/>
  <c r="G78" i="139"/>
  <c r="F78" i="139" s="1"/>
  <c r="E78" i="139"/>
  <c r="L77" i="139"/>
  <c r="K77" i="139"/>
  <c r="J77" i="139"/>
  <c r="I77" i="139" s="1"/>
  <c r="H77" i="139"/>
  <c r="G77" i="139"/>
  <c r="E77" i="139"/>
  <c r="L76" i="139"/>
  <c r="K76" i="139"/>
  <c r="J76" i="139"/>
  <c r="H76" i="139"/>
  <c r="G76" i="139"/>
  <c r="F76" i="139" s="1"/>
  <c r="E76" i="139"/>
  <c r="L75" i="139"/>
  <c r="K75" i="139"/>
  <c r="J75" i="139"/>
  <c r="I75" i="139" s="1"/>
  <c r="H75" i="139"/>
  <c r="G75" i="139"/>
  <c r="F75" i="139" s="1"/>
  <c r="E75" i="139"/>
  <c r="L74" i="139"/>
  <c r="K74" i="139"/>
  <c r="J74" i="139"/>
  <c r="H74" i="139"/>
  <c r="G74" i="139"/>
  <c r="E74" i="139"/>
  <c r="L73" i="139"/>
  <c r="K73" i="139"/>
  <c r="J73" i="139"/>
  <c r="H73" i="139"/>
  <c r="G73" i="139"/>
  <c r="E73" i="139"/>
  <c r="L72" i="139"/>
  <c r="K72" i="139"/>
  <c r="J72" i="139"/>
  <c r="H72" i="139"/>
  <c r="G72" i="139"/>
  <c r="E72" i="139"/>
  <c r="L71" i="139"/>
  <c r="K71" i="139"/>
  <c r="J71" i="139"/>
  <c r="H71" i="139"/>
  <c r="G71" i="139"/>
  <c r="E71" i="139"/>
  <c r="L70" i="139"/>
  <c r="K70" i="139"/>
  <c r="J70" i="139"/>
  <c r="H70" i="139"/>
  <c r="G70" i="139"/>
  <c r="E70" i="139"/>
  <c r="L69" i="139"/>
  <c r="K69" i="139"/>
  <c r="J69" i="139"/>
  <c r="H69" i="139"/>
  <c r="G69" i="139"/>
  <c r="E69" i="139"/>
  <c r="L68" i="139"/>
  <c r="K68" i="139"/>
  <c r="J68" i="139"/>
  <c r="H68" i="139"/>
  <c r="G68" i="139"/>
  <c r="E68" i="139"/>
  <c r="L67" i="139"/>
  <c r="K67" i="139"/>
  <c r="J67" i="139"/>
  <c r="H67" i="139"/>
  <c r="G67" i="139"/>
  <c r="F67" i="139" s="1"/>
  <c r="E67" i="139"/>
  <c r="L66" i="139"/>
  <c r="K66" i="139"/>
  <c r="J66" i="139"/>
  <c r="H66" i="139"/>
  <c r="G66" i="139"/>
  <c r="E66" i="139"/>
  <c r="L65" i="139"/>
  <c r="K65" i="139"/>
  <c r="J65" i="139"/>
  <c r="H65" i="139"/>
  <c r="G65" i="139"/>
  <c r="E65" i="139"/>
  <c r="L64" i="139"/>
  <c r="K64" i="139"/>
  <c r="J64" i="139"/>
  <c r="I64" i="139" s="1"/>
  <c r="H64" i="139"/>
  <c r="G64" i="139"/>
  <c r="E64" i="139"/>
  <c r="L63" i="139"/>
  <c r="K63" i="139"/>
  <c r="J63" i="139"/>
  <c r="H63" i="139"/>
  <c r="G63" i="139"/>
  <c r="F63" i="139" s="1"/>
  <c r="E63" i="139"/>
  <c r="L62" i="139"/>
  <c r="K62" i="139"/>
  <c r="J62" i="139"/>
  <c r="H62" i="139"/>
  <c r="G62" i="139"/>
  <c r="E62" i="139"/>
  <c r="L61" i="139"/>
  <c r="K61" i="139"/>
  <c r="J61" i="139"/>
  <c r="H61" i="139"/>
  <c r="G61" i="139"/>
  <c r="E61" i="139"/>
  <c r="L60" i="139"/>
  <c r="K60" i="139"/>
  <c r="J60" i="139"/>
  <c r="I60" i="139" s="1"/>
  <c r="H60" i="139"/>
  <c r="G60" i="139"/>
  <c r="E60" i="139"/>
  <c r="L59" i="139"/>
  <c r="K59" i="139"/>
  <c r="J59" i="139"/>
  <c r="H59" i="139"/>
  <c r="G59" i="139"/>
  <c r="E59" i="139"/>
  <c r="L58" i="139"/>
  <c r="K58" i="139"/>
  <c r="J58" i="139"/>
  <c r="H58" i="139"/>
  <c r="G58" i="139"/>
  <c r="E58" i="139"/>
  <c r="L57" i="139"/>
  <c r="K57" i="139"/>
  <c r="J57" i="139"/>
  <c r="H57" i="139"/>
  <c r="G57" i="139"/>
  <c r="E57" i="139"/>
  <c r="L56" i="139"/>
  <c r="K56" i="139"/>
  <c r="J56" i="139"/>
  <c r="H56" i="139"/>
  <c r="G56" i="139"/>
  <c r="E56" i="139"/>
  <c r="L55" i="139"/>
  <c r="K55" i="139"/>
  <c r="J55" i="139"/>
  <c r="H55" i="139"/>
  <c r="G55" i="139"/>
  <c r="E55" i="139"/>
  <c r="L54" i="139"/>
  <c r="K54" i="139"/>
  <c r="J54" i="139"/>
  <c r="H54" i="139"/>
  <c r="G54" i="139"/>
  <c r="E54" i="139"/>
  <c r="L53" i="139"/>
  <c r="K53" i="139"/>
  <c r="J53" i="139"/>
  <c r="H53" i="139"/>
  <c r="F53" i="139" s="1"/>
  <c r="G53" i="139"/>
  <c r="E53" i="139"/>
  <c r="L52" i="139"/>
  <c r="K52" i="139"/>
  <c r="J52" i="139"/>
  <c r="H52" i="139"/>
  <c r="G52" i="139"/>
  <c r="E52" i="139"/>
  <c r="L51" i="139"/>
  <c r="K51" i="139"/>
  <c r="J51" i="139"/>
  <c r="H51" i="139"/>
  <c r="G51" i="139"/>
  <c r="E51" i="139"/>
  <c r="L50" i="139"/>
  <c r="K50" i="139"/>
  <c r="J50" i="139"/>
  <c r="H50" i="139"/>
  <c r="G50" i="139"/>
  <c r="E50" i="139"/>
  <c r="L49" i="139"/>
  <c r="K49" i="139"/>
  <c r="J49" i="139"/>
  <c r="H49" i="139"/>
  <c r="G49" i="139"/>
  <c r="E49" i="139"/>
  <c r="L48" i="139"/>
  <c r="K48" i="139"/>
  <c r="J48" i="139"/>
  <c r="I48" i="139" s="1"/>
  <c r="H48" i="139"/>
  <c r="G48" i="139"/>
  <c r="E48" i="139"/>
  <c r="L47" i="139"/>
  <c r="K47" i="139"/>
  <c r="J47" i="139"/>
  <c r="H47" i="139"/>
  <c r="G47" i="139"/>
  <c r="F47" i="139" s="1"/>
  <c r="E47" i="139"/>
  <c r="L46" i="139"/>
  <c r="K46" i="139"/>
  <c r="J46" i="139"/>
  <c r="H46" i="139"/>
  <c r="G46" i="139"/>
  <c r="E46" i="139"/>
  <c r="L45" i="139"/>
  <c r="K45" i="139"/>
  <c r="J45" i="139"/>
  <c r="H45" i="139"/>
  <c r="G45" i="139"/>
  <c r="E45" i="139"/>
  <c r="L44" i="139"/>
  <c r="K44" i="139"/>
  <c r="J44" i="139"/>
  <c r="H44" i="139"/>
  <c r="G44" i="139"/>
  <c r="E44" i="139"/>
  <c r="L43" i="139"/>
  <c r="K43" i="139"/>
  <c r="J43" i="139"/>
  <c r="H43" i="139"/>
  <c r="G43" i="139"/>
  <c r="F43" i="139" s="1"/>
  <c r="E43" i="139"/>
  <c r="L42" i="139"/>
  <c r="K42" i="139"/>
  <c r="J42" i="139"/>
  <c r="H42" i="139"/>
  <c r="G42" i="139"/>
  <c r="E42" i="139"/>
  <c r="L41" i="139"/>
  <c r="K41" i="139"/>
  <c r="J41" i="139"/>
  <c r="H41" i="139"/>
  <c r="G41" i="139"/>
  <c r="E41" i="139"/>
  <c r="L40" i="139"/>
  <c r="K40" i="139"/>
  <c r="J40" i="139"/>
  <c r="H40" i="139"/>
  <c r="G40" i="139"/>
  <c r="E40" i="139"/>
  <c r="L39" i="139"/>
  <c r="K39" i="139"/>
  <c r="J39" i="139"/>
  <c r="H39" i="139"/>
  <c r="G39" i="139"/>
  <c r="F39" i="139" s="1"/>
  <c r="E39" i="139"/>
  <c r="L38" i="139"/>
  <c r="K38" i="139"/>
  <c r="J38" i="139"/>
  <c r="H38" i="139"/>
  <c r="G38" i="139"/>
  <c r="E38" i="139"/>
  <c r="L37" i="139"/>
  <c r="K37" i="139"/>
  <c r="J37" i="139"/>
  <c r="H37" i="139"/>
  <c r="G37" i="139"/>
  <c r="E37" i="139"/>
  <c r="L36" i="139"/>
  <c r="K36" i="139"/>
  <c r="J36" i="139"/>
  <c r="H36" i="139"/>
  <c r="G36" i="139"/>
  <c r="E36" i="139"/>
  <c r="L35" i="139"/>
  <c r="K35" i="139"/>
  <c r="J35" i="139"/>
  <c r="H35" i="139"/>
  <c r="G35" i="139"/>
  <c r="E35" i="139"/>
  <c r="L34" i="139"/>
  <c r="K34" i="139"/>
  <c r="J34" i="139"/>
  <c r="I34" i="139"/>
  <c r="H34" i="139"/>
  <c r="G34" i="139"/>
  <c r="E34" i="139"/>
  <c r="L33" i="139"/>
  <c r="K33" i="139"/>
  <c r="J33" i="139"/>
  <c r="H33" i="139"/>
  <c r="G33" i="139"/>
  <c r="E33" i="139"/>
  <c r="L32" i="139"/>
  <c r="K32" i="139"/>
  <c r="J32" i="139"/>
  <c r="H32" i="139"/>
  <c r="G32" i="139"/>
  <c r="E32" i="139"/>
  <c r="L31" i="139"/>
  <c r="K31" i="139"/>
  <c r="J31" i="139"/>
  <c r="H31" i="139"/>
  <c r="G31" i="139"/>
  <c r="F31" i="139" s="1"/>
  <c r="E31" i="139"/>
  <c r="L30" i="139"/>
  <c r="K30" i="139"/>
  <c r="J30" i="139"/>
  <c r="H30" i="139"/>
  <c r="G30" i="139"/>
  <c r="F30" i="139" s="1"/>
  <c r="E30" i="139"/>
  <c r="L29" i="139"/>
  <c r="K29" i="139"/>
  <c r="J29" i="139"/>
  <c r="H29" i="139"/>
  <c r="G29" i="139"/>
  <c r="E29" i="139"/>
  <c r="L28" i="139"/>
  <c r="K28" i="139"/>
  <c r="J28" i="139"/>
  <c r="H28" i="139"/>
  <c r="G28" i="139"/>
  <c r="E28" i="139"/>
  <c r="L27" i="139"/>
  <c r="K27" i="139"/>
  <c r="J27" i="139"/>
  <c r="H27" i="139"/>
  <c r="G27" i="139"/>
  <c r="E27" i="139"/>
  <c r="L26" i="139"/>
  <c r="K26" i="139"/>
  <c r="J26" i="139"/>
  <c r="H26" i="139"/>
  <c r="G26" i="139"/>
  <c r="E26" i="139"/>
  <c r="L25" i="139"/>
  <c r="K25" i="139"/>
  <c r="J25" i="139"/>
  <c r="H25" i="139"/>
  <c r="G25" i="139"/>
  <c r="E25" i="139"/>
  <c r="L24" i="139"/>
  <c r="K24" i="139"/>
  <c r="J24" i="139"/>
  <c r="H24" i="139"/>
  <c r="G24" i="139"/>
  <c r="E24" i="139"/>
  <c r="L23" i="139"/>
  <c r="K23" i="139"/>
  <c r="J23" i="139"/>
  <c r="H23" i="139"/>
  <c r="G23" i="139"/>
  <c r="E23" i="139"/>
  <c r="L22" i="139"/>
  <c r="K22" i="139"/>
  <c r="J22" i="139"/>
  <c r="H22" i="139"/>
  <c r="G22" i="139"/>
  <c r="E22" i="139"/>
  <c r="L21" i="139"/>
  <c r="K21" i="139"/>
  <c r="J21" i="139"/>
  <c r="H21" i="139"/>
  <c r="G21" i="139"/>
  <c r="E21" i="139"/>
  <c r="L20" i="139"/>
  <c r="K20" i="139"/>
  <c r="J20" i="139"/>
  <c r="H20" i="139"/>
  <c r="G20" i="139"/>
  <c r="E20" i="139"/>
  <c r="L19" i="139"/>
  <c r="K19" i="139"/>
  <c r="J19" i="139"/>
  <c r="H19" i="139"/>
  <c r="G19" i="139"/>
  <c r="E19" i="139"/>
  <c r="L18" i="139"/>
  <c r="K18" i="139"/>
  <c r="J18" i="139"/>
  <c r="H18" i="139"/>
  <c r="G18" i="139"/>
  <c r="F18" i="139" s="1"/>
  <c r="E18" i="139"/>
  <c r="L17" i="139"/>
  <c r="K17" i="139"/>
  <c r="J17" i="139"/>
  <c r="H17" i="139"/>
  <c r="G17" i="139"/>
  <c r="E17" i="139"/>
  <c r="L16" i="139"/>
  <c r="K16" i="139"/>
  <c r="J16" i="139"/>
  <c r="H16" i="139"/>
  <c r="G16" i="139"/>
  <c r="E16" i="139"/>
  <c r="L15" i="139"/>
  <c r="K15" i="139"/>
  <c r="J15" i="139"/>
  <c r="H15" i="139"/>
  <c r="G15" i="139"/>
  <c r="E15" i="139"/>
  <c r="L14" i="139"/>
  <c r="K14" i="139"/>
  <c r="J14" i="139"/>
  <c r="H14" i="139"/>
  <c r="G14" i="139"/>
  <c r="E14" i="139"/>
  <c r="L13" i="139"/>
  <c r="K13" i="139"/>
  <c r="J13" i="139"/>
  <c r="H13" i="139"/>
  <c r="G13" i="139"/>
  <c r="E13" i="139"/>
  <c r="L12" i="139"/>
  <c r="K12" i="139"/>
  <c r="J12" i="139"/>
  <c r="H12" i="139"/>
  <c r="G12" i="139"/>
  <c r="E12" i="139"/>
  <c r="F15" i="139" l="1"/>
  <c r="F19" i="139"/>
  <c r="F23" i="139"/>
  <c r="F36" i="139"/>
  <c r="F40" i="139"/>
  <c r="I41" i="139"/>
  <c r="F44" i="139"/>
  <c r="I45" i="139"/>
  <c r="F52" i="139"/>
  <c r="I53" i="139"/>
  <c r="D53" i="139" s="1"/>
  <c r="I57" i="139"/>
  <c r="F60" i="139"/>
  <c r="I61" i="139"/>
  <c r="F72" i="139"/>
  <c r="F77" i="139"/>
  <c r="I94" i="139"/>
  <c r="F97" i="139"/>
  <c r="I98" i="139"/>
  <c r="I102" i="139"/>
  <c r="I106" i="139"/>
  <c r="I134" i="139"/>
  <c r="I138" i="139"/>
  <c r="D138" i="139" s="1"/>
  <c r="I142" i="139"/>
  <c r="F145" i="139"/>
  <c r="I146" i="139"/>
  <c r="F21" i="139"/>
  <c r="F25" i="139"/>
  <c r="F29" i="139"/>
  <c r="I30" i="139"/>
  <c r="D30" i="139" s="1"/>
  <c r="F38" i="139"/>
  <c r="I39" i="139"/>
  <c r="F42" i="139"/>
  <c r="I43" i="139"/>
  <c r="I51" i="139"/>
  <c r="F54" i="139"/>
  <c r="I55" i="139"/>
  <c r="I59" i="139"/>
  <c r="I71" i="139"/>
  <c r="F74" i="139"/>
  <c r="F95" i="139"/>
  <c r="I96" i="139"/>
  <c r="F99" i="139"/>
  <c r="I100" i="139"/>
  <c r="F103" i="139"/>
  <c r="F107" i="139"/>
  <c r="I120" i="139"/>
  <c r="D120" i="139" s="1"/>
  <c r="F135" i="139"/>
  <c r="F143" i="139"/>
  <c r="I144" i="139"/>
  <c r="F147" i="139"/>
  <c r="D147" i="139" s="1"/>
  <c r="I148" i="139"/>
  <c r="F12" i="139"/>
  <c r="I13" i="139"/>
  <c r="F16" i="139"/>
  <c r="F20" i="139"/>
  <c r="F28" i="139"/>
  <c r="I46" i="139"/>
  <c r="F49" i="139"/>
  <c r="I50" i="139"/>
  <c r="I54" i="139"/>
  <c r="I58" i="139"/>
  <c r="I62" i="139"/>
  <c r="D62" i="139" s="1"/>
  <c r="F69" i="139"/>
  <c r="I70" i="139"/>
  <c r="F73" i="139"/>
  <c r="I74" i="139"/>
  <c r="D74" i="139" s="1"/>
  <c r="I87" i="139"/>
  <c r="F90" i="139"/>
  <c r="I95" i="139"/>
  <c r="D95" i="139" s="1"/>
  <c r="F98" i="139"/>
  <c r="D98" i="139" s="1"/>
  <c r="I99" i="139"/>
  <c r="F102" i="139"/>
  <c r="I111" i="139"/>
  <c r="I115" i="139"/>
  <c r="D115" i="139" s="1"/>
  <c r="I123" i="139"/>
  <c r="F126" i="139"/>
  <c r="I127" i="139"/>
  <c r="D127" i="139" s="1"/>
  <c r="I131" i="139"/>
  <c r="D131" i="139" s="1"/>
  <c r="I135" i="139"/>
  <c r="F138" i="139"/>
  <c r="I152" i="139"/>
  <c r="D99" i="139"/>
  <c r="F120" i="139"/>
  <c r="I25" i="139"/>
  <c r="I78" i="139"/>
  <c r="D78" i="139" s="1"/>
  <c r="I108" i="139"/>
  <c r="F123" i="139"/>
  <c r="D123" i="139" s="1"/>
  <c r="F58" i="139"/>
  <c r="F125" i="139"/>
  <c r="F106" i="139"/>
  <c r="D106" i="139" s="1"/>
  <c r="F139" i="139"/>
  <c r="F152" i="139"/>
  <c r="I20" i="139"/>
  <c r="D20" i="139" s="1"/>
  <c r="I37" i="139"/>
  <c r="I49" i="139"/>
  <c r="F118" i="139"/>
  <c r="F131" i="139"/>
  <c r="F51" i="139"/>
  <c r="F110" i="139"/>
  <c r="I18" i="139"/>
  <c r="I27" i="139"/>
  <c r="D27" i="139" s="1"/>
  <c r="F89" i="139"/>
  <c r="D89" i="139" s="1"/>
  <c r="F109" i="139"/>
  <c r="I110" i="139"/>
  <c r="D110" i="139" s="1"/>
  <c r="I114" i="139"/>
  <c r="I118" i="139"/>
  <c r="F121" i="139"/>
  <c r="I143" i="139"/>
  <c r="I147" i="139"/>
  <c r="D51" i="139"/>
  <c r="I16" i="139"/>
  <c r="I22" i="139"/>
  <c r="I24" i="139"/>
  <c r="I26" i="139"/>
  <c r="I28" i="139"/>
  <c r="F32" i="139"/>
  <c r="F55" i="139"/>
  <c r="F57" i="139"/>
  <c r="D57" i="139" s="1"/>
  <c r="F61" i="139"/>
  <c r="F115" i="139"/>
  <c r="F117" i="139"/>
  <c r="D117" i="139" s="1"/>
  <c r="F119" i="139"/>
  <c r="I136" i="139"/>
  <c r="F144" i="139"/>
  <c r="D144" i="139" s="1"/>
  <c r="F65" i="139"/>
  <c r="I80" i="139"/>
  <c r="F94" i="139"/>
  <c r="D94" i="139" s="1"/>
  <c r="I113" i="139"/>
  <c r="D113" i="139" s="1"/>
  <c r="I140" i="139"/>
  <c r="F13" i="139"/>
  <c r="I32" i="139"/>
  <c r="I36" i="139"/>
  <c r="I38" i="139"/>
  <c r="D38" i="139" s="1"/>
  <c r="F48" i="139"/>
  <c r="D48" i="139" s="1"/>
  <c r="F50" i="139"/>
  <c r="I63" i="139"/>
  <c r="D63" i="139" s="1"/>
  <c r="I65" i="139"/>
  <c r="I67" i="139"/>
  <c r="D67" i="139" s="1"/>
  <c r="I69" i="139"/>
  <c r="I88" i="139"/>
  <c r="D88" i="139" s="1"/>
  <c r="I90" i="139"/>
  <c r="D90" i="139" s="1"/>
  <c r="F108" i="139"/>
  <c r="I121" i="139"/>
  <c r="F127" i="139"/>
  <c r="F129" i="139"/>
  <c r="F133" i="139"/>
  <c r="D133" i="139" s="1"/>
  <c r="I40" i="139"/>
  <c r="I42" i="139"/>
  <c r="D42" i="139" s="1"/>
  <c r="D77" i="139"/>
  <c r="F17" i="139"/>
  <c r="F27" i="139"/>
  <c r="I73" i="139"/>
  <c r="D73" i="139" s="1"/>
  <c r="D87" i="139"/>
  <c r="I104" i="139"/>
  <c r="F137" i="139"/>
  <c r="I15" i="139"/>
  <c r="D15" i="139" s="1"/>
  <c r="I17" i="139"/>
  <c r="I19" i="139"/>
  <c r="I21" i="139"/>
  <c r="I23" i="139"/>
  <c r="D23" i="139" s="1"/>
  <c r="I29" i="139"/>
  <c r="F33" i="139"/>
  <c r="F56" i="139"/>
  <c r="F62" i="139"/>
  <c r="D122" i="139"/>
  <c r="I125" i="139"/>
  <c r="D125" i="139" s="1"/>
  <c r="D145" i="139"/>
  <c r="F37" i="139"/>
  <c r="I52" i="139"/>
  <c r="F68" i="139"/>
  <c r="I79" i="139"/>
  <c r="I81" i="139"/>
  <c r="D81" i="139" s="1"/>
  <c r="I83" i="139"/>
  <c r="F91" i="139"/>
  <c r="D91" i="139" s="1"/>
  <c r="F93" i="139"/>
  <c r="I112" i="139"/>
  <c r="I137" i="139"/>
  <c r="I139" i="139"/>
  <c r="I141" i="139"/>
  <c r="F149" i="139"/>
  <c r="D36" i="139"/>
  <c r="I31" i="139"/>
  <c r="D31" i="139" s="1"/>
  <c r="I33" i="139"/>
  <c r="F45" i="139"/>
  <c r="D97" i="139"/>
  <c r="F14" i="139"/>
  <c r="I35" i="139"/>
  <c r="F41" i="139"/>
  <c r="I56" i="139"/>
  <c r="I66" i="139"/>
  <c r="I91" i="139"/>
  <c r="I93" i="139"/>
  <c r="F101" i="139"/>
  <c r="I116" i="139"/>
  <c r="D116" i="139" s="1"/>
  <c r="F128" i="139"/>
  <c r="F130" i="139"/>
  <c r="D130" i="139" s="1"/>
  <c r="F132" i="139"/>
  <c r="D132" i="139" s="1"/>
  <c r="I72" i="139"/>
  <c r="I97" i="139"/>
  <c r="I103" i="139"/>
  <c r="D75" i="139"/>
  <c r="I12" i="139"/>
  <c r="I14" i="139"/>
  <c r="F22" i="139"/>
  <c r="D22" i="139" s="1"/>
  <c r="F24" i="139"/>
  <c r="D24" i="139" s="1"/>
  <c r="I47" i="139"/>
  <c r="D47" i="139" s="1"/>
  <c r="I76" i="139"/>
  <c r="D76" i="139" s="1"/>
  <c r="F80" i="139"/>
  <c r="F84" i="139"/>
  <c r="I107" i="139"/>
  <c r="I109" i="139"/>
  <c r="I124" i="139"/>
  <c r="D124" i="139" s="1"/>
  <c r="I126" i="139"/>
  <c r="D126" i="139" s="1"/>
  <c r="I130" i="139"/>
  <c r="I132" i="139"/>
  <c r="F140" i="139"/>
  <c r="F142" i="139"/>
  <c r="D142" i="139" s="1"/>
  <c r="I44" i="139"/>
  <c r="D44" i="139" s="1"/>
  <c r="D52" i="139"/>
  <c r="D54" i="139"/>
  <c r="I68" i="139"/>
  <c r="I92" i="139"/>
  <c r="D92" i="139" s="1"/>
  <c r="I105" i="139"/>
  <c r="F134" i="139"/>
  <c r="D134" i="139" s="1"/>
  <c r="D152" i="139"/>
  <c r="I85" i="139"/>
  <c r="D85" i="139" s="1"/>
  <c r="D111" i="139"/>
  <c r="D12" i="139"/>
  <c r="D60" i="139"/>
  <c r="D104" i="139"/>
  <c r="F34" i="139"/>
  <c r="D34" i="139" s="1"/>
  <c r="F71" i="139"/>
  <c r="D71" i="139" s="1"/>
  <c r="F82" i="139"/>
  <c r="D82" i="139" s="1"/>
  <c r="I129" i="139"/>
  <c r="D18" i="139"/>
  <c r="F86" i="139"/>
  <c r="L11" i="139"/>
  <c r="L9" i="139" s="1"/>
  <c r="D29" i="139"/>
  <c r="D40" i="139"/>
  <c r="D25" i="139"/>
  <c r="F64" i="139"/>
  <c r="D64" i="139" s="1"/>
  <c r="F66" i="139"/>
  <c r="I84" i="139"/>
  <c r="I149" i="139"/>
  <c r="D149" i="139" s="1"/>
  <c r="D39" i="139"/>
  <c r="I153" i="139"/>
  <c r="D153" i="139" s="1"/>
  <c r="F26" i="139"/>
  <c r="F35" i="139"/>
  <c r="D35" i="139" s="1"/>
  <c r="F46" i="139"/>
  <c r="D46" i="139" s="1"/>
  <c r="F59" i="139"/>
  <c r="F70" i="139"/>
  <c r="D70" i="139" s="1"/>
  <c r="F83" i="139"/>
  <c r="I101" i="139"/>
  <c r="F105" i="139"/>
  <c r="D105" i="139" s="1"/>
  <c r="F112" i="139"/>
  <c r="D112" i="139" s="1"/>
  <c r="F114" i="139"/>
  <c r="D114" i="139" s="1"/>
  <c r="I119" i="139"/>
  <c r="D119" i="139" s="1"/>
  <c r="F141" i="139"/>
  <c r="D141" i="139" s="1"/>
  <c r="F148" i="139"/>
  <c r="D148" i="139" s="1"/>
  <c r="F150" i="139"/>
  <c r="D150" i="139" s="1"/>
  <c r="D43" i="139"/>
  <c r="D100" i="139"/>
  <c r="D102" i="139"/>
  <c r="D136" i="139"/>
  <c r="D45" i="139"/>
  <c r="D69" i="139"/>
  <c r="D93" i="139"/>
  <c r="D86" i="139"/>
  <c r="D151" i="139"/>
  <c r="D16" i="139"/>
  <c r="D146" i="139"/>
  <c r="D55" i="139"/>
  <c r="D79" i="139"/>
  <c r="D128" i="139"/>
  <c r="D103" i="139"/>
  <c r="D139" i="139"/>
  <c r="D96" i="139"/>
  <c r="D121" i="139"/>
  <c r="D137" i="139"/>
  <c r="D33" i="139"/>
  <c r="D28" i="139"/>
  <c r="D50" i="139"/>
  <c r="D143" i="139"/>
  <c r="E11" i="139"/>
  <c r="G11" i="139"/>
  <c r="H11" i="139"/>
  <c r="H9" i="139" s="1"/>
  <c r="J11" i="139"/>
  <c r="K11" i="139"/>
  <c r="K9" i="139" s="1"/>
  <c r="D21" i="139" l="1"/>
  <c r="D118" i="139"/>
  <c r="D58" i="139"/>
  <c r="D101" i="139"/>
  <c r="D72" i="139"/>
  <c r="D19" i="139"/>
  <c r="D17" i="139"/>
  <c r="D108" i="139"/>
  <c r="D61" i="139"/>
  <c r="D109" i="139"/>
  <c r="D49" i="139"/>
  <c r="D135" i="139"/>
  <c r="D41" i="139"/>
  <c r="D59" i="139"/>
  <c r="D107" i="139"/>
  <c r="D13" i="139"/>
  <c r="D26" i="139"/>
  <c r="D37" i="139"/>
  <c r="D83" i="139"/>
  <c r="D56" i="139"/>
  <c r="D14" i="139"/>
  <c r="D68" i="139"/>
  <c r="D32" i="139"/>
  <c r="D66" i="139"/>
  <c r="D80" i="139"/>
  <c r="D140" i="139"/>
  <c r="D65" i="139"/>
  <c r="D84" i="139"/>
  <c r="D129" i="139"/>
  <c r="I11" i="139"/>
  <c r="I9" i="139" s="1"/>
  <c r="J9" i="139"/>
  <c r="F11" i="139"/>
  <c r="F9" i="139" s="1"/>
  <c r="G9" i="139"/>
  <c r="E9" i="139"/>
  <c r="D11" i="139" l="1"/>
  <c r="D9" i="139" l="1"/>
  <c r="K152" i="138" l="1"/>
  <c r="H152" i="138"/>
  <c r="E152" i="138"/>
  <c r="K151" i="138"/>
  <c r="H151" i="138"/>
  <c r="E151" i="138"/>
  <c r="K150" i="138"/>
  <c r="H150" i="138"/>
  <c r="E150" i="138"/>
  <c r="K149" i="138"/>
  <c r="H149" i="138"/>
  <c r="E149" i="138"/>
  <c r="K148" i="138"/>
  <c r="H148" i="138"/>
  <c r="E148" i="138"/>
  <c r="K147" i="138"/>
  <c r="H147" i="138"/>
  <c r="E147" i="138"/>
  <c r="K146" i="138"/>
  <c r="H146" i="138"/>
  <c r="E146" i="138"/>
  <c r="K145" i="138"/>
  <c r="H145" i="138"/>
  <c r="E145" i="138"/>
  <c r="K144" i="138"/>
  <c r="H144" i="138"/>
  <c r="E144" i="138"/>
  <c r="K143" i="138"/>
  <c r="H143" i="138"/>
  <c r="E143" i="138"/>
  <c r="D143" i="138" s="1"/>
  <c r="K142" i="138"/>
  <c r="H142" i="138"/>
  <c r="E142" i="138"/>
  <c r="K141" i="138"/>
  <c r="H141" i="138"/>
  <c r="E141" i="138"/>
  <c r="K140" i="138"/>
  <c r="H140" i="138"/>
  <c r="E140" i="138"/>
  <c r="K139" i="138"/>
  <c r="H139" i="138"/>
  <c r="E139" i="138"/>
  <c r="K138" i="138"/>
  <c r="H138" i="138"/>
  <c r="E138" i="138"/>
  <c r="K137" i="138"/>
  <c r="H137" i="138"/>
  <c r="E137" i="138"/>
  <c r="K136" i="138"/>
  <c r="H136" i="138"/>
  <c r="E136" i="138"/>
  <c r="K135" i="138"/>
  <c r="H135" i="138"/>
  <c r="E135" i="138"/>
  <c r="K134" i="138"/>
  <c r="H134" i="138"/>
  <c r="E134" i="138"/>
  <c r="K133" i="138"/>
  <c r="H133" i="138"/>
  <c r="E133" i="138"/>
  <c r="K132" i="138"/>
  <c r="H132" i="138"/>
  <c r="E132" i="138"/>
  <c r="K131" i="138"/>
  <c r="H131" i="138"/>
  <c r="E131" i="138"/>
  <c r="K130" i="138"/>
  <c r="H130" i="138"/>
  <c r="E130" i="138"/>
  <c r="K129" i="138"/>
  <c r="H129" i="138"/>
  <c r="E129" i="138"/>
  <c r="K128" i="138"/>
  <c r="H128" i="138"/>
  <c r="E128" i="138"/>
  <c r="K127" i="138"/>
  <c r="H127" i="138"/>
  <c r="E127" i="138"/>
  <c r="K126" i="138"/>
  <c r="H126" i="138"/>
  <c r="E126" i="138"/>
  <c r="K125" i="138"/>
  <c r="H125" i="138"/>
  <c r="E125" i="138"/>
  <c r="K124" i="138"/>
  <c r="H124" i="138"/>
  <c r="E124" i="138"/>
  <c r="K123" i="138"/>
  <c r="H123" i="138"/>
  <c r="E123" i="138"/>
  <c r="K122" i="138"/>
  <c r="H122" i="138"/>
  <c r="E122" i="138"/>
  <c r="K121" i="138"/>
  <c r="H121" i="138"/>
  <c r="E121" i="138"/>
  <c r="K120" i="138"/>
  <c r="H120" i="138"/>
  <c r="E120" i="138"/>
  <c r="K119" i="138"/>
  <c r="H119" i="138"/>
  <c r="E119" i="138"/>
  <c r="K118" i="138"/>
  <c r="H118" i="138"/>
  <c r="E118" i="138"/>
  <c r="K117" i="138"/>
  <c r="H117" i="138"/>
  <c r="E117" i="138"/>
  <c r="K116" i="138"/>
  <c r="H116" i="138"/>
  <c r="E116" i="138"/>
  <c r="K115" i="138"/>
  <c r="H115" i="138"/>
  <c r="E115" i="138"/>
  <c r="K114" i="138"/>
  <c r="H114" i="138"/>
  <c r="E114" i="138"/>
  <c r="K113" i="138"/>
  <c r="H113" i="138"/>
  <c r="E113" i="138"/>
  <c r="K112" i="138"/>
  <c r="H112" i="138"/>
  <c r="E112" i="138"/>
  <c r="K111" i="138"/>
  <c r="H111" i="138"/>
  <c r="E111" i="138"/>
  <c r="K110" i="138"/>
  <c r="H110" i="138"/>
  <c r="E110" i="138"/>
  <c r="K109" i="138"/>
  <c r="H109" i="138"/>
  <c r="E109" i="138"/>
  <c r="K108" i="138"/>
  <c r="H108" i="138"/>
  <c r="E108" i="138"/>
  <c r="K107" i="138"/>
  <c r="H107" i="138"/>
  <c r="E107" i="138"/>
  <c r="K106" i="138"/>
  <c r="H106" i="138"/>
  <c r="E106" i="138"/>
  <c r="K105" i="138"/>
  <c r="H105" i="138"/>
  <c r="E105" i="138"/>
  <c r="K104" i="138"/>
  <c r="H104" i="138"/>
  <c r="E104" i="138"/>
  <c r="K103" i="138"/>
  <c r="H103" i="138"/>
  <c r="E103" i="138"/>
  <c r="K102" i="138"/>
  <c r="H102" i="138"/>
  <c r="E102" i="138"/>
  <c r="K101" i="138"/>
  <c r="H101" i="138"/>
  <c r="E101" i="138"/>
  <c r="K100" i="138"/>
  <c r="H100" i="138"/>
  <c r="E100" i="138"/>
  <c r="D100" i="138" s="1"/>
  <c r="K99" i="138"/>
  <c r="H99" i="138"/>
  <c r="E99" i="138"/>
  <c r="K98" i="138"/>
  <c r="H98" i="138"/>
  <c r="E98" i="138"/>
  <c r="K97" i="138"/>
  <c r="H97" i="138"/>
  <c r="E97" i="138"/>
  <c r="K96" i="138"/>
  <c r="H96" i="138"/>
  <c r="E96" i="138"/>
  <c r="K95" i="138"/>
  <c r="D95" i="138"/>
  <c r="K94" i="138"/>
  <c r="H94" i="138"/>
  <c r="E94" i="138"/>
  <c r="K93" i="138"/>
  <c r="H93" i="138"/>
  <c r="E93" i="138"/>
  <c r="K92" i="138"/>
  <c r="H92" i="138"/>
  <c r="E92" i="138"/>
  <c r="D92" i="138"/>
  <c r="K91" i="138"/>
  <c r="H91" i="138"/>
  <c r="E91" i="138"/>
  <c r="K90" i="138"/>
  <c r="H90" i="138"/>
  <c r="E90" i="138"/>
  <c r="K89" i="138"/>
  <c r="H89" i="138"/>
  <c r="E89" i="138"/>
  <c r="K88" i="138"/>
  <c r="H88" i="138"/>
  <c r="E88" i="138"/>
  <c r="K87" i="138"/>
  <c r="H87" i="138"/>
  <c r="E87" i="138"/>
  <c r="K86" i="138"/>
  <c r="H86" i="138"/>
  <c r="E86" i="138"/>
  <c r="K85" i="138"/>
  <c r="H85" i="138"/>
  <c r="E85" i="138"/>
  <c r="K84" i="138"/>
  <c r="H84" i="138"/>
  <c r="E84" i="138"/>
  <c r="K83" i="138"/>
  <c r="H83" i="138"/>
  <c r="E83" i="138"/>
  <c r="K82" i="138"/>
  <c r="H82" i="138"/>
  <c r="E82" i="138"/>
  <c r="K81" i="138"/>
  <c r="H81" i="138"/>
  <c r="E81" i="138"/>
  <c r="K80" i="138"/>
  <c r="H80" i="138"/>
  <c r="E80" i="138"/>
  <c r="K79" i="138"/>
  <c r="H79" i="138"/>
  <c r="E79" i="138"/>
  <c r="K78" i="138"/>
  <c r="H78" i="138"/>
  <c r="E78" i="138"/>
  <c r="K77" i="138"/>
  <c r="H77" i="138"/>
  <c r="E77" i="138"/>
  <c r="K76" i="138"/>
  <c r="H76" i="138"/>
  <c r="E76" i="138"/>
  <c r="D76" i="138" s="1"/>
  <c r="K75" i="138"/>
  <c r="H75" i="138"/>
  <c r="E75" i="138"/>
  <c r="K74" i="138"/>
  <c r="H74" i="138"/>
  <c r="E74" i="138"/>
  <c r="K73" i="138"/>
  <c r="H73" i="138"/>
  <c r="E73" i="138"/>
  <c r="K72" i="138"/>
  <c r="H72" i="138"/>
  <c r="E72" i="138"/>
  <c r="K71" i="138"/>
  <c r="H71" i="138"/>
  <c r="E71" i="138"/>
  <c r="K70" i="138"/>
  <c r="H70" i="138"/>
  <c r="E70" i="138"/>
  <c r="K69" i="138"/>
  <c r="H69" i="138"/>
  <c r="E69" i="138"/>
  <c r="K68" i="138"/>
  <c r="H68" i="138"/>
  <c r="E68" i="138"/>
  <c r="D68" i="138" s="1"/>
  <c r="K67" i="138"/>
  <c r="H67" i="138"/>
  <c r="E67" i="138"/>
  <c r="K66" i="138"/>
  <c r="H66" i="138"/>
  <c r="E66" i="138"/>
  <c r="K65" i="138"/>
  <c r="H65" i="138"/>
  <c r="E65" i="138"/>
  <c r="K64" i="138"/>
  <c r="H64" i="138"/>
  <c r="E64" i="138"/>
  <c r="K63" i="138"/>
  <c r="H63" i="138"/>
  <c r="E63" i="138"/>
  <c r="K62" i="138"/>
  <c r="H62" i="138"/>
  <c r="E62" i="138"/>
  <c r="K61" i="138"/>
  <c r="H61" i="138"/>
  <c r="E61" i="138"/>
  <c r="K60" i="138"/>
  <c r="H60" i="138"/>
  <c r="E60" i="138"/>
  <c r="K59" i="138"/>
  <c r="H59" i="138"/>
  <c r="E59" i="138"/>
  <c r="K58" i="138"/>
  <c r="H58" i="138"/>
  <c r="E58" i="138"/>
  <c r="K57" i="138"/>
  <c r="H57" i="138"/>
  <c r="E57" i="138"/>
  <c r="K56" i="138"/>
  <c r="H56" i="138"/>
  <c r="E56" i="138"/>
  <c r="K55" i="138"/>
  <c r="H55" i="138"/>
  <c r="E55" i="138"/>
  <c r="K54" i="138"/>
  <c r="H54" i="138"/>
  <c r="E54" i="138"/>
  <c r="K53" i="138"/>
  <c r="H53" i="138"/>
  <c r="E53" i="138"/>
  <c r="K52" i="138"/>
  <c r="H52" i="138"/>
  <c r="E52" i="138"/>
  <c r="K51" i="138"/>
  <c r="H51" i="138"/>
  <c r="E51" i="138"/>
  <c r="K50" i="138"/>
  <c r="H50" i="138"/>
  <c r="E50" i="138"/>
  <c r="K49" i="138"/>
  <c r="H49" i="138"/>
  <c r="E49" i="138"/>
  <c r="D49" i="138" s="1"/>
  <c r="K48" i="138"/>
  <c r="H48" i="138"/>
  <c r="E48" i="138"/>
  <c r="K47" i="138"/>
  <c r="H47" i="138"/>
  <c r="E47" i="138"/>
  <c r="K46" i="138"/>
  <c r="H46" i="138"/>
  <c r="E46" i="138"/>
  <c r="K45" i="138"/>
  <c r="H45" i="138"/>
  <c r="E45" i="138"/>
  <c r="K44" i="138"/>
  <c r="H44" i="138"/>
  <c r="E44" i="138"/>
  <c r="K43" i="138"/>
  <c r="H43" i="138"/>
  <c r="E43" i="138"/>
  <c r="K42" i="138"/>
  <c r="H42" i="138"/>
  <c r="E42" i="138"/>
  <c r="K41" i="138"/>
  <c r="H41" i="138"/>
  <c r="E41" i="138"/>
  <c r="K40" i="138"/>
  <c r="H40" i="138"/>
  <c r="E40" i="138"/>
  <c r="K39" i="138"/>
  <c r="H39" i="138"/>
  <c r="E39" i="138"/>
  <c r="K38" i="138"/>
  <c r="H38" i="138"/>
  <c r="E38" i="138"/>
  <c r="K37" i="138"/>
  <c r="H37" i="138"/>
  <c r="E37" i="138"/>
  <c r="K36" i="138"/>
  <c r="H36" i="138"/>
  <c r="E36" i="138"/>
  <c r="K35" i="138"/>
  <c r="H35" i="138"/>
  <c r="E35" i="138"/>
  <c r="K34" i="138"/>
  <c r="H34" i="138"/>
  <c r="E34" i="138"/>
  <c r="K33" i="138"/>
  <c r="H33" i="138"/>
  <c r="E33" i="138"/>
  <c r="K32" i="138"/>
  <c r="H32" i="138"/>
  <c r="E32" i="138"/>
  <c r="K31" i="138"/>
  <c r="H31" i="138"/>
  <c r="E31" i="138"/>
  <c r="K30" i="138"/>
  <c r="H30" i="138"/>
  <c r="E30" i="138"/>
  <c r="K29" i="138"/>
  <c r="H29" i="138"/>
  <c r="E29" i="138"/>
  <c r="K28" i="138"/>
  <c r="H28" i="138"/>
  <c r="E28" i="138"/>
  <c r="K27" i="138"/>
  <c r="H27" i="138"/>
  <c r="E27" i="138"/>
  <c r="K26" i="138"/>
  <c r="H26" i="138"/>
  <c r="E26" i="138"/>
  <c r="K25" i="138"/>
  <c r="H25" i="138"/>
  <c r="E25" i="138"/>
  <c r="K24" i="138"/>
  <c r="H24" i="138"/>
  <c r="E24" i="138"/>
  <c r="K23" i="138"/>
  <c r="H23" i="138"/>
  <c r="E23" i="138"/>
  <c r="K22" i="138"/>
  <c r="H22" i="138"/>
  <c r="E22" i="138"/>
  <c r="K21" i="138"/>
  <c r="H21" i="138"/>
  <c r="E21" i="138"/>
  <c r="K20" i="138"/>
  <c r="H20" i="138"/>
  <c r="E20" i="138"/>
  <c r="K19" i="138"/>
  <c r="H19" i="138"/>
  <c r="E19" i="138"/>
  <c r="K18" i="138"/>
  <c r="H18" i="138"/>
  <c r="E18" i="138"/>
  <c r="K17" i="138"/>
  <c r="H17" i="138"/>
  <c r="E17" i="138"/>
  <c r="K16" i="138"/>
  <c r="H16" i="138"/>
  <c r="E16" i="138"/>
  <c r="K15" i="138"/>
  <c r="H15" i="138"/>
  <c r="E15" i="138"/>
  <c r="K14" i="138"/>
  <c r="H14" i="138"/>
  <c r="E14" i="138"/>
  <c r="K13" i="138"/>
  <c r="H13" i="138"/>
  <c r="E13" i="138"/>
  <c r="K12" i="138"/>
  <c r="H12" i="138"/>
  <c r="E12" i="138"/>
  <c r="K11" i="138"/>
  <c r="H11" i="138"/>
  <c r="E11" i="138"/>
  <c r="S10" i="138"/>
  <c r="S8" i="138" s="1"/>
  <c r="R10" i="138"/>
  <c r="R8" i="138" s="1"/>
  <c r="Q10" i="138"/>
  <c r="Q8" i="138" s="1"/>
  <c r="P10" i="138"/>
  <c r="P8" i="138" s="1"/>
  <c r="O10" i="138"/>
  <c r="O8" i="138" s="1"/>
  <c r="N10" i="138"/>
  <c r="N8" i="138" s="1"/>
  <c r="M10" i="138"/>
  <c r="M8" i="138" s="1"/>
  <c r="L10" i="138"/>
  <c r="L8" i="138" s="1"/>
  <c r="J10" i="138"/>
  <c r="J8" i="138" s="1"/>
  <c r="I10" i="138"/>
  <c r="I8" i="138" s="1"/>
  <c r="G10" i="138"/>
  <c r="G8" i="138" s="1"/>
  <c r="F10" i="138"/>
  <c r="F8" i="138" s="1"/>
  <c r="K9" i="138"/>
  <c r="E9" i="138"/>
  <c r="D45" i="138" l="1"/>
  <c r="D53" i="138"/>
  <c r="D72" i="138"/>
  <c r="D88" i="138"/>
  <c r="D152" i="138"/>
  <c r="D107" i="138"/>
  <c r="D115" i="138"/>
  <c r="D123" i="138"/>
  <c r="D43" i="138"/>
  <c r="D111" i="138"/>
  <c r="D119" i="138"/>
  <c r="D69" i="138"/>
  <c r="D77" i="138"/>
  <c r="D85" i="138"/>
  <c r="D147" i="138"/>
  <c r="D65" i="138"/>
  <c r="D73" i="138"/>
  <c r="D81" i="138"/>
  <c r="D150" i="138"/>
  <c r="D20" i="138"/>
  <c r="D103" i="138"/>
  <c r="D13" i="138"/>
  <c r="D29" i="138"/>
  <c r="D37" i="138"/>
  <c r="D41" i="138"/>
  <c r="D56" i="138"/>
  <c r="D60" i="138"/>
  <c r="D127" i="138"/>
  <c r="D131" i="138"/>
  <c r="D135" i="138"/>
  <c r="D139" i="138"/>
  <c r="D17" i="138"/>
  <c r="D18" i="138"/>
  <c r="D42" i="138"/>
  <c r="D57" i="138"/>
  <c r="D61" i="138"/>
  <c r="D120" i="138"/>
  <c r="D144" i="138"/>
  <c r="D11" i="138"/>
  <c r="D35" i="138"/>
  <c r="D102" i="138"/>
  <c r="D114" i="138"/>
  <c r="D36" i="138"/>
  <c r="D40" i="138"/>
  <c r="D44" i="138"/>
  <c r="D126" i="138"/>
  <c r="D130" i="138"/>
  <c r="D134" i="138"/>
  <c r="D138" i="138"/>
  <c r="D80" i="138"/>
  <c r="D9" i="138"/>
  <c r="D34" i="138"/>
  <c r="D33" i="138"/>
  <c r="D26" i="138"/>
  <c r="D112" i="138"/>
  <c r="D27" i="138"/>
  <c r="D89" i="138"/>
  <c r="D16" i="138"/>
  <c r="D54" i="138"/>
  <c r="D93" i="138"/>
  <c r="D101" i="138"/>
  <c r="D128" i="138"/>
  <c r="D136" i="138"/>
  <c r="D24" i="138"/>
  <c r="D28" i="138"/>
  <c r="D62" i="138"/>
  <c r="D90" i="138"/>
  <c r="D98" i="138"/>
  <c r="D121" i="138"/>
  <c r="D32" i="138"/>
  <c r="D110" i="138"/>
  <c r="D137" i="138"/>
  <c r="D145" i="138"/>
  <c r="D21" i="138"/>
  <c r="D25" i="138"/>
  <c r="D52" i="138"/>
  <c r="D79" i="138"/>
  <c r="D99" i="138"/>
  <c r="D118" i="138"/>
  <c r="H10" i="138"/>
  <c r="D142" i="138"/>
  <c r="D149" i="138"/>
  <c r="H8" i="138"/>
  <c r="D12" i="138"/>
  <c r="D19" i="138"/>
  <c r="D30" i="138"/>
  <c r="D48" i="138"/>
  <c r="D55" i="138"/>
  <c r="D66" i="138"/>
  <c r="D84" i="138"/>
  <c r="D91" i="138"/>
  <c r="D106" i="138"/>
  <c r="D113" i="138"/>
  <c r="D124" i="138"/>
  <c r="D146" i="138"/>
  <c r="D23" i="138"/>
  <c r="D59" i="138"/>
  <c r="D63" i="138"/>
  <c r="D70" i="138"/>
  <c r="D117" i="138"/>
  <c r="D31" i="138"/>
  <c r="D67" i="138"/>
  <c r="D78" i="138"/>
  <c r="D125" i="138"/>
  <c r="D38" i="138"/>
  <c r="D64" i="138"/>
  <c r="D74" i="138"/>
  <c r="D96" i="138"/>
  <c r="D122" i="138"/>
  <c r="D132" i="138"/>
  <c r="D140" i="138"/>
  <c r="D151" i="138"/>
  <c r="D39" i="138"/>
  <c r="D46" i="138"/>
  <c r="D71" i="138"/>
  <c r="D75" i="138"/>
  <c r="D82" i="138"/>
  <c r="D97" i="138"/>
  <c r="D104" i="138"/>
  <c r="D129" i="138"/>
  <c r="D133" i="138"/>
  <c r="D148" i="138"/>
  <c r="D14" i="138"/>
  <c r="D50" i="138"/>
  <c r="D86" i="138"/>
  <c r="D108" i="138"/>
  <c r="D141" i="138"/>
  <c r="D15" i="138"/>
  <c r="D22" i="138"/>
  <c r="D47" i="138"/>
  <c r="D51" i="138"/>
  <c r="D58" i="138"/>
  <c r="D83" i="138"/>
  <c r="D87" i="138"/>
  <c r="D94" i="138"/>
  <c r="D105" i="138"/>
  <c r="D109" i="138"/>
  <c r="D116" i="138"/>
  <c r="E8" i="138"/>
  <c r="K8" i="138"/>
  <c r="E10" i="138"/>
  <c r="K10" i="138"/>
  <c r="D10" i="138" l="1"/>
  <c r="D8" i="138"/>
  <c r="L124" i="137" l="1"/>
  <c r="K124" i="137"/>
  <c r="J124" i="137"/>
  <c r="H124" i="137"/>
  <c r="G124" i="137"/>
  <c r="F124" i="137"/>
  <c r="E124" i="137"/>
  <c r="I123" i="137"/>
  <c r="D123" i="137" s="1"/>
  <c r="I122" i="137"/>
  <c r="D122" i="137" s="1"/>
  <c r="I121" i="137"/>
  <c r="D121" i="137" s="1"/>
  <c r="I120" i="137"/>
  <c r="D120" i="137" s="1"/>
  <c r="I119" i="137"/>
  <c r="D119" i="137" s="1"/>
  <c r="I118" i="137"/>
  <c r="D118" i="137"/>
  <c r="I117" i="137"/>
  <c r="D117" i="137"/>
  <c r="I116" i="137"/>
  <c r="D116" i="137" s="1"/>
  <c r="I115" i="137"/>
  <c r="D115" i="137" s="1"/>
  <c r="I114" i="137"/>
  <c r="D114" i="137" s="1"/>
  <c r="I113" i="137"/>
  <c r="D113" i="137" s="1"/>
  <c r="I112" i="137"/>
  <c r="D112" i="137"/>
  <c r="I111" i="137"/>
  <c r="D111" i="137"/>
  <c r="I110" i="137"/>
  <c r="D110" i="137" s="1"/>
  <c r="I109" i="137"/>
  <c r="D109" i="137" s="1"/>
  <c r="I108" i="137"/>
  <c r="D108" i="137" s="1"/>
  <c r="I107" i="137"/>
  <c r="D107" i="137" s="1"/>
  <c r="I106" i="137"/>
  <c r="D106" i="137" s="1"/>
  <c r="I105" i="137"/>
  <c r="D105" i="137" s="1"/>
  <c r="I104" i="137"/>
  <c r="D104" i="137"/>
  <c r="I103" i="137"/>
  <c r="D103" i="137"/>
  <c r="I102" i="137"/>
  <c r="D102" i="137" s="1"/>
  <c r="I101" i="137"/>
  <c r="D101" i="137" s="1"/>
  <c r="I100" i="137"/>
  <c r="D100" i="137" s="1"/>
  <c r="I99" i="137"/>
  <c r="D99" i="137" s="1"/>
  <c r="I98" i="137"/>
  <c r="D98" i="137" s="1"/>
  <c r="I97" i="137"/>
  <c r="D97" i="137" s="1"/>
  <c r="I96" i="137"/>
  <c r="D96" i="137"/>
  <c r="I95" i="137"/>
  <c r="D95" i="137"/>
  <c r="I94" i="137"/>
  <c r="D94" i="137" s="1"/>
  <c r="I93" i="137"/>
  <c r="D93" i="137" s="1"/>
  <c r="I92" i="137"/>
  <c r="D92" i="137" s="1"/>
  <c r="I91" i="137"/>
  <c r="D91" i="137" s="1"/>
  <c r="I90" i="137"/>
  <c r="D90" i="137" s="1"/>
  <c r="I89" i="137"/>
  <c r="D89" i="137" s="1"/>
  <c r="I88" i="137"/>
  <c r="D88" i="137"/>
  <c r="I87" i="137"/>
  <c r="D87" i="137"/>
  <c r="I86" i="137"/>
  <c r="D86" i="137" s="1"/>
  <c r="I85" i="137"/>
  <c r="D85" i="137" s="1"/>
  <c r="I84" i="137"/>
  <c r="D84" i="137" s="1"/>
  <c r="I83" i="137"/>
  <c r="D83" i="137" s="1"/>
  <c r="I82" i="137"/>
  <c r="D82" i="137" s="1"/>
  <c r="I81" i="137"/>
  <c r="D81" i="137" s="1"/>
  <c r="I80" i="137"/>
  <c r="D80" i="137"/>
  <c r="I79" i="137"/>
  <c r="D79" i="137"/>
  <c r="I78" i="137"/>
  <c r="D78" i="137" s="1"/>
  <c r="I77" i="137"/>
  <c r="D77" i="137" s="1"/>
  <c r="I76" i="137"/>
  <c r="D76" i="137" s="1"/>
  <c r="I75" i="137"/>
  <c r="D75" i="137" s="1"/>
  <c r="I74" i="137"/>
  <c r="D74" i="137" s="1"/>
  <c r="I73" i="137"/>
  <c r="D73" i="137" s="1"/>
  <c r="I72" i="137"/>
  <c r="D72" i="137" s="1"/>
  <c r="I71" i="137"/>
  <c r="D71" i="137"/>
  <c r="I70" i="137"/>
  <c r="D70" i="137" s="1"/>
  <c r="I69" i="137"/>
  <c r="D69" i="137"/>
  <c r="I68" i="137"/>
  <c r="D68" i="137" s="1"/>
  <c r="I67" i="137"/>
  <c r="D67" i="137" s="1"/>
  <c r="I66" i="137"/>
  <c r="D66" i="137" s="1"/>
  <c r="I65" i="137"/>
  <c r="D65" i="137" s="1"/>
  <c r="I64" i="137"/>
  <c r="D64" i="137" s="1"/>
  <c r="I63" i="137"/>
  <c r="D63" i="137"/>
  <c r="I62" i="137"/>
  <c r="D62" i="137" s="1"/>
  <c r="I61" i="137"/>
  <c r="D61" i="137" s="1"/>
  <c r="I60" i="137"/>
  <c r="D60" i="137" s="1"/>
  <c r="I59" i="137"/>
  <c r="D59" i="137" s="1"/>
  <c r="I58" i="137"/>
  <c r="D58" i="137" s="1"/>
  <c r="I57" i="137"/>
  <c r="D57" i="137" s="1"/>
  <c r="I56" i="137"/>
  <c r="D56" i="137" s="1"/>
  <c r="I55" i="137"/>
  <c r="D55" i="137" s="1"/>
  <c r="I54" i="137"/>
  <c r="D54" i="137" s="1"/>
  <c r="I53" i="137"/>
  <c r="D53" i="137"/>
  <c r="I52" i="137"/>
  <c r="D52" i="137" s="1"/>
  <c r="I51" i="137"/>
  <c r="D51" i="137" s="1"/>
  <c r="I50" i="137"/>
  <c r="D50" i="137" s="1"/>
  <c r="I49" i="137"/>
  <c r="D49" i="137" s="1"/>
  <c r="I48" i="137"/>
  <c r="D48" i="137" s="1"/>
  <c r="I47" i="137"/>
  <c r="D47" i="137"/>
  <c r="I46" i="137"/>
  <c r="D46" i="137" s="1"/>
  <c r="I45" i="137"/>
  <c r="D45" i="137" s="1"/>
  <c r="I44" i="137"/>
  <c r="D44" i="137" s="1"/>
  <c r="I43" i="137"/>
  <c r="D43" i="137" s="1"/>
  <c r="I42" i="137"/>
  <c r="D42" i="137" s="1"/>
  <c r="I41" i="137"/>
  <c r="D41" i="137" s="1"/>
  <c r="I40" i="137"/>
  <c r="D40" i="137" s="1"/>
  <c r="I39" i="137"/>
  <c r="D39" i="137" s="1"/>
  <c r="I38" i="137"/>
  <c r="D38" i="137" s="1"/>
  <c r="I37" i="137"/>
  <c r="D37" i="137" s="1"/>
  <c r="I36" i="137"/>
  <c r="D36" i="137" s="1"/>
  <c r="I35" i="137"/>
  <c r="D35" i="137" s="1"/>
  <c r="I34" i="137"/>
  <c r="D34" i="137" s="1"/>
  <c r="I33" i="137"/>
  <c r="D33" i="137" s="1"/>
  <c r="I32" i="137"/>
  <c r="D32" i="137"/>
  <c r="I31" i="137"/>
  <c r="D31" i="137" s="1"/>
  <c r="I30" i="137"/>
  <c r="D30" i="137" s="1"/>
  <c r="I29" i="137"/>
  <c r="D29" i="137" s="1"/>
  <c r="I28" i="137"/>
  <c r="D28" i="137" s="1"/>
  <c r="I27" i="137"/>
  <c r="D27" i="137" s="1"/>
  <c r="I26" i="137"/>
  <c r="D26" i="137" s="1"/>
  <c r="I25" i="137"/>
  <c r="D25" i="137" s="1"/>
  <c r="I24" i="137"/>
  <c r="D24" i="137" s="1"/>
  <c r="I23" i="137"/>
  <c r="D23" i="137" s="1"/>
  <c r="I22" i="137"/>
  <c r="D22" i="137" s="1"/>
  <c r="I21" i="137"/>
  <c r="D21" i="137"/>
  <c r="I20" i="137"/>
  <c r="D20" i="137" s="1"/>
  <c r="I19" i="137"/>
  <c r="D19" i="137" s="1"/>
  <c r="I18" i="137"/>
  <c r="D18" i="137" s="1"/>
  <c r="I17" i="137"/>
  <c r="D17" i="137" s="1"/>
  <c r="I16" i="137"/>
  <c r="D16" i="137"/>
  <c r="I15" i="137"/>
  <c r="D15" i="137"/>
  <c r="I14" i="137"/>
  <c r="D14" i="137" s="1"/>
  <c r="I13" i="137"/>
  <c r="D13" i="137"/>
  <c r="I12" i="137"/>
  <c r="D12" i="137" s="1"/>
  <c r="I11" i="137"/>
  <c r="D11" i="137" s="1"/>
  <c r="I10" i="137"/>
  <c r="D10" i="137" s="1"/>
  <c r="I124" i="137" l="1"/>
  <c r="D124" i="137"/>
  <c r="AZ44" i="135"/>
  <c r="AY44" i="135"/>
  <c r="AX44" i="135"/>
  <c r="AW44" i="135"/>
  <c r="AV44" i="135"/>
  <c r="AU44" i="135"/>
  <c r="AT44" i="135"/>
  <c r="AS44" i="135"/>
  <c r="AR44" i="135"/>
  <c r="AQ44" i="135"/>
  <c r="AP44" i="135"/>
  <c r="AO44" i="135"/>
  <c r="AN44" i="135"/>
  <c r="AM44" i="135"/>
  <c r="AK44" i="135"/>
  <c r="T44" i="135" s="1"/>
  <c r="AJ44" i="135"/>
  <c r="S44" i="135" s="1"/>
  <c r="AI44" i="135"/>
  <c r="R44" i="135" s="1"/>
  <c r="AH44" i="135"/>
  <c r="AG44" i="135"/>
  <c r="P44" i="135" s="1"/>
  <c r="AF44" i="135"/>
  <c r="O44" i="135" s="1"/>
  <c r="AE44" i="135"/>
  <c r="N44" i="135" s="1"/>
  <c r="AD44" i="135"/>
  <c r="M44" i="135" s="1"/>
  <c r="AC44" i="135"/>
  <c r="AB44" i="135"/>
  <c r="AA44" i="135"/>
  <c r="Z44" i="135"/>
  <c r="Y44" i="135"/>
  <c r="H44" i="135" s="1"/>
  <c r="X44" i="135"/>
  <c r="W44" i="135"/>
  <c r="F44" i="135" s="1"/>
  <c r="V44" i="135"/>
  <c r="AZ43" i="135"/>
  <c r="AY43" i="135"/>
  <c r="AX43" i="135"/>
  <c r="AW43" i="135"/>
  <c r="AV43" i="135"/>
  <c r="AU43" i="135"/>
  <c r="AT43" i="135"/>
  <c r="AS43" i="135"/>
  <c r="AR43" i="135"/>
  <c r="AQ43" i="135"/>
  <c r="AP43" i="135"/>
  <c r="AO43" i="135"/>
  <c r="AN43" i="135"/>
  <c r="AM43" i="135"/>
  <c r="AK43" i="135"/>
  <c r="T43" i="135" s="1"/>
  <c r="AJ43" i="135"/>
  <c r="S43" i="135" s="1"/>
  <c r="AI43" i="135"/>
  <c r="R43" i="135" s="1"/>
  <c r="AH43" i="135"/>
  <c r="Q43" i="135" s="1"/>
  <c r="AG43" i="135"/>
  <c r="P43" i="135" s="1"/>
  <c r="AF43" i="135"/>
  <c r="O43" i="135" s="1"/>
  <c r="AE43" i="135"/>
  <c r="AD43" i="135"/>
  <c r="M43" i="135" s="1"/>
  <c r="AC43" i="135"/>
  <c r="AB43" i="135"/>
  <c r="AA43" i="135"/>
  <c r="Z43" i="135"/>
  <c r="Y43" i="135"/>
  <c r="H43" i="135" s="1"/>
  <c r="X43" i="135"/>
  <c r="G43" i="135" s="1"/>
  <c r="W43" i="135"/>
  <c r="V43" i="135"/>
  <c r="E43" i="135" s="1"/>
  <c r="AZ42" i="135"/>
  <c r="AY42" i="135"/>
  <c r="AX42" i="135"/>
  <c r="AW42" i="135"/>
  <c r="AV42" i="135"/>
  <c r="AU42" i="135"/>
  <c r="AT42" i="135"/>
  <c r="AS42" i="135"/>
  <c r="AR42" i="135"/>
  <c r="AQ42" i="135"/>
  <c r="AP42" i="135"/>
  <c r="AO42" i="135"/>
  <c r="AN42" i="135"/>
  <c r="AM42" i="135"/>
  <c r="AK42" i="135"/>
  <c r="AJ42" i="135"/>
  <c r="AI42" i="135"/>
  <c r="AH42" i="135"/>
  <c r="Q42" i="135" s="1"/>
  <c r="AG42" i="135"/>
  <c r="AF42" i="135"/>
  <c r="O42" i="135" s="1"/>
  <c r="AE42" i="135"/>
  <c r="N42" i="135" s="1"/>
  <c r="AD42" i="135"/>
  <c r="AC42" i="135"/>
  <c r="L42" i="135" s="1"/>
  <c r="AB42" i="135"/>
  <c r="K42" i="135" s="1"/>
  <c r="AA42" i="135"/>
  <c r="J42" i="135" s="1"/>
  <c r="Z42" i="135"/>
  <c r="Y42" i="135"/>
  <c r="X42" i="135"/>
  <c r="W42" i="135"/>
  <c r="V42" i="135"/>
  <c r="T42" i="135"/>
  <c r="S42" i="135"/>
  <c r="AZ41" i="135"/>
  <c r="R41" i="135" s="1"/>
  <c r="AY41" i="135"/>
  <c r="AX41" i="135"/>
  <c r="AW41" i="135"/>
  <c r="AV41" i="135"/>
  <c r="AU41" i="135"/>
  <c r="AT41" i="135"/>
  <c r="AS41" i="135"/>
  <c r="AR41" i="135"/>
  <c r="AQ41" i="135"/>
  <c r="AP41" i="135"/>
  <c r="AO41" i="135"/>
  <c r="AN41" i="135"/>
  <c r="AM41" i="135"/>
  <c r="AK41" i="135"/>
  <c r="T41" i="135" s="1"/>
  <c r="AJ41" i="135"/>
  <c r="S41" i="135" s="1"/>
  <c r="AI41" i="135"/>
  <c r="AH41" i="135"/>
  <c r="AG41" i="135"/>
  <c r="AF41" i="135"/>
  <c r="AE41" i="135"/>
  <c r="AD41" i="135"/>
  <c r="AC41" i="135"/>
  <c r="AB41" i="135"/>
  <c r="K41" i="135" s="1"/>
  <c r="AA41" i="135"/>
  <c r="J41" i="135" s="1"/>
  <c r="Z41" i="135"/>
  <c r="I41" i="135" s="1"/>
  <c r="Y41" i="135"/>
  <c r="H41" i="135" s="1"/>
  <c r="X41" i="135"/>
  <c r="W41" i="135"/>
  <c r="V41" i="135"/>
  <c r="N41" i="135"/>
  <c r="M41" i="135"/>
  <c r="L41" i="135"/>
  <c r="F41" i="135"/>
  <c r="E41" i="135"/>
  <c r="AZ40" i="135"/>
  <c r="AY40" i="135"/>
  <c r="AX40" i="135"/>
  <c r="AW40" i="135"/>
  <c r="AV40" i="135"/>
  <c r="AU40" i="135"/>
  <c r="AT40" i="135"/>
  <c r="AS40" i="135"/>
  <c r="AR40" i="135"/>
  <c r="AQ40" i="135"/>
  <c r="AP40" i="135"/>
  <c r="AO40" i="135"/>
  <c r="AN40" i="135"/>
  <c r="AM40" i="135"/>
  <c r="AK40" i="135"/>
  <c r="T40" i="135" s="1"/>
  <c r="AJ40" i="135"/>
  <c r="AI40" i="135"/>
  <c r="AH40" i="135"/>
  <c r="AG40" i="135"/>
  <c r="AF40" i="135"/>
  <c r="AE40" i="135"/>
  <c r="N40" i="135" s="1"/>
  <c r="AD40" i="135"/>
  <c r="M40" i="135" s="1"/>
  <c r="AC40" i="135"/>
  <c r="L40" i="135" s="1"/>
  <c r="AB40" i="135"/>
  <c r="K40" i="135" s="1"/>
  <c r="AA40" i="135"/>
  <c r="Z40" i="135"/>
  <c r="Y40" i="135"/>
  <c r="X40" i="135"/>
  <c r="G40" i="135" s="1"/>
  <c r="W40" i="135"/>
  <c r="F40" i="135" s="1"/>
  <c r="V40" i="135"/>
  <c r="S40" i="135"/>
  <c r="P40" i="135"/>
  <c r="O40" i="135"/>
  <c r="H40" i="135"/>
  <c r="AZ39" i="135"/>
  <c r="AY39" i="135"/>
  <c r="AX39" i="135"/>
  <c r="AW39" i="135"/>
  <c r="AV39" i="135"/>
  <c r="AU39" i="135"/>
  <c r="AT39" i="135"/>
  <c r="AS39" i="135"/>
  <c r="AR39" i="135"/>
  <c r="AQ39" i="135"/>
  <c r="AP39" i="135"/>
  <c r="AO39" i="135"/>
  <c r="AN39" i="135"/>
  <c r="AM39" i="135"/>
  <c r="AK39" i="135"/>
  <c r="T39" i="135" s="1"/>
  <c r="AJ39" i="135"/>
  <c r="AI39" i="135"/>
  <c r="AH39" i="135"/>
  <c r="AG39" i="135"/>
  <c r="AF39" i="135"/>
  <c r="AE39" i="135"/>
  <c r="AD39" i="135"/>
  <c r="M39" i="135" s="1"/>
  <c r="AC39" i="135"/>
  <c r="L39" i="135" s="1"/>
  <c r="AB39" i="135"/>
  <c r="AA39" i="135"/>
  <c r="J39" i="135" s="1"/>
  <c r="Z39" i="135"/>
  <c r="I39" i="135" s="1"/>
  <c r="Y39" i="135"/>
  <c r="X39" i="135"/>
  <c r="W39" i="135"/>
  <c r="V39" i="135"/>
  <c r="E39" i="135" s="1"/>
  <c r="S39" i="135"/>
  <c r="P39" i="135"/>
  <c r="O39" i="135"/>
  <c r="N39" i="135"/>
  <c r="AZ38" i="135"/>
  <c r="AY38" i="135"/>
  <c r="AX38" i="135"/>
  <c r="AW38" i="135"/>
  <c r="AV38" i="135"/>
  <c r="AU38" i="135"/>
  <c r="AT38" i="135"/>
  <c r="AS38" i="135"/>
  <c r="AR38" i="135"/>
  <c r="AQ38" i="135"/>
  <c r="AP38" i="135"/>
  <c r="AO38" i="135"/>
  <c r="AN38" i="135"/>
  <c r="AM38" i="135"/>
  <c r="AK38" i="135"/>
  <c r="AJ38" i="135"/>
  <c r="S38" i="135" s="1"/>
  <c r="AI38" i="135"/>
  <c r="AH38" i="135"/>
  <c r="Q38" i="135" s="1"/>
  <c r="AG38" i="135"/>
  <c r="P38" i="135" s="1"/>
  <c r="AF38" i="135"/>
  <c r="O38" i="135" s="1"/>
  <c r="AE38" i="135"/>
  <c r="N38" i="135" s="1"/>
  <c r="AD38" i="135"/>
  <c r="AC38" i="135"/>
  <c r="AB38" i="135"/>
  <c r="AA38" i="135"/>
  <c r="Z38" i="135"/>
  <c r="I38" i="135" s="1"/>
  <c r="Y38" i="135"/>
  <c r="H38" i="135" s="1"/>
  <c r="X38" i="135"/>
  <c r="G38" i="135" s="1"/>
  <c r="W38" i="135"/>
  <c r="F38" i="135" s="1"/>
  <c r="V38" i="135"/>
  <c r="T38" i="135"/>
  <c r="R38" i="135"/>
  <c r="AZ37" i="135"/>
  <c r="AY37" i="135"/>
  <c r="AX37" i="135"/>
  <c r="AW37" i="135"/>
  <c r="AV37" i="135"/>
  <c r="AU37" i="135"/>
  <c r="AT37" i="135"/>
  <c r="AS37" i="135"/>
  <c r="AR37" i="135"/>
  <c r="AQ37" i="135"/>
  <c r="AP37" i="135"/>
  <c r="AO37" i="135"/>
  <c r="AN37" i="135"/>
  <c r="AM37" i="135"/>
  <c r="AK37" i="135"/>
  <c r="T37" i="135" s="1"/>
  <c r="AJ37" i="135"/>
  <c r="AI37" i="135"/>
  <c r="R37" i="135" s="1"/>
  <c r="AH37" i="135"/>
  <c r="Q37" i="135" s="1"/>
  <c r="AG37" i="135"/>
  <c r="P37" i="135" s="1"/>
  <c r="AF37" i="135"/>
  <c r="AE37" i="135"/>
  <c r="AD37" i="135"/>
  <c r="AC37" i="135"/>
  <c r="AB37" i="135"/>
  <c r="AA37" i="135"/>
  <c r="J37" i="135" s="1"/>
  <c r="Z37" i="135"/>
  <c r="I37" i="135" s="1"/>
  <c r="Y37" i="135"/>
  <c r="X37" i="135"/>
  <c r="W37" i="135"/>
  <c r="F37" i="135" s="1"/>
  <c r="V37" i="135"/>
  <c r="E37" i="135" s="1"/>
  <c r="S37" i="135"/>
  <c r="AZ36" i="135"/>
  <c r="AY36" i="135"/>
  <c r="AX36" i="135"/>
  <c r="AW36" i="135"/>
  <c r="AV36" i="135"/>
  <c r="AU36" i="135"/>
  <c r="AT36" i="135"/>
  <c r="AS36" i="135"/>
  <c r="AR36" i="135"/>
  <c r="AQ36" i="135"/>
  <c r="AP36" i="135"/>
  <c r="AO36" i="135"/>
  <c r="AN36" i="135"/>
  <c r="AM36" i="135"/>
  <c r="AK36" i="135"/>
  <c r="T36" i="135" s="1"/>
  <c r="AJ36" i="135"/>
  <c r="S36" i="135" s="1"/>
  <c r="AI36" i="135"/>
  <c r="R36" i="135" s="1"/>
  <c r="AH36" i="135"/>
  <c r="AG36" i="135"/>
  <c r="P36" i="135" s="1"/>
  <c r="AF36" i="135"/>
  <c r="AE36" i="135"/>
  <c r="AD36" i="135"/>
  <c r="AC36" i="135"/>
  <c r="AB36" i="135"/>
  <c r="K36" i="135" s="1"/>
  <c r="AA36" i="135"/>
  <c r="J36" i="135" s="1"/>
  <c r="Z36" i="135"/>
  <c r="Y36" i="135"/>
  <c r="H36" i="135" s="1"/>
  <c r="X36" i="135"/>
  <c r="G36" i="135" s="1"/>
  <c r="W36" i="135"/>
  <c r="F36" i="135" s="1"/>
  <c r="V36" i="135"/>
  <c r="E36" i="135" s="1"/>
  <c r="AZ35" i="135"/>
  <c r="AY35" i="135"/>
  <c r="AX35" i="135"/>
  <c r="AW35" i="135"/>
  <c r="AV35" i="135"/>
  <c r="AU35" i="135"/>
  <c r="AT35" i="135"/>
  <c r="AS35" i="135"/>
  <c r="AR35" i="135"/>
  <c r="AQ35" i="135"/>
  <c r="AP35" i="135"/>
  <c r="AO35" i="135"/>
  <c r="AN35" i="135"/>
  <c r="AM35" i="135"/>
  <c r="AK35" i="135"/>
  <c r="T35" i="135" s="1"/>
  <c r="AJ35" i="135"/>
  <c r="S35" i="135" s="1"/>
  <c r="AI35" i="135"/>
  <c r="R35" i="135" s="1"/>
  <c r="AH35" i="135"/>
  <c r="Q35" i="135" s="1"/>
  <c r="AG35" i="135"/>
  <c r="P35" i="135" s="1"/>
  <c r="AF35" i="135"/>
  <c r="O35" i="135" s="1"/>
  <c r="AE35" i="135"/>
  <c r="AD35" i="135"/>
  <c r="AC35" i="135"/>
  <c r="AB35" i="135"/>
  <c r="AA35" i="135"/>
  <c r="Z35" i="135"/>
  <c r="I35" i="135" s="1"/>
  <c r="Y35" i="135"/>
  <c r="H35" i="135" s="1"/>
  <c r="X35" i="135"/>
  <c r="G35" i="135" s="1"/>
  <c r="W35" i="135"/>
  <c r="V35" i="135"/>
  <c r="E35" i="135" s="1"/>
  <c r="J35" i="135"/>
  <c r="AZ34" i="135"/>
  <c r="AY34" i="135"/>
  <c r="AX34" i="135"/>
  <c r="AW34" i="135"/>
  <c r="AV34" i="135"/>
  <c r="AU34" i="135"/>
  <c r="AT34" i="135"/>
  <c r="AS34" i="135"/>
  <c r="AR34" i="135"/>
  <c r="AQ34" i="135"/>
  <c r="AP34" i="135"/>
  <c r="AO34" i="135"/>
  <c r="AN34" i="135"/>
  <c r="AM34" i="135"/>
  <c r="AK34" i="135"/>
  <c r="AJ34" i="135"/>
  <c r="S34" i="135" s="1"/>
  <c r="AI34" i="135"/>
  <c r="R34" i="135" s="1"/>
  <c r="AH34" i="135"/>
  <c r="Q34" i="135" s="1"/>
  <c r="AG34" i="135"/>
  <c r="P34" i="135" s="1"/>
  <c r="AF34" i="135"/>
  <c r="O34" i="135" s="1"/>
  <c r="AE34" i="135"/>
  <c r="N34" i="135" s="1"/>
  <c r="AD34" i="135"/>
  <c r="AC34" i="135"/>
  <c r="AB34" i="135"/>
  <c r="AA34" i="135"/>
  <c r="Z34" i="135"/>
  <c r="I34" i="135" s="1"/>
  <c r="Y34" i="135"/>
  <c r="H34" i="135" s="1"/>
  <c r="X34" i="135"/>
  <c r="G34" i="135" s="1"/>
  <c r="W34" i="135"/>
  <c r="F34" i="135" s="1"/>
  <c r="V34" i="135"/>
  <c r="T34" i="135"/>
  <c r="AZ33" i="135"/>
  <c r="AY33" i="135"/>
  <c r="AX33" i="135"/>
  <c r="AW33" i="135"/>
  <c r="AV33" i="135"/>
  <c r="AU33" i="135"/>
  <c r="AT33" i="135"/>
  <c r="AS33" i="135"/>
  <c r="AR33" i="135"/>
  <c r="AQ33" i="135"/>
  <c r="AP33" i="135"/>
  <c r="AO33" i="135"/>
  <c r="AN33" i="135"/>
  <c r="AM33" i="135"/>
  <c r="AK33" i="135"/>
  <c r="T33" i="135" s="1"/>
  <c r="AJ33" i="135"/>
  <c r="S33" i="135" s="1"/>
  <c r="AI33" i="135"/>
  <c r="R33" i="135" s="1"/>
  <c r="AH33" i="135"/>
  <c r="Q33" i="135" s="1"/>
  <c r="AG33" i="135"/>
  <c r="P33" i="135" s="1"/>
  <c r="AF33" i="135"/>
  <c r="AE33" i="135"/>
  <c r="N33" i="135" s="1"/>
  <c r="AD33" i="135"/>
  <c r="M33" i="135" s="1"/>
  <c r="AC33" i="135"/>
  <c r="AB33" i="135"/>
  <c r="AA33" i="135"/>
  <c r="J33" i="135" s="1"/>
  <c r="Z33" i="135"/>
  <c r="I33" i="135" s="1"/>
  <c r="Y33" i="135"/>
  <c r="H33" i="135" s="1"/>
  <c r="X33" i="135"/>
  <c r="W33" i="135"/>
  <c r="F33" i="135" s="1"/>
  <c r="V33" i="135"/>
  <c r="E33" i="135" s="1"/>
  <c r="AZ32" i="135"/>
  <c r="AY32" i="135"/>
  <c r="AX32" i="135"/>
  <c r="AW32" i="135"/>
  <c r="AV32" i="135"/>
  <c r="AU32" i="135"/>
  <c r="AT32" i="135"/>
  <c r="AS32" i="135"/>
  <c r="AR32" i="135"/>
  <c r="AQ32" i="135"/>
  <c r="AP32" i="135"/>
  <c r="AO32" i="135"/>
  <c r="AN32" i="135"/>
  <c r="AM32" i="135"/>
  <c r="AK32" i="135"/>
  <c r="AJ32" i="135"/>
  <c r="AI32" i="135"/>
  <c r="R32" i="135" s="1"/>
  <c r="AH32" i="135"/>
  <c r="AG32" i="135"/>
  <c r="AF32" i="135"/>
  <c r="O32" i="135" s="1"/>
  <c r="AE32" i="135"/>
  <c r="N32" i="135" s="1"/>
  <c r="AD32" i="135"/>
  <c r="M32" i="135" s="1"/>
  <c r="AC32" i="135"/>
  <c r="L32" i="135" s="1"/>
  <c r="AB32" i="135"/>
  <c r="AA32" i="135"/>
  <c r="Z32" i="135"/>
  <c r="Y32" i="135"/>
  <c r="H32" i="135" s="1"/>
  <c r="X32" i="135"/>
  <c r="G32" i="135" s="1"/>
  <c r="W32" i="135"/>
  <c r="F32" i="135" s="1"/>
  <c r="V32" i="135"/>
  <c r="E32" i="135" s="1"/>
  <c r="T32" i="135"/>
  <c r="S32" i="135"/>
  <c r="P32" i="135"/>
  <c r="AZ31" i="135"/>
  <c r="AY31" i="135"/>
  <c r="AX31" i="135"/>
  <c r="AW31" i="135"/>
  <c r="AV31" i="135"/>
  <c r="AU31" i="135"/>
  <c r="AT31" i="135"/>
  <c r="AS31" i="135"/>
  <c r="AR31" i="135"/>
  <c r="AQ31" i="135"/>
  <c r="AP31" i="135"/>
  <c r="AO31" i="135"/>
  <c r="AN31" i="135"/>
  <c r="AM31" i="135"/>
  <c r="AK31" i="135"/>
  <c r="T31" i="135" s="1"/>
  <c r="AJ31" i="135"/>
  <c r="S31" i="135" s="1"/>
  <c r="AI31" i="135"/>
  <c r="R31" i="135" s="1"/>
  <c r="AH31" i="135"/>
  <c r="Q31" i="135" s="1"/>
  <c r="AG31" i="135"/>
  <c r="P31" i="135" s="1"/>
  <c r="AF31" i="135"/>
  <c r="AE31" i="135"/>
  <c r="AD31" i="135"/>
  <c r="AC31" i="135"/>
  <c r="AB31" i="135"/>
  <c r="AA31" i="135"/>
  <c r="Z31" i="135"/>
  <c r="I31" i="135" s="1"/>
  <c r="Y31" i="135"/>
  <c r="X31" i="135"/>
  <c r="G31" i="135" s="1"/>
  <c r="W31" i="135"/>
  <c r="F31" i="135" s="1"/>
  <c r="V31" i="135"/>
  <c r="E31" i="135" s="1"/>
  <c r="O31" i="135"/>
  <c r="N31" i="135"/>
  <c r="M31" i="135"/>
  <c r="AZ30" i="135"/>
  <c r="AY30" i="135"/>
  <c r="AX30" i="135"/>
  <c r="AW30" i="135"/>
  <c r="AV30" i="135"/>
  <c r="AU30" i="135"/>
  <c r="AT30" i="135"/>
  <c r="AS30" i="135"/>
  <c r="AR30" i="135"/>
  <c r="AQ30" i="135"/>
  <c r="AP30" i="135"/>
  <c r="AO30" i="135"/>
  <c r="AN30" i="135"/>
  <c r="AM30" i="135"/>
  <c r="AK30" i="135"/>
  <c r="T30" i="135" s="1"/>
  <c r="AJ30" i="135"/>
  <c r="S30" i="135" s="1"/>
  <c r="AI30" i="135"/>
  <c r="R30" i="135" s="1"/>
  <c r="AH30" i="135"/>
  <c r="Q30" i="135" s="1"/>
  <c r="AG30" i="135"/>
  <c r="P30" i="135" s="1"/>
  <c r="AF30" i="135"/>
  <c r="AE30" i="135"/>
  <c r="N30" i="135" s="1"/>
  <c r="AD30" i="135"/>
  <c r="AC30" i="135"/>
  <c r="L30" i="135" s="1"/>
  <c r="AB30" i="135"/>
  <c r="K30" i="135" s="1"/>
  <c r="AA30" i="135"/>
  <c r="Z30" i="135"/>
  <c r="Y30" i="135"/>
  <c r="H30" i="135" s="1"/>
  <c r="X30" i="135"/>
  <c r="W30" i="135"/>
  <c r="V30" i="135"/>
  <c r="O30" i="135"/>
  <c r="G30" i="135"/>
  <c r="AZ29" i="135"/>
  <c r="AY29" i="135"/>
  <c r="AX29" i="135"/>
  <c r="AW29" i="135"/>
  <c r="AV29" i="135"/>
  <c r="AU29" i="135"/>
  <c r="AT29" i="135"/>
  <c r="AS29" i="135"/>
  <c r="AR29" i="135"/>
  <c r="AQ29" i="135"/>
  <c r="AP29" i="135"/>
  <c r="AO29" i="135"/>
  <c r="AN29" i="135"/>
  <c r="AM29" i="135"/>
  <c r="AK29" i="135"/>
  <c r="AJ29" i="135"/>
  <c r="S29" i="135" s="1"/>
  <c r="AI29" i="135"/>
  <c r="R29" i="135" s="1"/>
  <c r="AH29" i="135"/>
  <c r="AG29" i="135"/>
  <c r="P29" i="135" s="1"/>
  <c r="AF29" i="135"/>
  <c r="AE29" i="135"/>
  <c r="AD29" i="135"/>
  <c r="M29" i="135" s="1"/>
  <c r="AC29" i="135"/>
  <c r="AB29" i="135"/>
  <c r="K29" i="135" s="1"/>
  <c r="AA29" i="135"/>
  <c r="J29" i="135" s="1"/>
  <c r="Z29" i="135"/>
  <c r="Y29" i="135"/>
  <c r="X29" i="135"/>
  <c r="W29" i="135"/>
  <c r="V29" i="135"/>
  <c r="T29" i="135"/>
  <c r="Q29" i="135"/>
  <c r="L29" i="135"/>
  <c r="I29" i="135"/>
  <c r="AZ28" i="135"/>
  <c r="AY28" i="135"/>
  <c r="AX28" i="135"/>
  <c r="AW28" i="135"/>
  <c r="AV28" i="135"/>
  <c r="AU28" i="135"/>
  <c r="AT28" i="135"/>
  <c r="AS28" i="135"/>
  <c r="AR28" i="135"/>
  <c r="AQ28" i="135"/>
  <c r="AP28" i="135"/>
  <c r="AO28" i="135"/>
  <c r="AN28" i="135"/>
  <c r="AM28" i="135"/>
  <c r="AK28" i="135"/>
  <c r="T28" i="135" s="1"/>
  <c r="AJ28" i="135"/>
  <c r="AI28" i="135"/>
  <c r="R28" i="135" s="1"/>
  <c r="AH28" i="135"/>
  <c r="AG28" i="135"/>
  <c r="AF28" i="135"/>
  <c r="O28" i="135" s="1"/>
  <c r="AE28" i="135"/>
  <c r="N28" i="135" s="1"/>
  <c r="AD28" i="135"/>
  <c r="M28" i="135" s="1"/>
  <c r="AC28" i="135"/>
  <c r="L28" i="135" s="1"/>
  <c r="AB28" i="135"/>
  <c r="AA28" i="135"/>
  <c r="Z28" i="135"/>
  <c r="Y28" i="135"/>
  <c r="H28" i="135" s="1"/>
  <c r="X28" i="135"/>
  <c r="G28" i="135" s="1"/>
  <c r="W28" i="135"/>
  <c r="F28" i="135" s="1"/>
  <c r="V28" i="135"/>
  <c r="E28" i="135" s="1"/>
  <c r="S28" i="135"/>
  <c r="P28" i="135"/>
  <c r="K28" i="135"/>
  <c r="AZ27" i="135"/>
  <c r="AY27" i="135"/>
  <c r="AX27" i="135"/>
  <c r="AW27" i="135"/>
  <c r="AV27" i="135"/>
  <c r="AU27" i="135"/>
  <c r="AT27" i="135"/>
  <c r="AS27" i="135"/>
  <c r="AR27" i="135"/>
  <c r="AQ27" i="135"/>
  <c r="AP27" i="135"/>
  <c r="AO27" i="135"/>
  <c r="AN27" i="135"/>
  <c r="AM27" i="135"/>
  <c r="AK27" i="135"/>
  <c r="T27" i="135" s="1"/>
  <c r="AJ27" i="135"/>
  <c r="S27" i="135" s="1"/>
  <c r="AI27" i="135"/>
  <c r="R27" i="135" s="1"/>
  <c r="AH27" i="135"/>
  <c r="Q27" i="135" s="1"/>
  <c r="AG27" i="135"/>
  <c r="P27" i="135" s="1"/>
  <c r="AF27" i="135"/>
  <c r="AE27" i="135"/>
  <c r="AD27" i="135"/>
  <c r="AC27" i="135"/>
  <c r="L27" i="135" s="1"/>
  <c r="AB27" i="135"/>
  <c r="AA27" i="135"/>
  <c r="J27" i="135" s="1"/>
  <c r="Z27" i="135"/>
  <c r="I27" i="135" s="1"/>
  <c r="Y27" i="135"/>
  <c r="X27" i="135"/>
  <c r="G27" i="135" s="1"/>
  <c r="W27" i="135"/>
  <c r="F27" i="135" s="1"/>
  <c r="V27" i="135"/>
  <c r="E27" i="135" s="1"/>
  <c r="N27" i="135"/>
  <c r="M27" i="135"/>
  <c r="AZ26" i="135"/>
  <c r="AY26" i="135"/>
  <c r="AX26" i="135"/>
  <c r="AW26" i="135"/>
  <c r="AV26" i="135"/>
  <c r="AU26" i="135"/>
  <c r="AT26" i="135"/>
  <c r="AS26" i="135"/>
  <c r="AR26" i="135"/>
  <c r="AQ26" i="135"/>
  <c r="AP26" i="135"/>
  <c r="AO26" i="135"/>
  <c r="AN26" i="135"/>
  <c r="AM26" i="135"/>
  <c r="AK26" i="135"/>
  <c r="T26" i="135" s="1"/>
  <c r="AJ26" i="135"/>
  <c r="S26" i="135" s="1"/>
  <c r="AI26" i="135"/>
  <c r="R26" i="135" s="1"/>
  <c r="AH26" i="135"/>
  <c r="Q26" i="135" s="1"/>
  <c r="AG26" i="135"/>
  <c r="AF26" i="135"/>
  <c r="AE26" i="135"/>
  <c r="AD26" i="135"/>
  <c r="AC26" i="135"/>
  <c r="L26" i="135" s="1"/>
  <c r="AB26" i="135"/>
  <c r="K26" i="135" s="1"/>
  <c r="AA26" i="135"/>
  <c r="Z26" i="135"/>
  <c r="Y26" i="135"/>
  <c r="H26" i="135" s="1"/>
  <c r="X26" i="135"/>
  <c r="G26" i="135" s="1"/>
  <c r="W26" i="135"/>
  <c r="V26" i="135"/>
  <c r="O26" i="135"/>
  <c r="AZ25" i="135"/>
  <c r="AY25" i="135"/>
  <c r="AX25" i="135"/>
  <c r="AW25" i="135"/>
  <c r="AV25" i="135"/>
  <c r="AU25" i="135"/>
  <c r="AT25" i="135"/>
  <c r="AS25" i="135"/>
  <c r="AR25" i="135"/>
  <c r="AQ25" i="135"/>
  <c r="AP25" i="135"/>
  <c r="AO25" i="135"/>
  <c r="AN25" i="135"/>
  <c r="AM25" i="135"/>
  <c r="AK25" i="135"/>
  <c r="T25" i="135" s="1"/>
  <c r="AJ25" i="135"/>
  <c r="AI25" i="135"/>
  <c r="AH25" i="135"/>
  <c r="Q25" i="135" s="1"/>
  <c r="AG25" i="135"/>
  <c r="P25" i="135" s="1"/>
  <c r="AF25" i="135"/>
  <c r="AE25" i="135"/>
  <c r="N25" i="135" s="1"/>
  <c r="AD25" i="135"/>
  <c r="AC25" i="135"/>
  <c r="L25" i="135" s="1"/>
  <c r="AB25" i="135"/>
  <c r="AA25" i="135"/>
  <c r="J25" i="135" s="1"/>
  <c r="Z25" i="135"/>
  <c r="Y25" i="135"/>
  <c r="H25" i="135" s="1"/>
  <c r="X25" i="135"/>
  <c r="W25" i="135"/>
  <c r="V25" i="135"/>
  <c r="E25" i="135" s="1"/>
  <c r="S25" i="135"/>
  <c r="K25" i="135"/>
  <c r="AZ24" i="135"/>
  <c r="AY24" i="135"/>
  <c r="AX24" i="135"/>
  <c r="AW24" i="135"/>
  <c r="AV24" i="135"/>
  <c r="AU24" i="135"/>
  <c r="AT24" i="135"/>
  <c r="AS24" i="135"/>
  <c r="AR24" i="135"/>
  <c r="AQ24" i="135"/>
  <c r="AP24" i="135"/>
  <c r="AO24" i="135"/>
  <c r="AN24" i="135"/>
  <c r="AM24" i="135"/>
  <c r="AK24" i="135"/>
  <c r="AJ24" i="135"/>
  <c r="S24" i="135" s="1"/>
  <c r="AI24" i="135"/>
  <c r="R24" i="135" s="1"/>
  <c r="AH24" i="135"/>
  <c r="AG24" i="135"/>
  <c r="P24" i="135" s="1"/>
  <c r="AF24" i="135"/>
  <c r="AE24" i="135"/>
  <c r="N24" i="135" s="1"/>
  <c r="AD24" i="135"/>
  <c r="M24" i="135" s="1"/>
  <c r="AC24" i="135"/>
  <c r="L24" i="135" s="1"/>
  <c r="AB24" i="135"/>
  <c r="K24" i="135" s="1"/>
  <c r="AA24" i="135"/>
  <c r="J24" i="135" s="1"/>
  <c r="Z24" i="135"/>
  <c r="Y24" i="135"/>
  <c r="X24" i="135"/>
  <c r="G24" i="135" s="1"/>
  <c r="W24" i="135"/>
  <c r="F24" i="135" s="1"/>
  <c r="V24" i="135"/>
  <c r="E24" i="135" s="1"/>
  <c r="T24" i="135"/>
  <c r="AZ23" i="135"/>
  <c r="AY23" i="135"/>
  <c r="AX23" i="135"/>
  <c r="AW23" i="135"/>
  <c r="AV23" i="135"/>
  <c r="AU23" i="135"/>
  <c r="AT23" i="135"/>
  <c r="AS23" i="135"/>
  <c r="AR23" i="135"/>
  <c r="AQ23" i="135"/>
  <c r="AP23" i="135"/>
  <c r="AO23" i="135"/>
  <c r="AN23" i="135"/>
  <c r="AM23" i="135"/>
  <c r="AK23" i="135"/>
  <c r="T23" i="135" s="1"/>
  <c r="AJ23" i="135"/>
  <c r="AI23" i="135"/>
  <c r="R23" i="135" s="1"/>
  <c r="AH23" i="135"/>
  <c r="AG23" i="135"/>
  <c r="P23" i="135" s="1"/>
  <c r="AF23" i="135"/>
  <c r="O23" i="135" s="1"/>
  <c r="AE23" i="135"/>
  <c r="AD23" i="135"/>
  <c r="M23" i="135" s="1"/>
  <c r="AC23" i="135"/>
  <c r="L23" i="135" s="1"/>
  <c r="AB23" i="135"/>
  <c r="AA23" i="135"/>
  <c r="J23" i="135" s="1"/>
  <c r="Z23" i="135"/>
  <c r="I23" i="135" s="1"/>
  <c r="Y23" i="135"/>
  <c r="X23" i="135"/>
  <c r="G23" i="135" s="1"/>
  <c r="W23" i="135"/>
  <c r="F23" i="135" s="1"/>
  <c r="V23" i="135"/>
  <c r="E23" i="135" s="1"/>
  <c r="S23" i="135"/>
  <c r="Q23" i="135"/>
  <c r="H23" i="135"/>
  <c r="AZ22" i="135"/>
  <c r="AY22" i="135"/>
  <c r="AX22" i="135"/>
  <c r="AW22" i="135"/>
  <c r="AV22" i="135"/>
  <c r="AU22" i="135"/>
  <c r="AT22" i="135"/>
  <c r="AS22" i="135"/>
  <c r="AR22" i="135"/>
  <c r="AQ22" i="135"/>
  <c r="AP22" i="135"/>
  <c r="AO22" i="135"/>
  <c r="AN22" i="135"/>
  <c r="AM22" i="135"/>
  <c r="AK22" i="135"/>
  <c r="AJ22" i="135"/>
  <c r="S22" i="135" s="1"/>
  <c r="AI22" i="135"/>
  <c r="R22" i="135" s="1"/>
  <c r="AH22" i="135"/>
  <c r="Q22" i="135" s="1"/>
  <c r="AG22" i="135"/>
  <c r="P22" i="135" s="1"/>
  <c r="AF22" i="135"/>
  <c r="AE22" i="135"/>
  <c r="AD22" i="135"/>
  <c r="AC22" i="135"/>
  <c r="L22" i="135" s="1"/>
  <c r="AB22" i="135"/>
  <c r="K22" i="135" s="1"/>
  <c r="AA22" i="135"/>
  <c r="J22" i="135" s="1"/>
  <c r="Z22" i="135"/>
  <c r="I22" i="135" s="1"/>
  <c r="Y22" i="135"/>
  <c r="H22" i="135" s="1"/>
  <c r="X22" i="135"/>
  <c r="W22" i="135"/>
  <c r="V22" i="135"/>
  <c r="T22" i="135"/>
  <c r="O22" i="135"/>
  <c r="AZ21" i="135"/>
  <c r="AY21" i="135"/>
  <c r="AX21" i="135"/>
  <c r="AW21" i="135"/>
  <c r="AV21" i="135"/>
  <c r="AU21" i="135"/>
  <c r="AT21" i="135"/>
  <c r="AS21" i="135"/>
  <c r="AR21" i="135"/>
  <c r="AQ21" i="135"/>
  <c r="AP21" i="135"/>
  <c r="AO21" i="135"/>
  <c r="AN21" i="135"/>
  <c r="AM21" i="135"/>
  <c r="AK21" i="135"/>
  <c r="T21" i="135" s="1"/>
  <c r="AJ21" i="135"/>
  <c r="S21" i="135" s="1"/>
  <c r="AI21" i="135"/>
  <c r="R21" i="135" s="1"/>
  <c r="AH21" i="135"/>
  <c r="AG21" i="135"/>
  <c r="AF21" i="135"/>
  <c r="AE21" i="135"/>
  <c r="AD21" i="135"/>
  <c r="M21" i="135" s="1"/>
  <c r="AC21" i="135"/>
  <c r="L21" i="135" s="1"/>
  <c r="AB21" i="135"/>
  <c r="K21" i="135" s="1"/>
  <c r="AA21" i="135"/>
  <c r="J21" i="135" s="1"/>
  <c r="Z21" i="135"/>
  <c r="Y21" i="135"/>
  <c r="H21" i="135" s="1"/>
  <c r="X21" i="135"/>
  <c r="W21" i="135"/>
  <c r="F21" i="135" s="1"/>
  <c r="V21" i="135"/>
  <c r="E21" i="135" s="1"/>
  <c r="N21" i="135"/>
  <c r="AZ20" i="135"/>
  <c r="AY20" i="135"/>
  <c r="AX20" i="135"/>
  <c r="AW20" i="135"/>
  <c r="AV20" i="135"/>
  <c r="AU20" i="135"/>
  <c r="AT20" i="135"/>
  <c r="AS20" i="135"/>
  <c r="AR20" i="135"/>
  <c r="AQ20" i="135"/>
  <c r="AP20" i="135"/>
  <c r="AO20" i="135"/>
  <c r="AN20" i="135"/>
  <c r="AM20" i="135"/>
  <c r="AK20" i="135"/>
  <c r="T20" i="135" s="1"/>
  <c r="AJ20" i="135"/>
  <c r="S20" i="135" s="1"/>
  <c r="AI20" i="135"/>
  <c r="AH20" i="135"/>
  <c r="AG20" i="135"/>
  <c r="AF20" i="135"/>
  <c r="AE20" i="135"/>
  <c r="N20" i="135" s="1"/>
  <c r="AD20" i="135"/>
  <c r="M20" i="135" s="1"/>
  <c r="AC20" i="135"/>
  <c r="L20" i="135" s="1"/>
  <c r="AB20" i="135"/>
  <c r="AA20" i="135"/>
  <c r="Z20" i="135"/>
  <c r="Y20" i="135"/>
  <c r="H20" i="135" s="1"/>
  <c r="X20" i="135"/>
  <c r="G20" i="135" s="1"/>
  <c r="W20" i="135"/>
  <c r="F20" i="135" s="1"/>
  <c r="V20" i="135"/>
  <c r="E20" i="135" s="1"/>
  <c r="P20" i="135"/>
  <c r="O20" i="135"/>
  <c r="AZ19" i="135"/>
  <c r="AY19" i="135"/>
  <c r="AX19" i="135"/>
  <c r="AW19" i="135"/>
  <c r="AV19" i="135"/>
  <c r="AU19" i="135"/>
  <c r="AT19" i="135"/>
  <c r="AS19" i="135"/>
  <c r="AR19" i="135"/>
  <c r="AQ19" i="135"/>
  <c r="AP19" i="135"/>
  <c r="AO19" i="135"/>
  <c r="AN19" i="135"/>
  <c r="AM19" i="135"/>
  <c r="AK19" i="135"/>
  <c r="T19" i="135" s="1"/>
  <c r="AJ19" i="135"/>
  <c r="AI19" i="135"/>
  <c r="R19" i="135" s="1"/>
  <c r="AH19" i="135"/>
  <c r="AG19" i="135"/>
  <c r="P19" i="135" s="1"/>
  <c r="AF19" i="135"/>
  <c r="O19" i="135" s="1"/>
  <c r="AE19" i="135"/>
  <c r="N19" i="135" s="1"/>
  <c r="AD19" i="135"/>
  <c r="AC19" i="135"/>
  <c r="L19" i="135" s="1"/>
  <c r="AB19" i="135"/>
  <c r="AA19" i="135"/>
  <c r="J19" i="135" s="1"/>
  <c r="Z19" i="135"/>
  <c r="Y19" i="135"/>
  <c r="H19" i="135" s="1"/>
  <c r="X19" i="135"/>
  <c r="G19" i="135" s="1"/>
  <c r="W19" i="135"/>
  <c r="F19" i="135" s="1"/>
  <c r="V19" i="135"/>
  <c r="E19" i="135" s="1"/>
  <c r="S19" i="135"/>
  <c r="Q19" i="135"/>
  <c r="M19" i="135"/>
  <c r="I19" i="135"/>
  <c r="AZ18" i="135"/>
  <c r="AY18" i="135"/>
  <c r="AX18" i="135"/>
  <c r="AW18" i="135"/>
  <c r="AV18" i="135"/>
  <c r="AU18" i="135"/>
  <c r="AT18" i="135"/>
  <c r="AS18" i="135"/>
  <c r="AR18" i="135"/>
  <c r="AQ18" i="135"/>
  <c r="AP18" i="135"/>
  <c r="AO18" i="135"/>
  <c r="AN18" i="135"/>
  <c r="AM18" i="135"/>
  <c r="AK18" i="135"/>
  <c r="T18" i="135" s="1"/>
  <c r="AJ18" i="135"/>
  <c r="S18" i="135" s="1"/>
  <c r="AI18" i="135"/>
  <c r="R18" i="135" s="1"/>
  <c r="AH18" i="135"/>
  <c r="AG18" i="135"/>
  <c r="P18" i="135" s="1"/>
  <c r="AF18" i="135"/>
  <c r="AE18" i="135"/>
  <c r="N18" i="135" s="1"/>
  <c r="AD18" i="135"/>
  <c r="AC18" i="135"/>
  <c r="AB18" i="135"/>
  <c r="K18" i="135" s="1"/>
  <c r="AA18" i="135"/>
  <c r="J18" i="135" s="1"/>
  <c r="Z18" i="135"/>
  <c r="I18" i="135" s="1"/>
  <c r="Y18" i="135"/>
  <c r="X18" i="135"/>
  <c r="G18" i="135" s="1"/>
  <c r="W18" i="135"/>
  <c r="V18" i="135"/>
  <c r="Q18" i="135"/>
  <c r="AZ17" i="135"/>
  <c r="AY17" i="135"/>
  <c r="AX17" i="135"/>
  <c r="AW17" i="135"/>
  <c r="AV17" i="135"/>
  <c r="AU17" i="135"/>
  <c r="AT17" i="135"/>
  <c r="AS17" i="135"/>
  <c r="AR17" i="135"/>
  <c r="AQ17" i="135"/>
  <c r="AP17" i="135"/>
  <c r="AO17" i="135"/>
  <c r="AN17" i="135"/>
  <c r="AM17" i="135"/>
  <c r="AK17" i="135"/>
  <c r="AJ17" i="135"/>
  <c r="S17" i="135" s="1"/>
  <c r="AI17" i="135"/>
  <c r="AH17" i="135"/>
  <c r="AG17" i="135"/>
  <c r="P17" i="135" s="1"/>
  <c r="AF17" i="135"/>
  <c r="AE17" i="135"/>
  <c r="N17" i="135" s="1"/>
  <c r="AD17" i="135"/>
  <c r="AC17" i="135"/>
  <c r="AB17" i="135"/>
  <c r="AA17" i="135"/>
  <c r="J17" i="135" s="1"/>
  <c r="Z17" i="135"/>
  <c r="I17" i="135" s="1"/>
  <c r="Y17" i="135"/>
  <c r="X17" i="135"/>
  <c r="W17" i="135"/>
  <c r="F17" i="135" s="1"/>
  <c r="V17" i="135"/>
  <c r="E17" i="135" s="1"/>
  <c r="T17" i="135"/>
  <c r="Q17" i="135"/>
  <c r="M17" i="135"/>
  <c r="AZ16" i="135"/>
  <c r="AY16" i="135"/>
  <c r="AX16" i="135"/>
  <c r="AW16" i="135"/>
  <c r="AV16" i="135"/>
  <c r="AU16" i="135"/>
  <c r="AT16" i="135"/>
  <c r="AS16" i="135"/>
  <c r="AR16" i="135"/>
  <c r="AQ16" i="135"/>
  <c r="AP16" i="135"/>
  <c r="AO16" i="135"/>
  <c r="AN16" i="135"/>
  <c r="AM16" i="135"/>
  <c r="AK16" i="135"/>
  <c r="AJ16" i="135"/>
  <c r="AI16" i="135"/>
  <c r="R16" i="135" s="1"/>
  <c r="AH16" i="135"/>
  <c r="AG16" i="135"/>
  <c r="P16" i="135" s="1"/>
  <c r="AF16" i="135"/>
  <c r="O16" i="135" s="1"/>
  <c r="AE16" i="135"/>
  <c r="AD16" i="135"/>
  <c r="AC16" i="135"/>
  <c r="L16" i="135" s="1"/>
  <c r="AB16" i="135"/>
  <c r="K16" i="135" s="1"/>
  <c r="AA16" i="135"/>
  <c r="J16" i="135" s="1"/>
  <c r="Z16" i="135"/>
  <c r="Y16" i="135"/>
  <c r="H16" i="135" s="1"/>
  <c r="X16" i="135"/>
  <c r="G16" i="135" s="1"/>
  <c r="W16" i="135"/>
  <c r="F16" i="135" s="1"/>
  <c r="V16" i="135"/>
  <c r="T16" i="135"/>
  <c r="S16" i="135"/>
  <c r="M16" i="135"/>
  <c r="E16" i="135"/>
  <c r="AZ15" i="135"/>
  <c r="AY15" i="135"/>
  <c r="AX15" i="135"/>
  <c r="AW15" i="135"/>
  <c r="AV15" i="135"/>
  <c r="AU15" i="135"/>
  <c r="AT15" i="135"/>
  <c r="AS15" i="135"/>
  <c r="AR15" i="135"/>
  <c r="AQ15" i="135"/>
  <c r="AP15" i="135"/>
  <c r="AO15" i="135"/>
  <c r="AN15" i="135"/>
  <c r="AM15" i="135"/>
  <c r="AK15" i="135"/>
  <c r="T15" i="135" s="1"/>
  <c r="AJ15" i="135"/>
  <c r="S15" i="135" s="1"/>
  <c r="AI15" i="135"/>
  <c r="AH15" i="135"/>
  <c r="AG15" i="135"/>
  <c r="P15" i="135" s="1"/>
  <c r="AF15" i="135"/>
  <c r="AE15" i="135"/>
  <c r="N15" i="135" s="1"/>
  <c r="AD15" i="135"/>
  <c r="M15" i="135" s="1"/>
  <c r="AC15" i="135"/>
  <c r="L15" i="135" s="1"/>
  <c r="AB15" i="135"/>
  <c r="K15" i="135" s="1"/>
  <c r="AA15" i="135"/>
  <c r="Z15" i="135"/>
  <c r="I15" i="135" s="1"/>
  <c r="Y15" i="135"/>
  <c r="H15" i="135" s="1"/>
  <c r="X15" i="135"/>
  <c r="G15" i="135" s="1"/>
  <c r="W15" i="135"/>
  <c r="F15" i="135" s="1"/>
  <c r="V15" i="135"/>
  <c r="R15" i="135"/>
  <c r="Q15" i="135"/>
  <c r="J15" i="135"/>
  <c r="AZ14" i="135"/>
  <c r="AY14" i="135"/>
  <c r="AX14" i="135"/>
  <c r="AW14" i="135"/>
  <c r="AV14" i="135"/>
  <c r="AU14" i="135"/>
  <c r="AT14" i="135"/>
  <c r="AS14" i="135"/>
  <c r="AR14" i="135"/>
  <c r="AQ14" i="135"/>
  <c r="AP14" i="135"/>
  <c r="AO14" i="135"/>
  <c r="AN14" i="135"/>
  <c r="AM14" i="135"/>
  <c r="AK14" i="135"/>
  <c r="T14" i="135" s="1"/>
  <c r="AJ14" i="135"/>
  <c r="S14" i="135" s="1"/>
  <c r="AI14" i="135"/>
  <c r="R14" i="135" s="1"/>
  <c r="AH14" i="135"/>
  <c r="AG14" i="135"/>
  <c r="AF14" i="135"/>
  <c r="O14" i="135" s="1"/>
  <c r="AE14" i="135"/>
  <c r="AD14" i="135"/>
  <c r="AC14" i="135"/>
  <c r="L14" i="135" s="1"/>
  <c r="AB14" i="135"/>
  <c r="K14" i="135" s="1"/>
  <c r="AA14" i="135"/>
  <c r="J14" i="135" s="1"/>
  <c r="Z14" i="135"/>
  <c r="Y14" i="135"/>
  <c r="H14" i="135" s="1"/>
  <c r="X14" i="135"/>
  <c r="G14" i="135" s="1"/>
  <c r="W14" i="135"/>
  <c r="V14" i="135"/>
  <c r="M14" i="135"/>
  <c r="E14" i="135"/>
  <c r="AZ13" i="135"/>
  <c r="AY13" i="135"/>
  <c r="AX13" i="135"/>
  <c r="AW13" i="135"/>
  <c r="AV13" i="135"/>
  <c r="AU13" i="135"/>
  <c r="AT13" i="135"/>
  <c r="AS13" i="135"/>
  <c r="AR13" i="135"/>
  <c r="AQ13" i="135"/>
  <c r="AP13" i="135"/>
  <c r="AO13" i="135"/>
  <c r="AN13" i="135"/>
  <c r="AM13" i="135"/>
  <c r="AK13" i="135"/>
  <c r="T13" i="135" s="1"/>
  <c r="AJ13" i="135"/>
  <c r="S13" i="135" s="1"/>
  <c r="AI13" i="135"/>
  <c r="R13" i="135" s="1"/>
  <c r="AH13" i="135"/>
  <c r="Q13" i="135" s="1"/>
  <c r="AG13" i="135"/>
  <c r="AF13" i="135"/>
  <c r="O13" i="135" s="1"/>
  <c r="AE13" i="135"/>
  <c r="AD13" i="135"/>
  <c r="AC13" i="135"/>
  <c r="L13" i="135" s="1"/>
  <c r="AB13" i="135"/>
  <c r="AA13" i="135"/>
  <c r="Z13" i="135"/>
  <c r="I13" i="135" s="1"/>
  <c r="Y13" i="135"/>
  <c r="X13" i="135"/>
  <c r="G13" i="135" s="1"/>
  <c r="W13" i="135"/>
  <c r="F13" i="135" s="1"/>
  <c r="V13" i="135"/>
  <c r="E13" i="135" s="1"/>
  <c r="M13" i="135"/>
  <c r="J13" i="135"/>
  <c r="AZ12" i="135"/>
  <c r="AY12" i="135"/>
  <c r="AX12" i="135"/>
  <c r="AW12" i="135"/>
  <c r="AV12" i="135"/>
  <c r="AU12" i="135"/>
  <c r="AT12" i="135"/>
  <c r="AS12" i="135"/>
  <c r="AR12" i="135"/>
  <c r="AQ12" i="135"/>
  <c r="AP12" i="135"/>
  <c r="AO12" i="135"/>
  <c r="AN12" i="135"/>
  <c r="AM12" i="135"/>
  <c r="AK12" i="135"/>
  <c r="T12" i="135" s="1"/>
  <c r="AJ12" i="135"/>
  <c r="S12" i="135" s="1"/>
  <c r="AI12" i="135"/>
  <c r="AH12" i="135"/>
  <c r="AG12" i="135"/>
  <c r="AF12" i="135"/>
  <c r="O12" i="135" s="1"/>
  <c r="AE12" i="135"/>
  <c r="N12" i="135" s="1"/>
  <c r="AD12" i="135"/>
  <c r="AC12" i="135"/>
  <c r="AB12" i="135"/>
  <c r="K12" i="135" s="1"/>
  <c r="AA12" i="135"/>
  <c r="Z12" i="135"/>
  <c r="Y12" i="135"/>
  <c r="X12" i="135"/>
  <c r="G12" i="135" s="1"/>
  <c r="W12" i="135"/>
  <c r="V12" i="135"/>
  <c r="Q12" i="135"/>
  <c r="I12" i="135"/>
  <c r="AZ11" i="135"/>
  <c r="AY11" i="135"/>
  <c r="AX11" i="135"/>
  <c r="AW11" i="135"/>
  <c r="AV11" i="135"/>
  <c r="AU11" i="135"/>
  <c r="AT11" i="135"/>
  <c r="AS11" i="135"/>
  <c r="AR11" i="135"/>
  <c r="AQ11" i="135"/>
  <c r="AP11" i="135"/>
  <c r="AO11" i="135"/>
  <c r="AN11" i="135"/>
  <c r="AM11" i="135"/>
  <c r="AK11" i="135"/>
  <c r="AJ11" i="135"/>
  <c r="AI11" i="135"/>
  <c r="R11" i="135" s="1"/>
  <c r="AH11" i="135"/>
  <c r="Q11" i="135" s="1"/>
  <c r="AG11" i="135"/>
  <c r="P11" i="135" s="1"/>
  <c r="AF11" i="135"/>
  <c r="AE11" i="135"/>
  <c r="N11" i="135" s="1"/>
  <c r="AD11" i="135"/>
  <c r="M11" i="135" s="1"/>
  <c r="AC11" i="135"/>
  <c r="AB11" i="135"/>
  <c r="K11" i="135" s="1"/>
  <c r="AA11" i="135"/>
  <c r="Z11" i="135"/>
  <c r="I11" i="135" s="1"/>
  <c r="Y11" i="135"/>
  <c r="X11" i="135"/>
  <c r="W11" i="135"/>
  <c r="F11" i="135" s="1"/>
  <c r="V11" i="135"/>
  <c r="T11" i="135"/>
  <c r="S11" i="135"/>
  <c r="AZ10" i="135"/>
  <c r="AY10" i="135"/>
  <c r="AX10" i="135"/>
  <c r="AW10" i="135"/>
  <c r="AV10" i="135"/>
  <c r="AU10" i="135"/>
  <c r="AT10" i="135"/>
  <c r="AS10" i="135"/>
  <c r="AR10" i="135"/>
  <c r="AQ10" i="135"/>
  <c r="AP10" i="135"/>
  <c r="AO10" i="135"/>
  <c r="AN10" i="135"/>
  <c r="AM10" i="135"/>
  <c r="AK10" i="135"/>
  <c r="T10" i="135" s="1"/>
  <c r="AJ10" i="135"/>
  <c r="S10" i="135" s="1"/>
  <c r="AI10" i="135"/>
  <c r="R10" i="135" s="1"/>
  <c r="AH10" i="135"/>
  <c r="AG10" i="135"/>
  <c r="P10" i="135" s="1"/>
  <c r="AF10" i="135"/>
  <c r="O10" i="135" s="1"/>
  <c r="AE10" i="135"/>
  <c r="AD10" i="135"/>
  <c r="M10" i="135" s="1"/>
  <c r="AC10" i="135"/>
  <c r="L10" i="135" s="1"/>
  <c r="AB10" i="135"/>
  <c r="K10" i="135" s="1"/>
  <c r="AA10" i="135"/>
  <c r="J10" i="135" s="1"/>
  <c r="Z10" i="135"/>
  <c r="Y10" i="135"/>
  <c r="H10" i="135" s="1"/>
  <c r="X10" i="135"/>
  <c r="W10" i="135"/>
  <c r="V10" i="135"/>
  <c r="E10" i="135" s="1"/>
  <c r="AZ9" i="135"/>
  <c r="AY9" i="135"/>
  <c r="AX9" i="135"/>
  <c r="AW9" i="135"/>
  <c r="AV9" i="135"/>
  <c r="AU9" i="135"/>
  <c r="AT9" i="135"/>
  <c r="AS9" i="135"/>
  <c r="AR9" i="135"/>
  <c r="AQ9" i="135"/>
  <c r="AP9" i="135"/>
  <c r="AO9" i="135"/>
  <c r="AN9" i="135"/>
  <c r="AM9" i="135"/>
  <c r="AK9" i="135"/>
  <c r="T9" i="135" s="1"/>
  <c r="AJ9" i="135"/>
  <c r="AI9" i="135"/>
  <c r="AH9" i="135"/>
  <c r="AG9" i="135"/>
  <c r="AF9" i="135"/>
  <c r="O9" i="135" s="1"/>
  <c r="AE9" i="135"/>
  <c r="N9" i="135" s="1"/>
  <c r="AD9" i="135"/>
  <c r="M9" i="135" s="1"/>
  <c r="AC9" i="135"/>
  <c r="L9" i="135" s="1"/>
  <c r="AB9" i="135"/>
  <c r="AA9" i="135"/>
  <c r="J9" i="135" s="1"/>
  <c r="Z9" i="135"/>
  <c r="I9" i="135" s="1"/>
  <c r="Y9" i="135"/>
  <c r="X9" i="135"/>
  <c r="G9" i="135" s="1"/>
  <c r="W9" i="135"/>
  <c r="F9" i="135" s="1"/>
  <c r="V9" i="135"/>
  <c r="S9" i="135"/>
  <c r="R9" i="135"/>
  <c r="AZ8" i="135"/>
  <c r="AY8" i="135"/>
  <c r="AX8" i="135"/>
  <c r="AW8" i="135"/>
  <c r="AV8" i="135"/>
  <c r="AU8" i="135"/>
  <c r="AT8" i="135"/>
  <c r="AS8" i="135"/>
  <c r="AR8" i="135"/>
  <c r="AQ8" i="135"/>
  <c r="AP8" i="135"/>
  <c r="AO8" i="135"/>
  <c r="AN8" i="135"/>
  <c r="AM8" i="135"/>
  <c r="AK8" i="135"/>
  <c r="T8" i="135" s="1"/>
  <c r="AJ8" i="135"/>
  <c r="AI8" i="135"/>
  <c r="AH8" i="135"/>
  <c r="Q8" i="135" s="1"/>
  <c r="AG8" i="135"/>
  <c r="AF8" i="135"/>
  <c r="O8" i="135" s="1"/>
  <c r="AE8" i="135"/>
  <c r="AD8" i="135"/>
  <c r="AC8" i="135"/>
  <c r="L8" i="135" s="1"/>
  <c r="AB8" i="135"/>
  <c r="AA8" i="135"/>
  <c r="Z8" i="135"/>
  <c r="I8" i="135" s="1"/>
  <c r="Y8" i="135"/>
  <c r="X8" i="135"/>
  <c r="G8" i="135" s="1"/>
  <c r="W8" i="135"/>
  <c r="V8" i="135"/>
  <c r="N37" i="135" l="1"/>
  <c r="L18" i="135"/>
  <c r="K17" i="135"/>
  <c r="Q21" i="135"/>
  <c r="Q39" i="135"/>
  <c r="H12" i="135"/>
  <c r="Q41" i="135"/>
  <c r="I21" i="135"/>
  <c r="R25" i="135"/>
  <c r="K34" i="135"/>
  <c r="J38" i="135"/>
  <c r="G22" i="135"/>
  <c r="L34" i="135"/>
  <c r="L37" i="135"/>
  <c r="K38" i="135"/>
  <c r="H39" i="135"/>
  <c r="G44" i="135"/>
  <c r="M25" i="135"/>
  <c r="P14" i="135"/>
  <c r="M36" i="135"/>
  <c r="L38" i="135"/>
  <c r="R39" i="135"/>
  <c r="M37" i="135"/>
  <c r="I26" i="135"/>
  <c r="O27" i="135"/>
  <c r="M35" i="135"/>
  <c r="E9" i="135"/>
  <c r="U39" i="135"/>
  <c r="H18" i="135"/>
  <c r="N26" i="135"/>
  <c r="P21" i="135"/>
  <c r="N22" i="135"/>
  <c r="N23" i="135"/>
  <c r="O24" i="135"/>
  <c r="P26" i="135"/>
  <c r="N29" i="135"/>
  <c r="U31" i="135"/>
  <c r="J34" i="135"/>
  <c r="L36" i="135"/>
  <c r="K37" i="135"/>
  <c r="F39" i="135"/>
  <c r="E40" i="135"/>
  <c r="R42" i="135"/>
  <c r="I43" i="135"/>
  <c r="Q9" i="135"/>
  <c r="G10" i="135"/>
  <c r="H11" i="135"/>
  <c r="L12" i="135"/>
  <c r="N13" i="135"/>
  <c r="O15" i="135"/>
  <c r="N16" i="135"/>
  <c r="O18" i="135"/>
  <c r="U19" i="135"/>
  <c r="K20" i="135"/>
  <c r="H24" i="135"/>
  <c r="F25" i="135"/>
  <c r="D25" i="135" s="1"/>
  <c r="I30" i="135"/>
  <c r="J31" i="135"/>
  <c r="K33" i="135"/>
  <c r="L35" i="135"/>
  <c r="G39" i="135"/>
  <c r="G42" i="135"/>
  <c r="J43" i="135"/>
  <c r="J44" i="135"/>
  <c r="J26" i="135"/>
  <c r="J28" i="135"/>
  <c r="H29" i="135"/>
  <c r="J30" i="135"/>
  <c r="J32" i="135"/>
  <c r="L33" i="135"/>
  <c r="N36" i="135"/>
  <c r="K44" i="135"/>
  <c r="L31" i="135"/>
  <c r="K32" i="135"/>
  <c r="N35" i="135"/>
  <c r="O36" i="135"/>
  <c r="I42" i="135"/>
  <c r="L43" i="135"/>
  <c r="J11" i="135"/>
  <c r="P12" i="135"/>
  <c r="L17" i="135"/>
  <c r="R17" i="135"/>
  <c r="I25" i="135"/>
  <c r="AW45" i="135"/>
  <c r="U9" i="135"/>
  <c r="U27" i="135"/>
  <c r="U43" i="135"/>
  <c r="F12" i="135"/>
  <c r="U15" i="135"/>
  <c r="U35" i="135"/>
  <c r="F29" i="135"/>
  <c r="Y45" i="135"/>
  <c r="AG45" i="135"/>
  <c r="AL10" i="135"/>
  <c r="N10" i="135"/>
  <c r="AL12" i="135"/>
  <c r="M12" i="135"/>
  <c r="H13" i="135"/>
  <c r="P13" i="135"/>
  <c r="AL19" i="135"/>
  <c r="K23" i="135"/>
  <c r="I24" i="135"/>
  <c r="Q24" i="135"/>
  <c r="G25" i="135"/>
  <c r="O25" i="135"/>
  <c r="M26" i="135"/>
  <c r="G29" i="135"/>
  <c r="O29" i="135"/>
  <c r="M30" i="135"/>
  <c r="K43" i="135"/>
  <c r="L44" i="135"/>
  <c r="K9" i="135"/>
  <c r="U16" i="135"/>
  <c r="AL16" i="135"/>
  <c r="U23" i="135"/>
  <c r="H27" i="135"/>
  <c r="H31" i="135"/>
  <c r="F35" i="135"/>
  <c r="U44" i="135"/>
  <c r="R20" i="135"/>
  <c r="AR45" i="135"/>
  <c r="AZ45" i="135"/>
  <c r="AL14" i="135"/>
  <c r="N14" i="135"/>
  <c r="I28" i="135"/>
  <c r="Q28" i="135"/>
  <c r="K31" i="135"/>
  <c r="I32" i="135"/>
  <c r="Q32" i="135"/>
  <c r="O33" i="135"/>
  <c r="M34" i="135"/>
  <c r="AL37" i="135"/>
  <c r="AL40" i="135"/>
  <c r="M42" i="135"/>
  <c r="AB45" i="135"/>
  <c r="AL9" i="135"/>
  <c r="I10" i="135"/>
  <c r="Q10" i="135"/>
  <c r="L11" i="135"/>
  <c r="K13" i="135"/>
  <c r="AL43" i="135"/>
  <c r="N43" i="135"/>
  <c r="P41" i="135"/>
  <c r="AJ45" i="135"/>
  <c r="U11" i="135"/>
  <c r="AL11" i="135"/>
  <c r="O17" i="135"/>
  <c r="M18" i="135"/>
  <c r="AL31" i="135"/>
  <c r="I36" i="135"/>
  <c r="Q36" i="135"/>
  <c r="G37" i="135"/>
  <c r="O37" i="135"/>
  <c r="M38" i="135"/>
  <c r="U41" i="135"/>
  <c r="AL41" i="135"/>
  <c r="AM45" i="135"/>
  <c r="AU45" i="135"/>
  <c r="J12" i="135"/>
  <c r="R12" i="135"/>
  <c r="AL13" i="135"/>
  <c r="I14" i="135"/>
  <c r="Q14" i="135"/>
  <c r="AL15" i="135"/>
  <c r="I16" i="135"/>
  <c r="Q16" i="135"/>
  <c r="H42" i="135"/>
  <c r="P42" i="135"/>
  <c r="Q44" i="135"/>
  <c r="E15" i="135"/>
  <c r="D15" i="135" s="1"/>
  <c r="R40" i="135"/>
  <c r="W45" i="135"/>
  <c r="AE45" i="135"/>
  <c r="H9" i="135"/>
  <c r="P9" i="135"/>
  <c r="G11" i="135"/>
  <c r="O11" i="135"/>
  <c r="K19" i="135"/>
  <c r="D19" i="135" s="1"/>
  <c r="Q20" i="135"/>
  <c r="G21" i="135"/>
  <c r="O21" i="135"/>
  <c r="M22" i="135"/>
  <c r="U25" i="135"/>
  <c r="U28" i="135"/>
  <c r="AL28" i="135"/>
  <c r="U29" i="135"/>
  <c r="AL29" i="135"/>
  <c r="U32" i="135"/>
  <c r="AL32" i="135"/>
  <c r="I40" i="135"/>
  <c r="Q40" i="135"/>
  <c r="G41" i="135"/>
  <c r="O41" i="135"/>
  <c r="AO45" i="135"/>
  <c r="H8" i="135"/>
  <c r="P8" i="135"/>
  <c r="X45" i="135"/>
  <c r="AF45" i="135"/>
  <c r="AN45" i="135"/>
  <c r="AV45" i="135"/>
  <c r="F26" i="135"/>
  <c r="U26" i="135"/>
  <c r="AL30" i="135"/>
  <c r="E30" i="135"/>
  <c r="AL39" i="135"/>
  <c r="K39" i="135"/>
  <c r="U13" i="135"/>
  <c r="AL26" i="135"/>
  <c r="E26" i="135"/>
  <c r="U37" i="135"/>
  <c r="H37" i="135"/>
  <c r="U14" i="135"/>
  <c r="AL17" i="135"/>
  <c r="G17" i="135"/>
  <c r="AL18" i="135"/>
  <c r="E18" i="135"/>
  <c r="AL27" i="135"/>
  <c r="K27" i="135"/>
  <c r="F30" i="135"/>
  <c r="U30" i="135"/>
  <c r="U33" i="135"/>
  <c r="AL44" i="135"/>
  <c r="I44" i="135"/>
  <c r="R8" i="135"/>
  <c r="Z45" i="135"/>
  <c r="AH45" i="135"/>
  <c r="AP45" i="135"/>
  <c r="AX45" i="135"/>
  <c r="F10" i="135"/>
  <c r="F14" i="135"/>
  <c r="U17" i="135"/>
  <c r="H17" i="135"/>
  <c r="F18" i="135"/>
  <c r="U18" i="135"/>
  <c r="U21" i="135"/>
  <c r="AL21" i="135"/>
  <c r="AL23" i="135"/>
  <c r="U36" i="135"/>
  <c r="AL36" i="135"/>
  <c r="U40" i="135"/>
  <c r="J40" i="135"/>
  <c r="U10" i="135"/>
  <c r="J8" i="135"/>
  <c r="K8" i="135"/>
  <c r="S8" i="135"/>
  <c r="S45" i="135" s="1"/>
  <c r="AA45" i="135"/>
  <c r="AI45" i="135"/>
  <c r="AQ45" i="135"/>
  <c r="AY45" i="135"/>
  <c r="E11" i="135"/>
  <c r="U24" i="135"/>
  <c r="AL24" i="135"/>
  <c r="AL33" i="135"/>
  <c r="G33" i="135"/>
  <c r="D33" i="135" s="1"/>
  <c r="U34" i="135"/>
  <c r="AL34" i="135"/>
  <c r="E34" i="135"/>
  <c r="AL20" i="135"/>
  <c r="I20" i="135"/>
  <c r="AL22" i="135"/>
  <c r="E22" i="135"/>
  <c r="M8" i="135"/>
  <c r="AK45" i="135"/>
  <c r="U12" i="135"/>
  <c r="U20" i="135"/>
  <c r="J20" i="135"/>
  <c r="F22" i="135"/>
  <c r="U22" i="135"/>
  <c r="AL25" i="135"/>
  <c r="AL35" i="135"/>
  <c r="K35" i="135"/>
  <c r="AL42" i="135"/>
  <c r="E42" i="135"/>
  <c r="T45" i="135"/>
  <c r="E8" i="135"/>
  <c r="U8" i="135"/>
  <c r="AC45" i="135"/>
  <c r="AS45" i="135"/>
  <c r="E12" i="135"/>
  <c r="F8" i="135"/>
  <c r="N8" i="135"/>
  <c r="V45" i="135"/>
  <c r="AD45" i="135"/>
  <c r="AL8" i="135"/>
  <c r="AT45" i="135"/>
  <c r="U38" i="135"/>
  <c r="AL38" i="135"/>
  <c r="E38" i="135"/>
  <c r="F42" i="135"/>
  <c r="U42" i="135"/>
  <c r="F43" i="135"/>
  <c r="E44" i="135"/>
  <c r="E29" i="135"/>
  <c r="D32" i="135" l="1"/>
  <c r="D39" i="135"/>
  <c r="L45" i="135"/>
  <c r="D10" i="135"/>
  <c r="D38" i="135"/>
  <c r="D11" i="135"/>
  <c r="D17" i="135"/>
  <c r="D21" i="135"/>
  <c r="R45" i="135"/>
  <c r="D16" i="135"/>
  <c r="D31" i="135"/>
  <c r="D27" i="135"/>
  <c r="D34" i="135"/>
  <c r="D37" i="135"/>
  <c r="D44" i="135"/>
  <c r="D24" i="135"/>
  <c r="D26" i="135"/>
  <c r="D28" i="135"/>
  <c r="D23" i="135"/>
  <c r="D35" i="135"/>
  <c r="D13" i="135"/>
  <c r="D29" i="135"/>
  <c r="O45" i="135"/>
  <c r="D14" i="135"/>
  <c r="D41" i="135"/>
  <c r="N45" i="135"/>
  <c r="D43" i="135"/>
  <c r="D9" i="135"/>
  <c r="D36" i="135"/>
  <c r="M45" i="135"/>
  <c r="K45" i="135"/>
  <c r="J45" i="135"/>
  <c r="Q45" i="135"/>
  <c r="D22" i="135"/>
  <c r="D40" i="135"/>
  <c r="D30" i="135"/>
  <c r="P45" i="135"/>
  <c r="D12" i="135"/>
  <c r="I45" i="135"/>
  <c r="H45" i="135"/>
  <c r="D42" i="135"/>
  <c r="G45" i="135"/>
  <c r="D18" i="135"/>
  <c r="F45" i="135"/>
  <c r="D20" i="135"/>
  <c r="AL45" i="135"/>
  <c r="U45" i="135"/>
  <c r="E45" i="135"/>
  <c r="D8" i="135"/>
  <c r="D45" i="135" l="1"/>
  <c r="F22" i="134" l="1"/>
  <c r="E22" i="134"/>
  <c r="F21" i="134"/>
  <c r="E21" i="134"/>
  <c r="F20" i="134"/>
  <c r="E20" i="134"/>
  <c r="F19" i="134"/>
  <c r="E19" i="134"/>
  <c r="F18" i="134"/>
  <c r="E18" i="134"/>
  <c r="F17" i="134"/>
  <c r="E17" i="134"/>
  <c r="F16" i="134"/>
  <c r="E16" i="134"/>
  <c r="F15" i="134"/>
  <c r="E15" i="134"/>
  <c r="F14" i="134"/>
  <c r="E14" i="134"/>
  <c r="F13" i="134"/>
  <c r="E13" i="134"/>
  <c r="M12" i="134"/>
  <c r="M8" i="134" s="1"/>
  <c r="L12" i="134"/>
  <c r="L8" i="134" s="1"/>
  <c r="K12" i="134"/>
  <c r="K8" i="134" s="1"/>
  <c r="J12" i="134"/>
  <c r="J8" i="134" s="1"/>
  <c r="I12" i="134"/>
  <c r="I8" i="134" s="1"/>
  <c r="H12" i="134"/>
  <c r="H8" i="134" s="1"/>
  <c r="G12" i="134"/>
  <c r="G8" i="134" s="1"/>
  <c r="E12" i="134" l="1"/>
  <c r="E8" i="134" s="1"/>
  <c r="F12" i="134"/>
  <c r="F8" i="134" s="1"/>
  <c r="D149" i="133" l="1"/>
  <c r="D148" i="133"/>
  <c r="D147" i="133"/>
  <c r="D146" i="133"/>
  <c r="D145" i="133"/>
  <c r="D144" i="133"/>
  <c r="D143" i="133"/>
  <c r="D142" i="133"/>
  <c r="D141" i="133"/>
  <c r="D140" i="133"/>
  <c r="D139" i="133"/>
  <c r="D138" i="133"/>
  <c r="D137" i="133"/>
  <c r="D136" i="133"/>
  <c r="D135" i="133"/>
  <c r="D134" i="133"/>
  <c r="D133" i="133"/>
  <c r="D132" i="133"/>
  <c r="D131" i="133"/>
  <c r="D130" i="133"/>
  <c r="D129" i="133"/>
  <c r="D128" i="133"/>
  <c r="D127" i="133"/>
  <c r="D126" i="133"/>
  <c r="D125" i="133"/>
  <c r="D124" i="133"/>
  <c r="D123" i="133"/>
  <c r="D122" i="133"/>
  <c r="D121" i="133"/>
  <c r="D120" i="133"/>
  <c r="D119" i="133"/>
  <c r="D118" i="133"/>
  <c r="D117" i="133"/>
  <c r="D116" i="133"/>
  <c r="D115" i="133"/>
  <c r="D114" i="133"/>
  <c r="D113" i="133"/>
  <c r="D112" i="133"/>
  <c r="D111" i="133"/>
  <c r="D110" i="133"/>
  <c r="D109" i="133"/>
  <c r="D108" i="133"/>
  <c r="D107" i="133"/>
  <c r="D106" i="133"/>
  <c r="D105" i="133"/>
  <c r="D104" i="133"/>
  <c r="D103" i="133"/>
  <c r="D102" i="133"/>
  <c r="D101" i="133"/>
  <c r="D100" i="133"/>
  <c r="D99" i="133"/>
  <c r="D98" i="133"/>
  <c r="D97" i="133"/>
  <c r="D96" i="133"/>
  <c r="D95" i="133"/>
  <c r="D94" i="133"/>
  <c r="D93" i="133"/>
  <c r="D92" i="133"/>
  <c r="D91" i="133"/>
  <c r="D90" i="133"/>
  <c r="D89" i="133"/>
  <c r="D88" i="133"/>
  <c r="D87" i="133"/>
  <c r="D86" i="133"/>
  <c r="D85" i="133"/>
  <c r="D84" i="133"/>
  <c r="D83" i="133"/>
  <c r="D82" i="133"/>
  <c r="D81" i="133"/>
  <c r="D80" i="133"/>
  <c r="D79" i="133"/>
  <c r="D78" i="133"/>
  <c r="D77" i="133"/>
  <c r="D76" i="133"/>
  <c r="D75" i="133"/>
  <c r="D74" i="133"/>
  <c r="D73" i="133"/>
  <c r="D72" i="133"/>
  <c r="D71" i="133"/>
  <c r="D70" i="133"/>
  <c r="D69" i="133"/>
  <c r="D68" i="133"/>
  <c r="D67" i="133"/>
  <c r="D66" i="133"/>
  <c r="D65" i="133"/>
  <c r="D64" i="133"/>
  <c r="D63" i="133"/>
  <c r="D62" i="133"/>
  <c r="D61" i="133"/>
  <c r="D60" i="133"/>
  <c r="D59" i="133"/>
  <c r="D58" i="133"/>
  <c r="D57" i="133"/>
  <c r="D56" i="133"/>
  <c r="D55" i="133"/>
  <c r="D54" i="133"/>
  <c r="D53" i="133"/>
  <c r="D52" i="133"/>
  <c r="D51" i="133"/>
  <c r="D50" i="133"/>
  <c r="D49" i="133"/>
  <c r="D48" i="133"/>
  <c r="D47" i="133"/>
  <c r="D46" i="133"/>
  <c r="D45" i="133"/>
  <c r="D44" i="133"/>
  <c r="D43" i="133"/>
  <c r="D42" i="133"/>
  <c r="D41" i="133"/>
  <c r="D40" i="133"/>
  <c r="D39" i="133"/>
  <c r="D38" i="133"/>
  <c r="D37" i="133"/>
  <c r="D36" i="133"/>
  <c r="D35" i="133"/>
  <c r="D34" i="133"/>
  <c r="D33" i="133"/>
  <c r="D32" i="133"/>
  <c r="D31" i="133"/>
  <c r="D30" i="133"/>
  <c r="D29" i="133"/>
  <c r="D28" i="133"/>
  <c r="D27" i="133"/>
  <c r="D26" i="133"/>
  <c r="D25" i="133"/>
  <c r="D24" i="133"/>
  <c r="D23" i="133"/>
  <c r="D22" i="133"/>
  <c r="D21" i="133"/>
  <c r="D20" i="133"/>
  <c r="D19" i="133"/>
  <c r="D18" i="133"/>
  <c r="D17" i="133"/>
  <c r="D16" i="133"/>
  <c r="D15" i="133"/>
  <c r="D14" i="133"/>
  <c r="D13" i="133"/>
  <c r="D12" i="133"/>
  <c r="D11" i="133"/>
  <c r="D10" i="133"/>
  <c r="D9" i="133"/>
  <c r="D8" i="133"/>
  <c r="G7" i="133"/>
  <c r="F7" i="133"/>
  <c r="E7" i="133"/>
  <c r="D7" i="133" l="1"/>
  <c r="D16" i="126" l="1"/>
  <c r="D14" i="126"/>
  <c r="D9" i="126"/>
  <c r="G150" i="125" l="1"/>
  <c r="G149" i="125"/>
  <c r="G148" i="125"/>
  <c r="G147" i="125"/>
  <c r="J8" i="125"/>
  <c r="I8" i="125"/>
  <c r="H8" i="125"/>
  <c r="G8" i="125"/>
  <c r="F8" i="125"/>
  <c r="E8" i="125"/>
  <c r="D8" i="125"/>
  <c r="O25" i="56" l="1"/>
  <c r="K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K23" i="56" s="1"/>
  <c r="E23" i="56"/>
  <c r="Q22" i="56"/>
  <c r="O22" i="56" s="1"/>
  <c r="Q21" i="56"/>
  <c r="O21" i="56" s="1"/>
  <c r="T20" i="56"/>
  <c r="S20" i="56"/>
  <c r="R20" i="56"/>
  <c r="Q20" i="56"/>
  <c r="E20" i="56"/>
  <c r="R19" i="56"/>
  <c r="Q19" i="56"/>
  <c r="O18" i="56"/>
  <c r="K18" i="56" s="1"/>
  <c r="I18" i="56"/>
  <c r="O17" i="56"/>
  <c r="I17" i="56"/>
  <c r="O16" i="56"/>
  <c r="J16" i="56"/>
  <c r="I16" i="56"/>
  <c r="O15" i="56"/>
  <c r="O14" i="56"/>
  <c r="K14" i="56" s="1"/>
  <c r="I14" i="56"/>
  <c r="O13" i="56"/>
  <c r="O12" i="56"/>
  <c r="I12" i="56"/>
  <c r="O11" i="56"/>
  <c r="K11" i="56" s="1"/>
  <c r="D11" i="56" s="1"/>
  <c r="O10" i="56"/>
  <c r="T9" i="56"/>
  <c r="S9" i="56"/>
  <c r="R9" i="56"/>
  <c r="Q9" i="56"/>
  <c r="T8" i="56"/>
  <c r="N8" i="56"/>
  <c r="N24" i="56" s="1"/>
  <c r="N26" i="56" s="1"/>
  <c r="J8" i="56"/>
  <c r="G8" i="56"/>
  <c r="G24" i="56" s="1"/>
  <c r="G26" i="56" s="1"/>
  <c r="J24" i="56" l="1"/>
  <c r="J26" i="56" s="1"/>
  <c r="O20" i="56"/>
  <c r="R24" i="56"/>
  <c r="R26" i="56" s="1"/>
  <c r="O19" i="56"/>
  <c r="K19" i="56" s="1"/>
  <c r="D19" i="56" s="1"/>
  <c r="Q24" i="56"/>
  <c r="Q26" i="56" s="1"/>
  <c r="E24" i="56"/>
  <c r="E26" i="56" s="1"/>
  <c r="T24" i="56"/>
  <c r="T26" i="56" s="1"/>
  <c r="S24" i="56"/>
  <c r="S26" i="56" s="1"/>
  <c r="I24" i="56"/>
  <c r="I26" i="56" s="1"/>
  <c r="K21" i="56"/>
  <c r="D21" i="56" s="1"/>
  <c r="D23" i="56"/>
  <c r="K22" i="56"/>
  <c r="D22" i="56" s="1"/>
  <c r="O9" i="56"/>
  <c r="K13" i="56"/>
  <c r="K17" i="56"/>
  <c r="D17" i="56" s="1"/>
  <c r="O8" i="56"/>
  <c r="K10" i="56"/>
  <c r="D10" i="56" s="1"/>
  <c r="D14" i="56"/>
  <c r="K15" i="56"/>
  <c r="D15" i="56" s="1"/>
  <c r="K16" i="56"/>
  <c r="D16" i="56" s="1"/>
  <c r="D18" i="56"/>
  <c r="K12" i="56"/>
  <c r="D12" i="56" s="1"/>
  <c r="K20" i="56"/>
  <c r="D20" i="56" s="1"/>
  <c r="O24" i="56" l="1"/>
  <c r="O26" i="56" s="1"/>
  <c r="K8" i="56"/>
  <c r="K9" i="56"/>
  <c r="D9" i="56" s="1"/>
  <c r="K24" i="56" l="1"/>
  <c r="K26" i="56" s="1"/>
  <c r="D8" i="56"/>
  <c r="D24" i="56" s="1"/>
  <c r="D26" i="56" s="1"/>
  <c r="D137" i="62"/>
  <c r="D142" i="62"/>
  <c r="M155" i="20" l="1"/>
  <c r="N155" i="20" s="1"/>
  <c r="G154" i="20"/>
  <c r="E154" i="20"/>
  <c r="I154" i="20" s="1"/>
  <c r="J154" i="20" s="1"/>
  <c r="N152" i="20"/>
  <c r="K146" i="20"/>
  <c r="N146" i="20" s="1"/>
  <c r="G146" i="20"/>
  <c r="I146" i="20" s="1"/>
  <c r="F146" i="20"/>
  <c r="D146" i="20"/>
  <c r="F145" i="20"/>
  <c r="D145" i="20"/>
  <c r="M144" i="20"/>
  <c r="N144" i="20" s="1"/>
  <c r="F144" i="20"/>
  <c r="H144" i="20" s="1"/>
  <c r="J144" i="20" s="1"/>
  <c r="M139" i="20"/>
  <c r="N139" i="20" s="1"/>
  <c r="I139" i="20"/>
  <c r="J139" i="20" s="1"/>
  <c r="M137" i="20"/>
  <c r="L137" i="20"/>
  <c r="G137" i="20"/>
  <c r="F137" i="20"/>
  <c r="E137" i="20"/>
  <c r="D137" i="20"/>
  <c r="N114" i="20"/>
  <c r="N113" i="20"/>
  <c r="I113" i="20"/>
  <c r="H113" i="20"/>
  <c r="N112" i="20"/>
  <c r="H112" i="20"/>
  <c r="G112" i="20"/>
  <c r="I112" i="20" s="1"/>
  <c r="N111" i="20"/>
  <c r="H111" i="20"/>
  <c r="J111" i="20" s="1"/>
  <c r="M110" i="20"/>
  <c r="N110" i="20" s="1"/>
  <c r="I110" i="20"/>
  <c r="F110" i="20"/>
  <c r="H110" i="20" s="1"/>
  <c r="N109" i="20"/>
  <c r="N108" i="20"/>
  <c r="F108" i="20"/>
  <c r="H108" i="20" s="1"/>
  <c r="J108" i="20" s="1"/>
  <c r="N107" i="20"/>
  <c r="N106" i="20"/>
  <c r="I106" i="20"/>
  <c r="F106" i="20"/>
  <c r="H106" i="20" s="1"/>
  <c r="N105" i="20"/>
  <c r="I105" i="20"/>
  <c r="H105" i="20"/>
  <c r="N104" i="20"/>
  <c r="F104" i="20"/>
  <c r="H104" i="20" s="1"/>
  <c r="J104" i="20" s="1"/>
  <c r="N103" i="20"/>
  <c r="I103" i="20"/>
  <c r="H103" i="20"/>
  <c r="N102" i="20"/>
  <c r="I102" i="20"/>
  <c r="H102" i="20"/>
  <c r="N101" i="20"/>
  <c r="N100" i="20"/>
  <c r="M90" i="20"/>
  <c r="K90" i="20"/>
  <c r="F90" i="20"/>
  <c r="D90" i="20"/>
  <c r="M89" i="20"/>
  <c r="N89" i="20" s="1"/>
  <c r="E89" i="20"/>
  <c r="I89" i="20" s="1"/>
  <c r="J89" i="20" s="1"/>
  <c r="M88" i="20"/>
  <c r="N88" i="20" s="1"/>
  <c r="G88" i="20"/>
  <c r="I88" i="20" s="1"/>
  <c r="F88" i="20"/>
  <c r="D88" i="20"/>
  <c r="N87" i="20"/>
  <c r="F87" i="20"/>
  <c r="E87" i="20"/>
  <c r="I87" i="20" s="1"/>
  <c r="D87" i="20"/>
  <c r="M86" i="20"/>
  <c r="N86" i="20" s="1"/>
  <c r="G86" i="20"/>
  <c r="I86" i="20" s="1"/>
  <c r="F86" i="20"/>
  <c r="D86" i="20"/>
  <c r="M85" i="20"/>
  <c r="N85" i="20" s="1"/>
  <c r="G85" i="20"/>
  <c r="F85" i="20"/>
  <c r="E85" i="20"/>
  <c r="D85" i="20"/>
  <c r="N84" i="20"/>
  <c r="F84" i="20"/>
  <c r="D84" i="20"/>
  <c r="F76" i="20"/>
  <c r="D76" i="20"/>
  <c r="G75" i="20"/>
  <c r="I75" i="20" s="1"/>
  <c r="F75" i="20"/>
  <c r="D75" i="20"/>
  <c r="G74" i="20"/>
  <c r="I74" i="20" s="1"/>
  <c r="F74" i="20"/>
  <c r="D74" i="20"/>
  <c r="E70" i="20"/>
  <c r="I70" i="20" s="1"/>
  <c r="J70" i="20" s="1"/>
  <c r="N63" i="20"/>
  <c r="F63" i="20"/>
  <c r="H63" i="20" s="1"/>
  <c r="J63" i="20" s="1"/>
  <c r="M62" i="20"/>
  <c r="L62" i="20"/>
  <c r="H62" i="20"/>
  <c r="G62" i="20"/>
  <c r="E62" i="20"/>
  <c r="N61" i="20"/>
  <c r="F61" i="20"/>
  <c r="H61" i="20" s="1"/>
  <c r="J61" i="20" s="1"/>
  <c r="M60" i="20"/>
  <c r="N60" i="20" s="1"/>
  <c r="I60" i="20"/>
  <c r="H60" i="20"/>
  <c r="M59" i="20"/>
  <c r="N59" i="20" s="1"/>
  <c r="H59" i="20"/>
  <c r="J59" i="20" s="1"/>
  <c r="M58" i="20"/>
  <c r="N58" i="20" s="1"/>
  <c r="I58" i="20"/>
  <c r="H58" i="20"/>
  <c r="N57" i="20"/>
  <c r="M56" i="20"/>
  <c r="N56" i="20" s="1"/>
  <c r="M55" i="20"/>
  <c r="N55" i="20" s="1"/>
  <c r="I55" i="20"/>
  <c r="H55" i="20"/>
  <c r="N54" i="20"/>
  <c r="I54" i="20"/>
  <c r="H54" i="20"/>
  <c r="N53" i="20"/>
  <c r="I53" i="20"/>
  <c r="H53" i="20"/>
  <c r="N51" i="20"/>
  <c r="M50" i="20"/>
  <c r="N50" i="20" s="1"/>
  <c r="N49" i="20"/>
  <c r="I49" i="20"/>
  <c r="H49" i="20"/>
  <c r="N48" i="20"/>
  <c r="M47" i="20"/>
  <c r="N47" i="20" s="1"/>
  <c r="I47" i="20"/>
  <c r="F47" i="20"/>
  <c r="H47" i="20" s="1"/>
  <c r="N46" i="20"/>
  <c r="N45" i="20"/>
  <c r="G45" i="20"/>
  <c r="I45" i="20" s="1"/>
  <c r="F45" i="20"/>
  <c r="H45" i="20" s="1"/>
  <c r="M44" i="20"/>
  <c r="N44" i="20" s="1"/>
  <c r="I44" i="20"/>
  <c r="F44" i="20"/>
  <c r="H44" i="20" s="1"/>
  <c r="M43" i="20"/>
  <c r="N43" i="20" s="1"/>
  <c r="G43" i="20"/>
  <c r="I43" i="20" s="1"/>
  <c r="F43" i="20"/>
  <c r="H43" i="20" s="1"/>
  <c r="N42" i="20"/>
  <c r="G42" i="20"/>
  <c r="I42" i="20" s="1"/>
  <c r="F42" i="20"/>
  <c r="H42" i="20" s="1"/>
  <c r="M38" i="20"/>
  <c r="N38" i="20" s="1"/>
  <c r="G38" i="20"/>
  <c r="I38" i="20" s="1"/>
  <c r="J38" i="20" s="1"/>
  <c r="M37" i="20"/>
  <c r="L37" i="20"/>
  <c r="E37" i="20"/>
  <c r="I37" i="20" s="1"/>
  <c r="D37" i="20"/>
  <c r="H37" i="20" s="1"/>
  <c r="M36" i="20"/>
  <c r="L36" i="20"/>
  <c r="G36" i="20"/>
  <c r="F36" i="20"/>
  <c r="E36" i="20"/>
  <c r="D36" i="20"/>
  <c r="M32" i="20"/>
  <c r="N32" i="20" s="1"/>
  <c r="I32" i="20"/>
  <c r="H32" i="20"/>
  <c r="N31" i="20"/>
  <c r="I31" i="20"/>
  <c r="H31" i="20"/>
  <c r="M30" i="20"/>
  <c r="N30" i="20" s="1"/>
  <c r="I30" i="20"/>
  <c r="H30" i="20"/>
  <c r="N29" i="20"/>
  <c r="G29" i="20"/>
  <c r="F29" i="20"/>
  <c r="H29" i="20" s="1"/>
  <c r="E29" i="20"/>
  <c r="N28" i="20"/>
  <c r="G28" i="20"/>
  <c r="F28" i="20"/>
  <c r="H28" i="20" s="1"/>
  <c r="E28" i="20"/>
  <c r="N27" i="20"/>
  <c r="I27" i="20"/>
  <c r="H27" i="20"/>
  <c r="M26" i="20"/>
  <c r="N26" i="20" s="1"/>
  <c r="N25" i="20"/>
  <c r="N22" i="20"/>
  <c r="F22" i="20"/>
  <c r="H22" i="20" s="1"/>
  <c r="J22" i="20" s="1"/>
  <c r="N21" i="20"/>
  <c r="N20" i="20"/>
  <c r="N19" i="20"/>
  <c r="I19" i="20"/>
  <c r="F19" i="20"/>
  <c r="H19" i="20" s="1"/>
  <c r="M18" i="20"/>
  <c r="N18" i="20" s="1"/>
  <c r="N17" i="20"/>
  <c r="I17" i="20"/>
  <c r="H17" i="20"/>
  <c r="M16" i="20"/>
  <c r="L16" i="20"/>
  <c r="H16" i="20"/>
  <c r="G16" i="20"/>
  <c r="E16" i="20"/>
  <c r="N15" i="20"/>
  <c r="N14" i="20"/>
  <c r="F14" i="20"/>
  <c r="H14" i="20" s="1"/>
  <c r="J14" i="20" s="1"/>
  <c r="M13" i="20"/>
  <c r="N13" i="20" s="1"/>
  <c r="I13" i="20"/>
  <c r="H13" i="20"/>
  <c r="N12" i="20"/>
  <c r="I12" i="20"/>
  <c r="H12" i="20"/>
  <c r="N11" i="20"/>
  <c r="H146" i="20" l="1"/>
  <c r="J105" i="20"/>
  <c r="J106" i="20"/>
  <c r="J27" i="20"/>
  <c r="I28" i="20"/>
  <c r="I62" i="20"/>
  <c r="J62" i="20" s="1"/>
  <c r="H74" i="20"/>
  <c r="J74" i="20" s="1"/>
  <c r="I29" i="20"/>
  <c r="J29" i="20" s="1"/>
  <c r="J13" i="20"/>
  <c r="I36" i="20"/>
  <c r="J31" i="20"/>
  <c r="J44" i="20"/>
  <c r="J110" i="20"/>
  <c r="J45" i="20"/>
  <c r="H75" i="20"/>
  <c r="J75" i="20" s="1"/>
  <c r="H87" i="20"/>
  <c r="J87" i="20" s="1"/>
  <c r="H90" i="20"/>
  <c r="J90" i="20" s="1"/>
  <c r="J112" i="20"/>
  <c r="H88" i="20"/>
  <c r="J88" i="20" s="1"/>
  <c r="J19" i="20"/>
  <c r="J113" i="20"/>
  <c r="G10" i="20"/>
  <c r="G7" i="20" s="1"/>
  <c r="J42" i="20"/>
  <c r="J47" i="20"/>
  <c r="J53" i="20"/>
  <c r="M10" i="20"/>
  <c r="M7" i="20" s="1"/>
  <c r="J30" i="20"/>
  <c r="J43" i="20"/>
  <c r="J58" i="20"/>
  <c r="N90" i="20"/>
  <c r="N137" i="20"/>
  <c r="N37" i="20"/>
  <c r="I85" i="20"/>
  <c r="K10" i="20"/>
  <c r="K7" i="20" s="1"/>
  <c r="L10" i="20"/>
  <c r="L7" i="20" s="1"/>
  <c r="N62" i="20"/>
  <c r="H76" i="20"/>
  <c r="J76" i="20" s="1"/>
  <c r="H86" i="20"/>
  <c r="J86" i="20" s="1"/>
  <c r="H137" i="20"/>
  <c r="I16" i="20"/>
  <c r="J16" i="20" s="1"/>
  <c r="H145" i="20"/>
  <c r="J145" i="20" s="1"/>
  <c r="J17" i="20"/>
  <c r="J32" i="20"/>
  <c r="D10" i="20"/>
  <c r="D7" i="20" s="1"/>
  <c r="N36" i="20"/>
  <c r="J49" i="20"/>
  <c r="J54" i="20"/>
  <c r="J60" i="20"/>
  <c r="H84" i="20"/>
  <c r="J84" i="20" s="1"/>
  <c r="J102" i="20"/>
  <c r="J12" i="20"/>
  <c r="J146" i="20"/>
  <c r="E10" i="20"/>
  <c r="E7" i="20" s="1"/>
  <c r="J28" i="20"/>
  <c r="H36" i="20"/>
  <c r="J37" i="20"/>
  <c r="F10" i="20"/>
  <c r="F7" i="20" s="1"/>
  <c r="N16" i="20"/>
  <c r="J55" i="20"/>
  <c r="H85" i="20"/>
  <c r="J103" i="20"/>
  <c r="I137" i="20"/>
  <c r="I148" i="25"/>
  <c r="H148" i="25"/>
  <c r="D148" i="25"/>
  <c r="E144" i="25"/>
  <c r="D144" i="25"/>
  <c r="E112" i="25"/>
  <c r="D112" i="25"/>
  <c r="E111" i="25"/>
  <c r="D111" i="25"/>
  <c r="E110" i="25"/>
  <c r="D110" i="25"/>
  <c r="E109" i="25"/>
  <c r="D109" i="25"/>
  <c r="E108" i="25"/>
  <c r="D108" i="25"/>
  <c r="E107" i="25"/>
  <c r="D107" i="25"/>
  <c r="E106" i="25"/>
  <c r="D106" i="25"/>
  <c r="D105" i="25"/>
  <c r="E104" i="25"/>
  <c r="D104" i="25"/>
  <c r="D103" i="25"/>
  <c r="G102" i="25"/>
  <c r="F102" i="25"/>
  <c r="E102" i="25"/>
  <c r="D102" i="25"/>
  <c r="D101" i="25"/>
  <c r="E100" i="25"/>
  <c r="D100" i="25"/>
  <c r="E99" i="25"/>
  <c r="D99" i="25"/>
  <c r="E98" i="25"/>
  <c r="D98" i="25"/>
  <c r="D61" i="25"/>
  <c r="I60" i="25"/>
  <c r="H60" i="25"/>
  <c r="E60" i="25"/>
  <c r="D60" i="25"/>
  <c r="E59" i="25"/>
  <c r="D59" i="25"/>
  <c r="D58" i="25"/>
  <c r="E57" i="25"/>
  <c r="D57" i="25"/>
  <c r="I56" i="25"/>
  <c r="H56" i="25"/>
  <c r="G56" i="25"/>
  <c r="F56" i="25"/>
  <c r="E56" i="25"/>
  <c r="D56" i="25"/>
  <c r="D55" i="25"/>
  <c r="E54" i="25"/>
  <c r="D54" i="25"/>
  <c r="E53" i="25"/>
  <c r="D53" i="25"/>
  <c r="D52" i="25"/>
  <c r="G51" i="25"/>
  <c r="F51" i="25"/>
  <c r="E51" i="25"/>
  <c r="D51" i="25"/>
  <c r="E49" i="25"/>
  <c r="D49" i="25"/>
  <c r="E48" i="25"/>
  <c r="D48" i="25"/>
  <c r="E47" i="25"/>
  <c r="D47" i="25"/>
  <c r="E46" i="25"/>
  <c r="D46" i="25"/>
  <c r="D45" i="25"/>
  <c r="E44" i="25"/>
  <c r="D44" i="25"/>
  <c r="I43" i="25"/>
  <c r="H43" i="25"/>
  <c r="E43" i="25"/>
  <c r="D43" i="25"/>
  <c r="G42" i="25"/>
  <c r="F42" i="25"/>
  <c r="E42" i="25"/>
  <c r="D42" i="25"/>
  <c r="I41" i="25"/>
  <c r="H41" i="25"/>
  <c r="E41" i="25"/>
  <c r="D41" i="25"/>
  <c r="E40" i="25"/>
  <c r="D40" i="25"/>
  <c r="E35" i="25"/>
  <c r="D35" i="25"/>
  <c r="E34" i="25"/>
  <c r="D34" i="25"/>
  <c r="G30" i="25"/>
  <c r="F30" i="25"/>
  <c r="D30" i="25"/>
  <c r="D29" i="25"/>
  <c r="E28" i="25"/>
  <c r="D28" i="25"/>
  <c r="E27" i="25"/>
  <c r="D27" i="25"/>
  <c r="G26" i="25"/>
  <c r="F26" i="25"/>
  <c r="D26" i="25"/>
  <c r="G25" i="25"/>
  <c r="F25" i="25"/>
  <c r="D25" i="25"/>
  <c r="G24" i="25"/>
  <c r="F24" i="25"/>
  <c r="D24" i="25"/>
  <c r="E23" i="25"/>
  <c r="D23" i="25"/>
  <c r="D20" i="25"/>
  <c r="E19" i="25"/>
  <c r="D19" i="25"/>
  <c r="E17" i="25"/>
  <c r="D17" i="25"/>
  <c r="E16" i="25"/>
  <c r="D16" i="25"/>
  <c r="E15" i="25"/>
  <c r="D15" i="25"/>
  <c r="I14" i="25"/>
  <c r="H14" i="25"/>
  <c r="E14" i="25"/>
  <c r="D14" i="25"/>
  <c r="D13" i="25"/>
  <c r="E12" i="25"/>
  <c r="D12" i="25"/>
  <c r="I11" i="25"/>
  <c r="H11" i="25"/>
  <c r="G11" i="25"/>
  <c r="F11" i="25"/>
  <c r="D11" i="25"/>
  <c r="E10" i="25"/>
  <c r="D10" i="25"/>
  <c r="E9" i="25"/>
  <c r="D9" i="25"/>
  <c r="J36" i="20" l="1"/>
  <c r="N10" i="20"/>
  <c r="N7" i="20" s="1"/>
  <c r="H8" i="25"/>
  <c r="H5" i="25" s="1"/>
  <c r="F8" i="25"/>
  <c r="F5" i="25" s="1"/>
  <c r="I10" i="20"/>
  <c r="I7" i="20" s="1"/>
  <c r="I8" i="25"/>
  <c r="I5" i="25" s="1"/>
  <c r="J85" i="20"/>
  <c r="D8" i="25"/>
  <c r="D5" i="25" s="1"/>
  <c r="E8" i="25"/>
  <c r="E5" i="25" s="1"/>
  <c r="H10" i="20"/>
  <c r="H7" i="20" s="1"/>
  <c r="J137" i="20"/>
  <c r="J10" i="20" s="1"/>
  <c r="J7" i="20" s="1"/>
  <c r="G8" i="25"/>
  <c r="G5" i="25" s="1"/>
  <c r="J155" i="24" l="1"/>
  <c r="G155" i="24"/>
  <c r="J154" i="24"/>
  <c r="G154" i="24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H146" i="24"/>
  <c r="J146" i="24" s="1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H114" i="24"/>
  <c r="J114" i="24" s="1"/>
  <c r="G114" i="24"/>
  <c r="H113" i="24"/>
  <c r="J113" i="24" s="1"/>
  <c r="G113" i="24"/>
  <c r="H112" i="24"/>
  <c r="J112" i="24" s="1"/>
  <c r="G112" i="24"/>
  <c r="H111" i="24"/>
  <c r="J111" i="24" s="1"/>
  <c r="D111" i="24"/>
  <c r="G111" i="24" s="1"/>
  <c r="H110" i="24"/>
  <c r="J110" i="24" s="1"/>
  <c r="D110" i="24"/>
  <c r="G110" i="24" s="1"/>
  <c r="H109" i="24"/>
  <c r="J109" i="24" s="1"/>
  <c r="D109" i="24"/>
  <c r="G109" i="24" s="1"/>
  <c r="H108" i="24"/>
  <c r="J108" i="24" s="1"/>
  <c r="D108" i="24"/>
  <c r="G108" i="24" s="1"/>
  <c r="H107" i="24"/>
  <c r="J107" i="24" s="1"/>
  <c r="G107" i="24"/>
  <c r="H106" i="24"/>
  <c r="J106" i="24" s="1"/>
  <c r="D106" i="24"/>
  <c r="G106" i="24" s="1"/>
  <c r="H105" i="24"/>
  <c r="J105" i="24" s="1"/>
  <c r="D105" i="24"/>
  <c r="G105" i="24" s="1"/>
  <c r="H104" i="24"/>
  <c r="J104" i="24" s="1"/>
  <c r="D104" i="24"/>
  <c r="G104" i="24" s="1"/>
  <c r="H103" i="24"/>
  <c r="J103" i="24" s="1"/>
  <c r="D103" i="24"/>
  <c r="G103" i="24" s="1"/>
  <c r="H102" i="24"/>
  <c r="J102" i="24" s="1"/>
  <c r="D102" i="24"/>
  <c r="G102" i="24" s="1"/>
  <c r="H101" i="24"/>
  <c r="J101" i="24" s="1"/>
  <c r="G101" i="24"/>
  <c r="H100" i="24"/>
  <c r="J100" i="24" s="1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H63" i="24"/>
  <c r="J63" i="24" s="1"/>
  <c r="D63" i="24"/>
  <c r="G63" i="24" s="1"/>
  <c r="J62" i="24"/>
  <c r="G62" i="24"/>
  <c r="H61" i="24"/>
  <c r="J61" i="24" s="1"/>
  <c r="D61" i="24"/>
  <c r="G61" i="24" s="1"/>
  <c r="J60" i="24"/>
  <c r="D60" i="24"/>
  <c r="G60" i="24" s="1"/>
  <c r="H59" i="24"/>
  <c r="J59" i="24" s="1"/>
  <c r="G59" i="24"/>
  <c r="H58" i="24"/>
  <c r="J58" i="24" s="1"/>
  <c r="G58" i="24"/>
  <c r="H57" i="24"/>
  <c r="J57" i="24" s="1"/>
  <c r="D57" i="24"/>
  <c r="G57" i="24" s="1"/>
  <c r="H56" i="24"/>
  <c r="J56" i="24" s="1"/>
  <c r="G56" i="24"/>
  <c r="H55" i="24"/>
  <c r="J55" i="24" s="1"/>
  <c r="G55" i="24"/>
  <c r="H54" i="24"/>
  <c r="J54" i="24" s="1"/>
  <c r="G54" i="24"/>
  <c r="J53" i="24"/>
  <c r="G53" i="24"/>
  <c r="J52" i="24"/>
  <c r="G52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J45" i="24"/>
  <c r="G45" i="24"/>
  <c r="H44" i="24"/>
  <c r="J44" i="24" s="1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D36" i="24"/>
  <c r="G36" i="24" s="1"/>
  <c r="J35" i="24"/>
  <c r="G35" i="24"/>
  <c r="J34" i="24"/>
  <c r="G34" i="24"/>
  <c r="J33" i="24"/>
  <c r="G33" i="24"/>
  <c r="J32" i="24"/>
  <c r="G32" i="24"/>
  <c r="J31" i="24"/>
  <c r="G31" i="24"/>
  <c r="J30" i="24"/>
  <c r="G30" i="24"/>
  <c r="H29" i="24"/>
  <c r="J29" i="24" s="1"/>
  <c r="G29" i="24"/>
  <c r="J28" i="24"/>
  <c r="G28" i="24"/>
  <c r="H27" i="24"/>
  <c r="J27" i="24" s="1"/>
  <c r="D27" i="24"/>
  <c r="G27" i="24" s="1"/>
  <c r="H26" i="24"/>
  <c r="J26" i="24" s="1"/>
  <c r="D26" i="24"/>
  <c r="G26" i="24" s="1"/>
  <c r="H25" i="24"/>
  <c r="J25" i="24" s="1"/>
  <c r="D25" i="24"/>
  <c r="G25" i="24" s="1"/>
  <c r="J24" i="24"/>
  <c r="G24" i="24"/>
  <c r="J23" i="24"/>
  <c r="G23" i="24"/>
  <c r="H22" i="24"/>
  <c r="J22" i="24" s="1"/>
  <c r="G22" i="24"/>
  <c r="J21" i="24"/>
  <c r="D21" i="24"/>
  <c r="G21" i="24" s="1"/>
  <c r="H20" i="24"/>
  <c r="J20" i="24" s="1"/>
  <c r="G20" i="24"/>
  <c r="H19" i="24"/>
  <c r="J19" i="24" s="1"/>
  <c r="D19" i="24"/>
  <c r="G19" i="24" s="1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H14" i="24"/>
  <c r="J14" i="24" s="1"/>
  <c r="D14" i="24"/>
  <c r="G14" i="24" s="1"/>
  <c r="J13" i="24"/>
  <c r="G13" i="24"/>
  <c r="H12" i="24"/>
  <c r="J12" i="24" s="1"/>
  <c r="G12" i="24"/>
  <c r="H11" i="24"/>
  <c r="J11" i="24" s="1"/>
  <c r="G11" i="24"/>
  <c r="N10" i="24"/>
  <c r="N7" i="24" s="1"/>
  <c r="M10" i="24"/>
  <c r="M7" i="24" s="1"/>
  <c r="L10" i="24"/>
  <c r="L7" i="24" s="1"/>
  <c r="K10" i="24"/>
  <c r="K7" i="24" s="1"/>
  <c r="I10" i="24"/>
  <c r="I7" i="24" s="1"/>
  <c r="F10" i="24"/>
  <c r="F7" i="24" s="1"/>
  <c r="E10" i="24"/>
  <c r="E7" i="24" s="1"/>
  <c r="J9" i="24"/>
  <c r="G9" i="24"/>
  <c r="J8" i="24"/>
  <c r="G8" i="24"/>
  <c r="D10" i="24" l="1"/>
  <c r="D7" i="24" s="1"/>
  <c r="H10" i="24"/>
  <c r="H7" i="24" s="1"/>
  <c r="G10" i="24"/>
  <c r="G7" i="24" s="1"/>
  <c r="J10" i="24"/>
  <c r="J7" i="24" s="1"/>
  <c r="D110" i="19" l="1"/>
  <c r="D105" i="19"/>
  <c r="D99" i="19"/>
  <c r="E98" i="19"/>
  <c r="D98" i="19"/>
  <c r="D83" i="19"/>
  <c r="D55" i="19"/>
  <c r="D52" i="19"/>
  <c r="D46" i="19"/>
  <c r="D45" i="19"/>
  <c r="D40" i="19"/>
  <c r="D34" i="19"/>
  <c r="D30" i="19"/>
  <c r="D29" i="19"/>
  <c r="E26" i="19"/>
  <c r="D26" i="19"/>
  <c r="E18" i="19"/>
  <c r="D18" i="19"/>
  <c r="D11" i="19"/>
  <c r="I8" i="19"/>
  <c r="I5" i="19" s="1"/>
  <c r="H8" i="19"/>
  <c r="H5" i="19" s="1"/>
  <c r="G8" i="19"/>
  <c r="G5" i="19" s="1"/>
  <c r="F8" i="19"/>
  <c r="F5" i="19" s="1"/>
  <c r="D8" i="19"/>
  <c r="D5" i="19" s="1"/>
  <c r="E8" i="19" l="1"/>
  <c r="E5" i="19" s="1"/>
  <c r="R155" i="118" l="1"/>
  <c r="Q155" i="118"/>
  <c r="P155" i="118"/>
  <c r="O155" i="118"/>
  <c r="N155" i="118"/>
  <c r="M155" i="118"/>
  <c r="L155" i="118"/>
  <c r="K155" i="118"/>
  <c r="J155" i="118"/>
  <c r="I155" i="118"/>
  <c r="H155" i="118"/>
  <c r="G155" i="118"/>
  <c r="F155" i="118"/>
  <c r="E155" i="118"/>
  <c r="R154" i="118"/>
  <c r="Q154" i="118"/>
  <c r="P154" i="118"/>
  <c r="O154" i="118"/>
  <c r="N154" i="118"/>
  <c r="M154" i="118"/>
  <c r="L154" i="118"/>
  <c r="K154" i="118"/>
  <c r="J154" i="118"/>
  <c r="I154" i="118"/>
  <c r="H154" i="118"/>
  <c r="G154" i="118"/>
  <c r="F154" i="118"/>
  <c r="E154" i="118"/>
  <c r="R153" i="118"/>
  <c r="Q153" i="118"/>
  <c r="P153" i="118"/>
  <c r="O153" i="118"/>
  <c r="N153" i="118"/>
  <c r="M153" i="118"/>
  <c r="L153" i="118"/>
  <c r="K153" i="118"/>
  <c r="J153" i="118"/>
  <c r="I153" i="118"/>
  <c r="H153" i="118"/>
  <c r="G153" i="118"/>
  <c r="F153" i="118"/>
  <c r="E153" i="118"/>
  <c r="R152" i="118"/>
  <c r="Q152" i="118"/>
  <c r="P152" i="118"/>
  <c r="O152" i="118"/>
  <c r="N152" i="118"/>
  <c r="M152" i="118"/>
  <c r="L152" i="118"/>
  <c r="K152" i="118"/>
  <c r="J152" i="118"/>
  <c r="I152" i="118"/>
  <c r="H152" i="118"/>
  <c r="G152" i="118"/>
  <c r="F152" i="118"/>
  <c r="E152" i="118"/>
  <c r="R151" i="118"/>
  <c r="Q151" i="118"/>
  <c r="P151" i="118"/>
  <c r="O151" i="118"/>
  <c r="N151" i="118"/>
  <c r="M151" i="118"/>
  <c r="L151" i="118"/>
  <c r="K151" i="118"/>
  <c r="J151" i="118"/>
  <c r="I151" i="118"/>
  <c r="H151" i="118"/>
  <c r="G151" i="118"/>
  <c r="F151" i="118"/>
  <c r="E151" i="118"/>
  <c r="R150" i="118"/>
  <c r="Q150" i="118"/>
  <c r="P150" i="118"/>
  <c r="O150" i="118"/>
  <c r="N150" i="118"/>
  <c r="M150" i="118"/>
  <c r="L150" i="118"/>
  <c r="K150" i="118"/>
  <c r="J150" i="118"/>
  <c r="I150" i="118"/>
  <c r="H150" i="118"/>
  <c r="G150" i="118"/>
  <c r="F150" i="118"/>
  <c r="E150" i="118"/>
  <c r="R149" i="118"/>
  <c r="Q149" i="118"/>
  <c r="P149" i="118"/>
  <c r="O149" i="118"/>
  <c r="N149" i="118"/>
  <c r="M149" i="118"/>
  <c r="L149" i="118"/>
  <c r="K149" i="118"/>
  <c r="J149" i="118"/>
  <c r="I149" i="118"/>
  <c r="H149" i="118"/>
  <c r="G149" i="118"/>
  <c r="F149" i="118"/>
  <c r="E149" i="118"/>
  <c r="R148" i="118"/>
  <c r="Q148" i="118"/>
  <c r="P148" i="118"/>
  <c r="O148" i="118"/>
  <c r="N148" i="118"/>
  <c r="M148" i="118"/>
  <c r="L148" i="118"/>
  <c r="K148" i="118"/>
  <c r="J148" i="118"/>
  <c r="I148" i="118"/>
  <c r="H148" i="118"/>
  <c r="G148" i="118"/>
  <c r="F148" i="118"/>
  <c r="E148" i="118"/>
  <c r="R147" i="118"/>
  <c r="Q147" i="118"/>
  <c r="P147" i="118"/>
  <c r="O147" i="118"/>
  <c r="N147" i="118"/>
  <c r="M147" i="118"/>
  <c r="L147" i="118"/>
  <c r="K147" i="118"/>
  <c r="J147" i="118"/>
  <c r="I147" i="118"/>
  <c r="H147" i="118"/>
  <c r="G147" i="118"/>
  <c r="F147" i="118"/>
  <c r="E147" i="118"/>
  <c r="R146" i="118"/>
  <c r="Q146" i="118"/>
  <c r="P146" i="118"/>
  <c r="O146" i="118"/>
  <c r="N146" i="118"/>
  <c r="M146" i="118"/>
  <c r="L146" i="118"/>
  <c r="K146" i="118"/>
  <c r="J146" i="118"/>
  <c r="I146" i="118"/>
  <c r="H146" i="118"/>
  <c r="G146" i="118"/>
  <c r="F146" i="118"/>
  <c r="E146" i="118"/>
  <c r="R145" i="118"/>
  <c r="Q145" i="118"/>
  <c r="P145" i="118"/>
  <c r="O145" i="118"/>
  <c r="N145" i="118"/>
  <c r="M145" i="118"/>
  <c r="L145" i="118"/>
  <c r="K145" i="118"/>
  <c r="J145" i="118"/>
  <c r="I145" i="118"/>
  <c r="H145" i="118"/>
  <c r="G145" i="118"/>
  <c r="F145" i="118"/>
  <c r="E145" i="118"/>
  <c r="R144" i="118"/>
  <c r="Q144" i="118"/>
  <c r="P144" i="118"/>
  <c r="O144" i="118"/>
  <c r="N144" i="118"/>
  <c r="M144" i="118"/>
  <c r="L144" i="118"/>
  <c r="K144" i="118"/>
  <c r="J144" i="118"/>
  <c r="I144" i="118"/>
  <c r="H144" i="118"/>
  <c r="G144" i="118"/>
  <c r="F144" i="118"/>
  <c r="E144" i="118"/>
  <c r="R143" i="118"/>
  <c r="Q143" i="118"/>
  <c r="P143" i="118"/>
  <c r="O143" i="118"/>
  <c r="N143" i="118"/>
  <c r="M143" i="118"/>
  <c r="L143" i="118"/>
  <c r="K143" i="118"/>
  <c r="J143" i="118"/>
  <c r="I143" i="118"/>
  <c r="H143" i="118"/>
  <c r="G143" i="118"/>
  <c r="F143" i="118"/>
  <c r="E143" i="118"/>
  <c r="R142" i="118"/>
  <c r="Q142" i="118"/>
  <c r="P142" i="118"/>
  <c r="O142" i="118"/>
  <c r="N142" i="118"/>
  <c r="M142" i="118"/>
  <c r="L142" i="118"/>
  <c r="K142" i="118"/>
  <c r="J142" i="118"/>
  <c r="I142" i="118"/>
  <c r="H142" i="118"/>
  <c r="G142" i="118"/>
  <c r="F142" i="118"/>
  <c r="E142" i="118"/>
  <c r="R141" i="118"/>
  <c r="Q141" i="118"/>
  <c r="P141" i="118"/>
  <c r="O141" i="118"/>
  <c r="N141" i="118"/>
  <c r="M141" i="118"/>
  <c r="L141" i="118"/>
  <c r="K141" i="118"/>
  <c r="J141" i="118"/>
  <c r="I141" i="118"/>
  <c r="H141" i="118"/>
  <c r="G141" i="118"/>
  <c r="F141" i="118"/>
  <c r="E141" i="118"/>
  <c r="R140" i="118"/>
  <c r="Q140" i="118"/>
  <c r="P140" i="118"/>
  <c r="O140" i="118"/>
  <c r="N140" i="118"/>
  <c r="M140" i="118"/>
  <c r="L140" i="118"/>
  <c r="K140" i="118"/>
  <c r="J140" i="118"/>
  <c r="I140" i="118"/>
  <c r="H140" i="118"/>
  <c r="G140" i="118"/>
  <c r="F140" i="118"/>
  <c r="E140" i="118"/>
  <c r="R139" i="118"/>
  <c r="Q139" i="118"/>
  <c r="P139" i="118"/>
  <c r="O139" i="118"/>
  <c r="N139" i="118"/>
  <c r="M139" i="118"/>
  <c r="L139" i="118"/>
  <c r="K139" i="118"/>
  <c r="J139" i="118"/>
  <c r="I139" i="118"/>
  <c r="H139" i="118"/>
  <c r="G139" i="118"/>
  <c r="F139" i="118"/>
  <c r="E139" i="118"/>
  <c r="R138" i="118"/>
  <c r="Q138" i="118"/>
  <c r="P138" i="118"/>
  <c r="O138" i="118"/>
  <c r="N138" i="118"/>
  <c r="M138" i="118"/>
  <c r="L138" i="118"/>
  <c r="K138" i="118"/>
  <c r="J138" i="118"/>
  <c r="I138" i="118"/>
  <c r="H138" i="118"/>
  <c r="G138" i="118"/>
  <c r="F138" i="118"/>
  <c r="E138" i="118"/>
  <c r="R137" i="118"/>
  <c r="Q137" i="118"/>
  <c r="P137" i="118"/>
  <c r="O137" i="118"/>
  <c r="N137" i="118"/>
  <c r="M137" i="118"/>
  <c r="L137" i="118"/>
  <c r="K137" i="118"/>
  <c r="J137" i="118"/>
  <c r="I137" i="118"/>
  <c r="H137" i="118"/>
  <c r="G137" i="118"/>
  <c r="F137" i="118"/>
  <c r="E137" i="118"/>
  <c r="R136" i="118"/>
  <c r="Q136" i="118"/>
  <c r="P136" i="118"/>
  <c r="O136" i="118"/>
  <c r="N136" i="118"/>
  <c r="M136" i="118"/>
  <c r="L136" i="118"/>
  <c r="K136" i="118"/>
  <c r="J136" i="118"/>
  <c r="I136" i="118"/>
  <c r="H136" i="118"/>
  <c r="G136" i="118"/>
  <c r="F136" i="118"/>
  <c r="E136" i="118"/>
  <c r="R135" i="118"/>
  <c r="Q135" i="118"/>
  <c r="P135" i="118"/>
  <c r="O135" i="118"/>
  <c r="N135" i="118"/>
  <c r="M135" i="118"/>
  <c r="L135" i="118"/>
  <c r="K135" i="118"/>
  <c r="J135" i="118"/>
  <c r="I135" i="118"/>
  <c r="H135" i="118"/>
  <c r="G135" i="118"/>
  <c r="F135" i="118"/>
  <c r="E135" i="118"/>
  <c r="R134" i="118"/>
  <c r="Q134" i="118"/>
  <c r="P134" i="118"/>
  <c r="O134" i="118"/>
  <c r="N134" i="118"/>
  <c r="M134" i="118"/>
  <c r="L134" i="118"/>
  <c r="K134" i="118"/>
  <c r="J134" i="118"/>
  <c r="I134" i="118"/>
  <c r="H134" i="118"/>
  <c r="G134" i="118"/>
  <c r="F134" i="118"/>
  <c r="E134" i="118"/>
  <c r="R133" i="118"/>
  <c r="Q133" i="118"/>
  <c r="P133" i="118"/>
  <c r="O133" i="118"/>
  <c r="N133" i="118"/>
  <c r="M133" i="118"/>
  <c r="L133" i="118"/>
  <c r="K133" i="118"/>
  <c r="J133" i="118"/>
  <c r="I133" i="118"/>
  <c r="H133" i="118"/>
  <c r="G133" i="118"/>
  <c r="F133" i="118"/>
  <c r="E133" i="118"/>
  <c r="R132" i="118"/>
  <c r="Q132" i="118"/>
  <c r="P132" i="118"/>
  <c r="O132" i="118"/>
  <c r="N132" i="118"/>
  <c r="M132" i="118"/>
  <c r="L132" i="118"/>
  <c r="K132" i="118"/>
  <c r="J132" i="118"/>
  <c r="I132" i="118"/>
  <c r="H132" i="118"/>
  <c r="G132" i="118"/>
  <c r="F132" i="118"/>
  <c r="E132" i="118"/>
  <c r="R131" i="118"/>
  <c r="Q131" i="118"/>
  <c r="P131" i="118"/>
  <c r="O131" i="118"/>
  <c r="N131" i="118"/>
  <c r="M131" i="118"/>
  <c r="L131" i="118"/>
  <c r="K131" i="118"/>
  <c r="J131" i="118"/>
  <c r="I131" i="118"/>
  <c r="H131" i="118"/>
  <c r="G131" i="118"/>
  <c r="F131" i="118"/>
  <c r="E131" i="118"/>
  <c r="R130" i="118"/>
  <c r="Q130" i="118"/>
  <c r="P130" i="118"/>
  <c r="O130" i="118"/>
  <c r="N130" i="118"/>
  <c r="M130" i="118"/>
  <c r="L130" i="118"/>
  <c r="K130" i="118"/>
  <c r="J130" i="118"/>
  <c r="I130" i="118"/>
  <c r="H130" i="118"/>
  <c r="G130" i="118"/>
  <c r="F130" i="118"/>
  <c r="E130" i="118"/>
  <c r="R129" i="118"/>
  <c r="Q129" i="118"/>
  <c r="P129" i="118"/>
  <c r="O129" i="118"/>
  <c r="N129" i="118"/>
  <c r="M129" i="118"/>
  <c r="L129" i="118"/>
  <c r="K129" i="118"/>
  <c r="J129" i="118"/>
  <c r="I129" i="118"/>
  <c r="H129" i="118"/>
  <c r="G129" i="118"/>
  <c r="F129" i="118"/>
  <c r="E129" i="118"/>
  <c r="R128" i="118"/>
  <c r="Q128" i="118"/>
  <c r="P128" i="118"/>
  <c r="O128" i="118"/>
  <c r="N128" i="118"/>
  <c r="M128" i="118"/>
  <c r="L128" i="118"/>
  <c r="K128" i="118"/>
  <c r="J128" i="118"/>
  <c r="I128" i="118"/>
  <c r="H128" i="118"/>
  <c r="G128" i="118"/>
  <c r="F128" i="118"/>
  <c r="E128" i="118"/>
  <c r="R127" i="118"/>
  <c r="Q127" i="118"/>
  <c r="P127" i="118"/>
  <c r="O127" i="118"/>
  <c r="N127" i="118"/>
  <c r="M127" i="118"/>
  <c r="L127" i="118"/>
  <c r="K127" i="118"/>
  <c r="J127" i="118"/>
  <c r="I127" i="118"/>
  <c r="H127" i="118"/>
  <c r="G127" i="118"/>
  <c r="F127" i="118"/>
  <c r="E127" i="118"/>
  <c r="R126" i="118"/>
  <c r="Q126" i="118"/>
  <c r="P126" i="118"/>
  <c r="O126" i="118"/>
  <c r="N126" i="118"/>
  <c r="M126" i="118"/>
  <c r="L126" i="118"/>
  <c r="K126" i="118"/>
  <c r="J126" i="118"/>
  <c r="I126" i="118"/>
  <c r="H126" i="118"/>
  <c r="G126" i="118"/>
  <c r="F126" i="118"/>
  <c r="E126" i="118"/>
  <c r="R125" i="118"/>
  <c r="Q125" i="118"/>
  <c r="P125" i="118"/>
  <c r="O125" i="118"/>
  <c r="N125" i="118"/>
  <c r="M125" i="118"/>
  <c r="L125" i="118"/>
  <c r="K125" i="118"/>
  <c r="J125" i="118"/>
  <c r="I125" i="118"/>
  <c r="H125" i="118"/>
  <c r="G125" i="118"/>
  <c r="F125" i="118"/>
  <c r="E125" i="118"/>
  <c r="R124" i="118"/>
  <c r="Q124" i="118"/>
  <c r="P124" i="118"/>
  <c r="O124" i="118"/>
  <c r="N124" i="118"/>
  <c r="M124" i="118"/>
  <c r="L124" i="118"/>
  <c r="K124" i="118"/>
  <c r="J124" i="118"/>
  <c r="I124" i="118"/>
  <c r="H124" i="118"/>
  <c r="G124" i="118"/>
  <c r="F124" i="118"/>
  <c r="E124" i="118"/>
  <c r="R123" i="118"/>
  <c r="Q123" i="118"/>
  <c r="P123" i="118"/>
  <c r="O123" i="118"/>
  <c r="N123" i="118"/>
  <c r="M123" i="118"/>
  <c r="L123" i="118"/>
  <c r="K123" i="118"/>
  <c r="J123" i="118"/>
  <c r="I123" i="118"/>
  <c r="H123" i="118"/>
  <c r="G123" i="118"/>
  <c r="F123" i="118"/>
  <c r="E123" i="118"/>
  <c r="R122" i="118"/>
  <c r="Q122" i="118"/>
  <c r="P122" i="118"/>
  <c r="O122" i="118"/>
  <c r="N122" i="118"/>
  <c r="M122" i="118"/>
  <c r="L122" i="118"/>
  <c r="K122" i="118"/>
  <c r="J122" i="118"/>
  <c r="I122" i="118"/>
  <c r="H122" i="118"/>
  <c r="G122" i="118"/>
  <c r="F122" i="118"/>
  <c r="E122" i="118"/>
  <c r="R121" i="118"/>
  <c r="Q121" i="118"/>
  <c r="P121" i="118"/>
  <c r="O121" i="118"/>
  <c r="N121" i="118"/>
  <c r="M121" i="118"/>
  <c r="L121" i="118"/>
  <c r="K121" i="118"/>
  <c r="J121" i="118"/>
  <c r="I121" i="118"/>
  <c r="H121" i="118"/>
  <c r="G121" i="118"/>
  <c r="F121" i="118"/>
  <c r="E121" i="118"/>
  <c r="R120" i="118"/>
  <c r="Q120" i="118"/>
  <c r="P120" i="118"/>
  <c r="O120" i="118"/>
  <c r="N120" i="118"/>
  <c r="M120" i="118"/>
  <c r="L120" i="118"/>
  <c r="K120" i="118"/>
  <c r="J120" i="118"/>
  <c r="I120" i="118"/>
  <c r="H120" i="118"/>
  <c r="G120" i="118"/>
  <c r="F120" i="118"/>
  <c r="E120" i="118"/>
  <c r="R119" i="118"/>
  <c r="Q119" i="118"/>
  <c r="P119" i="118"/>
  <c r="O119" i="118"/>
  <c r="N119" i="118"/>
  <c r="M119" i="118"/>
  <c r="L119" i="118"/>
  <c r="K119" i="118"/>
  <c r="J119" i="118"/>
  <c r="I119" i="118"/>
  <c r="H119" i="118"/>
  <c r="G119" i="118"/>
  <c r="F119" i="118"/>
  <c r="E119" i="118"/>
  <c r="R118" i="118"/>
  <c r="Q118" i="118"/>
  <c r="P118" i="118"/>
  <c r="O118" i="118"/>
  <c r="N118" i="118"/>
  <c r="M118" i="118"/>
  <c r="L118" i="118"/>
  <c r="K118" i="118"/>
  <c r="J118" i="118"/>
  <c r="I118" i="118"/>
  <c r="H118" i="118"/>
  <c r="G118" i="118"/>
  <c r="F118" i="118"/>
  <c r="E118" i="118"/>
  <c r="R117" i="118"/>
  <c r="Q117" i="118"/>
  <c r="P117" i="118"/>
  <c r="O117" i="118"/>
  <c r="N117" i="118"/>
  <c r="M117" i="118"/>
  <c r="L117" i="118"/>
  <c r="K117" i="118"/>
  <c r="J117" i="118"/>
  <c r="I117" i="118"/>
  <c r="H117" i="118"/>
  <c r="G117" i="118"/>
  <c r="F117" i="118"/>
  <c r="E117" i="118"/>
  <c r="R116" i="118"/>
  <c r="Q116" i="118"/>
  <c r="P116" i="118"/>
  <c r="O116" i="118"/>
  <c r="N116" i="118"/>
  <c r="M116" i="118"/>
  <c r="L116" i="118"/>
  <c r="K116" i="118"/>
  <c r="J116" i="118"/>
  <c r="I116" i="118"/>
  <c r="H116" i="118"/>
  <c r="G116" i="118"/>
  <c r="F116" i="118"/>
  <c r="E116" i="118"/>
  <c r="R115" i="118"/>
  <c r="Q115" i="118"/>
  <c r="P115" i="118"/>
  <c r="O115" i="118"/>
  <c r="N115" i="118"/>
  <c r="M115" i="118"/>
  <c r="L115" i="118"/>
  <c r="K115" i="118"/>
  <c r="J115" i="118"/>
  <c r="I115" i="118"/>
  <c r="H115" i="118"/>
  <c r="G115" i="118"/>
  <c r="F115" i="118"/>
  <c r="E115" i="118"/>
  <c r="R114" i="118"/>
  <c r="Q114" i="118"/>
  <c r="P114" i="118"/>
  <c r="O114" i="118"/>
  <c r="N114" i="118"/>
  <c r="M114" i="118"/>
  <c r="L114" i="118"/>
  <c r="K114" i="118"/>
  <c r="J114" i="118"/>
  <c r="I114" i="118"/>
  <c r="H114" i="118"/>
  <c r="G114" i="118"/>
  <c r="F114" i="118"/>
  <c r="E114" i="118"/>
  <c r="R113" i="118"/>
  <c r="Q113" i="118"/>
  <c r="P113" i="118"/>
  <c r="O113" i="118"/>
  <c r="N113" i="118"/>
  <c r="M113" i="118"/>
  <c r="L113" i="118"/>
  <c r="K113" i="118"/>
  <c r="J113" i="118"/>
  <c r="I113" i="118"/>
  <c r="H113" i="118"/>
  <c r="G113" i="118"/>
  <c r="F113" i="118"/>
  <c r="E113" i="118"/>
  <c r="R112" i="118"/>
  <c r="Q112" i="118"/>
  <c r="P112" i="118"/>
  <c r="O112" i="118"/>
  <c r="N112" i="118"/>
  <c r="M112" i="118"/>
  <c r="L112" i="118"/>
  <c r="K112" i="118"/>
  <c r="J112" i="118"/>
  <c r="I112" i="118"/>
  <c r="H112" i="118"/>
  <c r="G112" i="118"/>
  <c r="F112" i="118"/>
  <c r="E112" i="118"/>
  <c r="R111" i="118"/>
  <c r="Q111" i="118"/>
  <c r="P111" i="118"/>
  <c r="O111" i="118"/>
  <c r="N111" i="118"/>
  <c r="M111" i="118"/>
  <c r="L111" i="118"/>
  <c r="K111" i="118"/>
  <c r="J111" i="118"/>
  <c r="I111" i="118"/>
  <c r="H111" i="118"/>
  <c r="G111" i="118"/>
  <c r="F111" i="118"/>
  <c r="E111" i="118"/>
  <c r="R110" i="118"/>
  <c r="Q110" i="118"/>
  <c r="P110" i="118"/>
  <c r="O110" i="118"/>
  <c r="N110" i="118"/>
  <c r="M110" i="118"/>
  <c r="L110" i="118"/>
  <c r="K110" i="118"/>
  <c r="J110" i="118"/>
  <c r="I110" i="118"/>
  <c r="H110" i="118"/>
  <c r="G110" i="118"/>
  <c r="F110" i="118"/>
  <c r="E110" i="118"/>
  <c r="R109" i="118"/>
  <c r="Q109" i="118"/>
  <c r="P109" i="118"/>
  <c r="O109" i="118"/>
  <c r="N109" i="118"/>
  <c r="M109" i="118"/>
  <c r="L109" i="118"/>
  <c r="K109" i="118"/>
  <c r="J109" i="118"/>
  <c r="I109" i="118"/>
  <c r="H109" i="118"/>
  <c r="G109" i="118"/>
  <c r="F109" i="118"/>
  <c r="E109" i="118"/>
  <c r="R108" i="118"/>
  <c r="Q108" i="118"/>
  <c r="P108" i="118"/>
  <c r="O108" i="118"/>
  <c r="N108" i="118"/>
  <c r="M108" i="118"/>
  <c r="L108" i="118"/>
  <c r="K108" i="118"/>
  <c r="J108" i="118"/>
  <c r="I108" i="118"/>
  <c r="H108" i="118"/>
  <c r="G108" i="118"/>
  <c r="F108" i="118"/>
  <c r="E108" i="118"/>
  <c r="R107" i="118"/>
  <c r="Q107" i="118"/>
  <c r="P107" i="118"/>
  <c r="O107" i="118"/>
  <c r="N107" i="118"/>
  <c r="M107" i="118"/>
  <c r="L107" i="118"/>
  <c r="K107" i="118"/>
  <c r="J107" i="118"/>
  <c r="I107" i="118"/>
  <c r="H107" i="118"/>
  <c r="G107" i="118"/>
  <c r="F107" i="118"/>
  <c r="E107" i="118"/>
  <c r="R106" i="118"/>
  <c r="Q106" i="118"/>
  <c r="P106" i="118"/>
  <c r="O106" i="118"/>
  <c r="N106" i="118"/>
  <c r="M106" i="118"/>
  <c r="L106" i="118"/>
  <c r="K106" i="118"/>
  <c r="J106" i="118"/>
  <c r="I106" i="118"/>
  <c r="H106" i="118"/>
  <c r="G106" i="118"/>
  <c r="F106" i="118"/>
  <c r="E106" i="118"/>
  <c r="R105" i="118"/>
  <c r="Q105" i="118"/>
  <c r="P105" i="118"/>
  <c r="O105" i="118"/>
  <c r="N105" i="118"/>
  <c r="M105" i="118"/>
  <c r="L105" i="118"/>
  <c r="K105" i="118"/>
  <c r="J105" i="118"/>
  <c r="I105" i="118"/>
  <c r="H105" i="118"/>
  <c r="G105" i="118"/>
  <c r="F105" i="118"/>
  <c r="E105" i="118"/>
  <c r="R104" i="118"/>
  <c r="Q104" i="118"/>
  <c r="P104" i="118"/>
  <c r="O104" i="118"/>
  <c r="N104" i="118"/>
  <c r="M104" i="118"/>
  <c r="L104" i="118"/>
  <c r="K104" i="118"/>
  <c r="J104" i="118"/>
  <c r="I104" i="118"/>
  <c r="H104" i="118"/>
  <c r="G104" i="118"/>
  <c r="F104" i="118"/>
  <c r="E104" i="118"/>
  <c r="R103" i="118"/>
  <c r="Q103" i="118"/>
  <c r="P103" i="118"/>
  <c r="O103" i="118"/>
  <c r="N103" i="118"/>
  <c r="M103" i="118"/>
  <c r="L103" i="118"/>
  <c r="K103" i="118"/>
  <c r="J103" i="118"/>
  <c r="I103" i="118"/>
  <c r="H103" i="118"/>
  <c r="G103" i="118"/>
  <c r="F103" i="118"/>
  <c r="E103" i="118"/>
  <c r="R102" i="118"/>
  <c r="Q102" i="118"/>
  <c r="P102" i="118"/>
  <c r="O102" i="118"/>
  <c r="N102" i="118"/>
  <c r="M102" i="118"/>
  <c r="L102" i="118"/>
  <c r="K102" i="118"/>
  <c r="J102" i="118"/>
  <c r="I102" i="118"/>
  <c r="H102" i="118"/>
  <c r="G102" i="118"/>
  <c r="F102" i="118"/>
  <c r="E102" i="118"/>
  <c r="R101" i="118"/>
  <c r="Q101" i="118"/>
  <c r="P101" i="118"/>
  <c r="O101" i="118"/>
  <c r="N101" i="118"/>
  <c r="M101" i="118"/>
  <c r="L101" i="118"/>
  <c r="K101" i="118"/>
  <c r="J101" i="118"/>
  <c r="I101" i="118"/>
  <c r="H101" i="118"/>
  <c r="G101" i="118"/>
  <c r="F101" i="118"/>
  <c r="E101" i="118"/>
  <c r="R100" i="118"/>
  <c r="Q100" i="118"/>
  <c r="P100" i="118"/>
  <c r="O100" i="118"/>
  <c r="N100" i="118"/>
  <c r="M100" i="118"/>
  <c r="L100" i="118"/>
  <c r="K100" i="118"/>
  <c r="J100" i="118"/>
  <c r="I100" i="118"/>
  <c r="H100" i="118"/>
  <c r="G100" i="118"/>
  <c r="F100" i="118"/>
  <c r="E100" i="118"/>
  <c r="R99" i="118"/>
  <c r="Q99" i="118"/>
  <c r="P99" i="118"/>
  <c r="O99" i="118"/>
  <c r="N99" i="118"/>
  <c r="M99" i="118"/>
  <c r="L99" i="118"/>
  <c r="K99" i="118"/>
  <c r="J99" i="118"/>
  <c r="I99" i="118"/>
  <c r="H99" i="118"/>
  <c r="G99" i="118"/>
  <c r="F99" i="118"/>
  <c r="E99" i="118"/>
  <c r="R98" i="118"/>
  <c r="Q98" i="118"/>
  <c r="P98" i="118"/>
  <c r="O98" i="118"/>
  <c r="N98" i="118"/>
  <c r="M98" i="118"/>
  <c r="L98" i="118"/>
  <c r="K98" i="118"/>
  <c r="J98" i="118"/>
  <c r="I98" i="118"/>
  <c r="H98" i="118"/>
  <c r="G98" i="118"/>
  <c r="F98" i="118"/>
  <c r="E98" i="118"/>
  <c r="R97" i="118"/>
  <c r="Q97" i="118"/>
  <c r="P97" i="118"/>
  <c r="O97" i="118"/>
  <c r="N97" i="118"/>
  <c r="M97" i="118"/>
  <c r="L97" i="118"/>
  <c r="K97" i="118"/>
  <c r="J97" i="118"/>
  <c r="I97" i="118"/>
  <c r="H97" i="118"/>
  <c r="G97" i="118"/>
  <c r="F97" i="118"/>
  <c r="E97" i="118"/>
  <c r="R96" i="118"/>
  <c r="Q96" i="118"/>
  <c r="P96" i="118"/>
  <c r="O96" i="118"/>
  <c r="N96" i="118"/>
  <c r="M96" i="118"/>
  <c r="L96" i="118"/>
  <c r="K96" i="118"/>
  <c r="J96" i="118"/>
  <c r="I96" i="118"/>
  <c r="H96" i="118"/>
  <c r="G96" i="118"/>
  <c r="F96" i="118"/>
  <c r="E96" i="118"/>
  <c r="R95" i="118"/>
  <c r="Q95" i="118"/>
  <c r="P95" i="118"/>
  <c r="O95" i="118"/>
  <c r="N95" i="118"/>
  <c r="M95" i="118"/>
  <c r="L95" i="118"/>
  <c r="K95" i="118"/>
  <c r="J95" i="118"/>
  <c r="I95" i="118"/>
  <c r="H95" i="118"/>
  <c r="G95" i="118"/>
  <c r="F95" i="118"/>
  <c r="E95" i="118"/>
  <c r="R94" i="118"/>
  <c r="Q94" i="118"/>
  <c r="P94" i="118"/>
  <c r="O94" i="118"/>
  <c r="N94" i="118"/>
  <c r="M94" i="118"/>
  <c r="L94" i="118"/>
  <c r="K94" i="118"/>
  <c r="J94" i="118"/>
  <c r="I94" i="118"/>
  <c r="H94" i="118"/>
  <c r="G94" i="118"/>
  <c r="F94" i="118"/>
  <c r="E94" i="118"/>
  <c r="R93" i="118"/>
  <c r="Q93" i="118"/>
  <c r="P93" i="118"/>
  <c r="O93" i="118"/>
  <c r="N93" i="118"/>
  <c r="M93" i="118"/>
  <c r="L93" i="118"/>
  <c r="K93" i="118"/>
  <c r="J93" i="118"/>
  <c r="I93" i="118"/>
  <c r="H93" i="118"/>
  <c r="G93" i="118"/>
  <c r="F93" i="118"/>
  <c r="E93" i="118"/>
  <c r="R92" i="118"/>
  <c r="Q92" i="118"/>
  <c r="P92" i="118"/>
  <c r="O92" i="118"/>
  <c r="N92" i="118"/>
  <c r="M92" i="118"/>
  <c r="L92" i="118"/>
  <c r="K92" i="118"/>
  <c r="J92" i="118"/>
  <c r="I92" i="118"/>
  <c r="H92" i="118"/>
  <c r="G92" i="118"/>
  <c r="F92" i="118"/>
  <c r="E92" i="118"/>
  <c r="R91" i="118"/>
  <c r="Q91" i="118"/>
  <c r="P91" i="118"/>
  <c r="O91" i="118"/>
  <c r="N91" i="118"/>
  <c r="M91" i="118"/>
  <c r="L91" i="118"/>
  <c r="K91" i="118"/>
  <c r="J91" i="118"/>
  <c r="I91" i="118"/>
  <c r="H91" i="118"/>
  <c r="G91" i="118"/>
  <c r="F91" i="118"/>
  <c r="E91" i="118"/>
  <c r="R90" i="118"/>
  <c r="Q90" i="118"/>
  <c r="P90" i="118"/>
  <c r="O90" i="118"/>
  <c r="N90" i="118"/>
  <c r="M90" i="118"/>
  <c r="L90" i="118"/>
  <c r="K90" i="118"/>
  <c r="J90" i="118"/>
  <c r="I90" i="118"/>
  <c r="H90" i="118"/>
  <c r="G90" i="118"/>
  <c r="F90" i="118"/>
  <c r="E90" i="118"/>
  <c r="R89" i="118"/>
  <c r="Q89" i="118"/>
  <c r="P89" i="118"/>
  <c r="O89" i="118"/>
  <c r="N89" i="118"/>
  <c r="M89" i="118"/>
  <c r="L89" i="118"/>
  <c r="K89" i="118"/>
  <c r="J89" i="118"/>
  <c r="I89" i="118"/>
  <c r="H89" i="118"/>
  <c r="G89" i="118"/>
  <c r="F89" i="118"/>
  <c r="E89" i="118"/>
  <c r="R88" i="118"/>
  <c r="Q88" i="118"/>
  <c r="P88" i="118"/>
  <c r="O88" i="118"/>
  <c r="N88" i="118"/>
  <c r="M88" i="118"/>
  <c r="L88" i="118"/>
  <c r="K88" i="118"/>
  <c r="J88" i="118"/>
  <c r="I88" i="118"/>
  <c r="H88" i="118"/>
  <c r="G88" i="118"/>
  <c r="F88" i="118"/>
  <c r="E88" i="118"/>
  <c r="R87" i="118"/>
  <c r="Q87" i="118"/>
  <c r="P87" i="118"/>
  <c r="O87" i="118"/>
  <c r="N87" i="118"/>
  <c r="M87" i="118"/>
  <c r="L87" i="118"/>
  <c r="K87" i="118"/>
  <c r="J87" i="118"/>
  <c r="I87" i="118"/>
  <c r="H87" i="118"/>
  <c r="G87" i="118"/>
  <c r="F87" i="118"/>
  <c r="E87" i="118"/>
  <c r="R86" i="118"/>
  <c r="Q86" i="118"/>
  <c r="P86" i="118"/>
  <c r="O86" i="118"/>
  <c r="N86" i="118"/>
  <c r="M86" i="118"/>
  <c r="L86" i="118"/>
  <c r="K86" i="118"/>
  <c r="J86" i="118"/>
  <c r="I86" i="118"/>
  <c r="H86" i="118"/>
  <c r="G86" i="118"/>
  <c r="F86" i="118"/>
  <c r="E86" i="118"/>
  <c r="R85" i="118"/>
  <c r="Q85" i="118"/>
  <c r="P85" i="118"/>
  <c r="O85" i="118"/>
  <c r="N85" i="118"/>
  <c r="M85" i="118"/>
  <c r="L85" i="118"/>
  <c r="K85" i="118"/>
  <c r="J85" i="118"/>
  <c r="I85" i="118"/>
  <c r="H85" i="118"/>
  <c r="G85" i="118"/>
  <c r="F85" i="118"/>
  <c r="E85" i="118"/>
  <c r="R84" i="118"/>
  <c r="Q84" i="118"/>
  <c r="P84" i="118"/>
  <c r="O84" i="118"/>
  <c r="N84" i="118"/>
  <c r="M84" i="118"/>
  <c r="L84" i="118"/>
  <c r="K84" i="118"/>
  <c r="J84" i="118"/>
  <c r="I84" i="118"/>
  <c r="H84" i="118"/>
  <c r="G84" i="118"/>
  <c r="F84" i="118"/>
  <c r="E84" i="118"/>
  <c r="R83" i="118"/>
  <c r="Q83" i="118"/>
  <c r="P83" i="118"/>
  <c r="O83" i="118"/>
  <c r="N83" i="118"/>
  <c r="M83" i="118"/>
  <c r="L83" i="118"/>
  <c r="K83" i="118"/>
  <c r="J83" i="118"/>
  <c r="I83" i="118"/>
  <c r="H83" i="118"/>
  <c r="G83" i="118"/>
  <c r="F83" i="118"/>
  <c r="E83" i="118"/>
  <c r="R82" i="118"/>
  <c r="Q82" i="118"/>
  <c r="P82" i="118"/>
  <c r="O82" i="118"/>
  <c r="N82" i="118"/>
  <c r="M82" i="118"/>
  <c r="L82" i="118"/>
  <c r="K82" i="118"/>
  <c r="J82" i="118"/>
  <c r="I82" i="118"/>
  <c r="H82" i="118"/>
  <c r="G82" i="118"/>
  <c r="F82" i="118"/>
  <c r="E82" i="118"/>
  <c r="R81" i="118"/>
  <c r="Q81" i="118"/>
  <c r="P81" i="118"/>
  <c r="O81" i="118"/>
  <c r="N81" i="118"/>
  <c r="M81" i="118"/>
  <c r="L81" i="118"/>
  <c r="K81" i="118"/>
  <c r="J81" i="118"/>
  <c r="I81" i="118"/>
  <c r="H81" i="118"/>
  <c r="G81" i="118"/>
  <c r="F81" i="118"/>
  <c r="E81" i="118"/>
  <c r="R80" i="118"/>
  <c r="Q80" i="118"/>
  <c r="P80" i="118"/>
  <c r="O80" i="118"/>
  <c r="N80" i="118"/>
  <c r="M80" i="118"/>
  <c r="L80" i="118"/>
  <c r="K80" i="118"/>
  <c r="J80" i="118"/>
  <c r="I80" i="118"/>
  <c r="H80" i="118"/>
  <c r="G80" i="118"/>
  <c r="F80" i="118"/>
  <c r="E80" i="118"/>
  <c r="R79" i="118"/>
  <c r="Q79" i="118"/>
  <c r="P79" i="118"/>
  <c r="O79" i="118"/>
  <c r="N79" i="118"/>
  <c r="M79" i="118"/>
  <c r="L79" i="118"/>
  <c r="K79" i="118"/>
  <c r="J79" i="118"/>
  <c r="I79" i="118"/>
  <c r="H79" i="118"/>
  <c r="G79" i="118"/>
  <c r="F79" i="118"/>
  <c r="E79" i="118"/>
  <c r="R78" i="118"/>
  <c r="Q78" i="118"/>
  <c r="P78" i="118"/>
  <c r="O78" i="118"/>
  <c r="N78" i="118"/>
  <c r="M78" i="118"/>
  <c r="L78" i="118"/>
  <c r="K78" i="118"/>
  <c r="J78" i="118"/>
  <c r="I78" i="118"/>
  <c r="H78" i="118"/>
  <c r="G78" i="118"/>
  <c r="F78" i="118"/>
  <c r="E78" i="118"/>
  <c r="R77" i="118"/>
  <c r="Q77" i="118"/>
  <c r="P77" i="118"/>
  <c r="O77" i="118"/>
  <c r="N77" i="118"/>
  <c r="M77" i="118"/>
  <c r="L77" i="118"/>
  <c r="K77" i="118"/>
  <c r="J77" i="118"/>
  <c r="I77" i="118"/>
  <c r="H77" i="118"/>
  <c r="G77" i="118"/>
  <c r="F77" i="118"/>
  <c r="E77" i="118"/>
  <c r="R76" i="118"/>
  <c r="Q76" i="118"/>
  <c r="P76" i="118"/>
  <c r="O76" i="118"/>
  <c r="N76" i="118"/>
  <c r="M76" i="118"/>
  <c r="L76" i="118"/>
  <c r="K76" i="118"/>
  <c r="J76" i="118"/>
  <c r="I76" i="118"/>
  <c r="H76" i="118"/>
  <c r="G76" i="118"/>
  <c r="F76" i="118"/>
  <c r="E76" i="118"/>
  <c r="R75" i="118"/>
  <c r="Q75" i="118"/>
  <c r="P75" i="118"/>
  <c r="O75" i="118"/>
  <c r="N75" i="118"/>
  <c r="M75" i="118"/>
  <c r="L75" i="118"/>
  <c r="K75" i="118"/>
  <c r="J75" i="118"/>
  <c r="I75" i="118"/>
  <c r="H75" i="118"/>
  <c r="G75" i="118"/>
  <c r="F75" i="118"/>
  <c r="E75" i="118"/>
  <c r="R74" i="118"/>
  <c r="Q74" i="118"/>
  <c r="P74" i="118"/>
  <c r="O74" i="118"/>
  <c r="N74" i="118"/>
  <c r="M74" i="118"/>
  <c r="L74" i="118"/>
  <c r="K74" i="118"/>
  <c r="J74" i="118"/>
  <c r="I74" i="118"/>
  <c r="H74" i="118"/>
  <c r="G74" i="118"/>
  <c r="F74" i="118"/>
  <c r="E74" i="118"/>
  <c r="R73" i="118"/>
  <c r="Q73" i="118"/>
  <c r="P73" i="118"/>
  <c r="O73" i="118"/>
  <c r="N73" i="118"/>
  <c r="M73" i="118"/>
  <c r="L73" i="118"/>
  <c r="K73" i="118"/>
  <c r="J73" i="118"/>
  <c r="I73" i="118"/>
  <c r="H73" i="118"/>
  <c r="G73" i="118"/>
  <c r="F73" i="118"/>
  <c r="E73" i="118"/>
  <c r="R72" i="118"/>
  <c r="Q72" i="118"/>
  <c r="P72" i="118"/>
  <c r="O72" i="118"/>
  <c r="N72" i="118"/>
  <c r="M72" i="118"/>
  <c r="L72" i="118"/>
  <c r="K72" i="118"/>
  <c r="J72" i="118"/>
  <c r="I72" i="118"/>
  <c r="H72" i="118"/>
  <c r="G72" i="118"/>
  <c r="F72" i="118"/>
  <c r="E72" i="118"/>
  <c r="R71" i="118"/>
  <c r="Q71" i="118"/>
  <c r="P71" i="118"/>
  <c r="O71" i="118"/>
  <c r="N71" i="118"/>
  <c r="M71" i="118"/>
  <c r="L71" i="118"/>
  <c r="K71" i="118"/>
  <c r="J71" i="118"/>
  <c r="I71" i="118"/>
  <c r="H71" i="118"/>
  <c r="G71" i="118"/>
  <c r="F71" i="118"/>
  <c r="E71" i="118"/>
  <c r="R70" i="118"/>
  <c r="Q70" i="118"/>
  <c r="P70" i="118"/>
  <c r="O70" i="118"/>
  <c r="N70" i="118"/>
  <c r="M70" i="118"/>
  <c r="L70" i="118"/>
  <c r="K70" i="118"/>
  <c r="J70" i="118"/>
  <c r="I70" i="118"/>
  <c r="H70" i="118"/>
  <c r="G70" i="118"/>
  <c r="F70" i="118"/>
  <c r="E70" i="118"/>
  <c r="R69" i="118"/>
  <c r="Q69" i="118"/>
  <c r="P69" i="118"/>
  <c r="O69" i="118"/>
  <c r="N69" i="118"/>
  <c r="M69" i="118"/>
  <c r="L69" i="118"/>
  <c r="K69" i="118"/>
  <c r="J69" i="118"/>
  <c r="I69" i="118"/>
  <c r="H69" i="118"/>
  <c r="G69" i="118"/>
  <c r="F69" i="118"/>
  <c r="E69" i="118"/>
  <c r="R68" i="118"/>
  <c r="Q68" i="118"/>
  <c r="P68" i="118"/>
  <c r="O68" i="118"/>
  <c r="N68" i="118"/>
  <c r="M68" i="118"/>
  <c r="L68" i="118"/>
  <c r="K68" i="118"/>
  <c r="J68" i="118"/>
  <c r="I68" i="118"/>
  <c r="H68" i="118"/>
  <c r="G68" i="118"/>
  <c r="F68" i="118"/>
  <c r="E68" i="118"/>
  <c r="R67" i="118"/>
  <c r="Q67" i="118"/>
  <c r="P67" i="118"/>
  <c r="O67" i="118"/>
  <c r="N67" i="118"/>
  <c r="M67" i="118"/>
  <c r="L67" i="118"/>
  <c r="K67" i="118"/>
  <c r="J67" i="118"/>
  <c r="I67" i="118"/>
  <c r="H67" i="118"/>
  <c r="G67" i="118"/>
  <c r="F67" i="118"/>
  <c r="E67" i="118"/>
  <c r="R66" i="118"/>
  <c r="Q66" i="118"/>
  <c r="P66" i="118"/>
  <c r="O66" i="118"/>
  <c r="N66" i="118"/>
  <c r="M66" i="118"/>
  <c r="L66" i="118"/>
  <c r="K66" i="118"/>
  <c r="J66" i="118"/>
  <c r="I66" i="118"/>
  <c r="H66" i="118"/>
  <c r="G66" i="118"/>
  <c r="F66" i="118"/>
  <c r="E66" i="118"/>
  <c r="R65" i="118"/>
  <c r="Q65" i="118"/>
  <c r="P65" i="118"/>
  <c r="O65" i="118"/>
  <c r="N65" i="118"/>
  <c r="M65" i="118"/>
  <c r="L65" i="118"/>
  <c r="K65" i="118"/>
  <c r="J65" i="118"/>
  <c r="I65" i="118"/>
  <c r="H65" i="118"/>
  <c r="G65" i="118"/>
  <c r="F65" i="118"/>
  <c r="E65" i="118"/>
  <c r="R64" i="118"/>
  <c r="Q64" i="118"/>
  <c r="P64" i="118"/>
  <c r="O64" i="118"/>
  <c r="N64" i="118"/>
  <c r="M64" i="118"/>
  <c r="L64" i="118"/>
  <c r="K64" i="118"/>
  <c r="J64" i="118"/>
  <c r="I64" i="118"/>
  <c r="H64" i="118"/>
  <c r="G64" i="118"/>
  <c r="F64" i="118"/>
  <c r="E64" i="118"/>
  <c r="R63" i="118"/>
  <c r="Q63" i="118"/>
  <c r="P63" i="118"/>
  <c r="O63" i="118"/>
  <c r="N63" i="118"/>
  <c r="M63" i="118"/>
  <c r="L63" i="118"/>
  <c r="K63" i="118"/>
  <c r="J63" i="118"/>
  <c r="I63" i="118"/>
  <c r="H63" i="118"/>
  <c r="G63" i="118"/>
  <c r="F63" i="118"/>
  <c r="E63" i="118"/>
  <c r="R62" i="118"/>
  <c r="Q62" i="118"/>
  <c r="P62" i="118"/>
  <c r="O62" i="118"/>
  <c r="N62" i="118"/>
  <c r="M62" i="118"/>
  <c r="L62" i="118"/>
  <c r="K62" i="118"/>
  <c r="J62" i="118"/>
  <c r="I62" i="118"/>
  <c r="H62" i="118"/>
  <c r="G62" i="118"/>
  <c r="F62" i="118"/>
  <c r="E62" i="118"/>
  <c r="R61" i="118"/>
  <c r="Q61" i="118"/>
  <c r="P61" i="118"/>
  <c r="O61" i="118"/>
  <c r="N61" i="118"/>
  <c r="M61" i="118"/>
  <c r="L61" i="118"/>
  <c r="K61" i="118"/>
  <c r="J61" i="118"/>
  <c r="I61" i="118"/>
  <c r="H61" i="118"/>
  <c r="G61" i="118"/>
  <c r="F61" i="118"/>
  <c r="E61" i="118"/>
  <c r="R60" i="118"/>
  <c r="Q60" i="118"/>
  <c r="P60" i="118"/>
  <c r="O60" i="118"/>
  <c r="N60" i="118"/>
  <c r="M60" i="118"/>
  <c r="L60" i="118"/>
  <c r="K60" i="118"/>
  <c r="J60" i="118"/>
  <c r="I60" i="118"/>
  <c r="H60" i="118"/>
  <c r="G60" i="118"/>
  <c r="F60" i="118"/>
  <c r="E60" i="118"/>
  <c r="R59" i="118"/>
  <c r="Q59" i="118"/>
  <c r="P59" i="118"/>
  <c r="O59" i="118"/>
  <c r="N59" i="118"/>
  <c r="M59" i="118"/>
  <c r="L59" i="118"/>
  <c r="K59" i="118"/>
  <c r="J59" i="118"/>
  <c r="I59" i="118"/>
  <c r="H59" i="118"/>
  <c r="G59" i="118"/>
  <c r="F59" i="118"/>
  <c r="E59" i="118"/>
  <c r="R58" i="118"/>
  <c r="Q58" i="118"/>
  <c r="P58" i="118"/>
  <c r="O58" i="118"/>
  <c r="N58" i="118"/>
  <c r="M58" i="118"/>
  <c r="L58" i="118"/>
  <c r="K58" i="118"/>
  <c r="J58" i="118"/>
  <c r="I58" i="118"/>
  <c r="H58" i="118"/>
  <c r="G58" i="118"/>
  <c r="F58" i="118"/>
  <c r="E58" i="118"/>
  <c r="R57" i="118"/>
  <c r="Q57" i="118"/>
  <c r="P57" i="118"/>
  <c r="O57" i="118"/>
  <c r="N57" i="118"/>
  <c r="M57" i="118"/>
  <c r="L57" i="118"/>
  <c r="K57" i="118"/>
  <c r="J57" i="118"/>
  <c r="I57" i="118"/>
  <c r="H57" i="118"/>
  <c r="G57" i="118"/>
  <c r="F57" i="118"/>
  <c r="E57" i="118"/>
  <c r="R56" i="118"/>
  <c r="Q56" i="118"/>
  <c r="P56" i="118"/>
  <c r="O56" i="118"/>
  <c r="N56" i="118"/>
  <c r="M56" i="118"/>
  <c r="L56" i="118"/>
  <c r="K56" i="118"/>
  <c r="J56" i="118"/>
  <c r="I56" i="118"/>
  <c r="H56" i="118"/>
  <c r="G56" i="118"/>
  <c r="F56" i="118"/>
  <c r="E56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R34" i="118"/>
  <c r="Q34" i="118"/>
  <c r="P34" i="118"/>
  <c r="O34" i="118"/>
  <c r="N34" i="118"/>
  <c r="M34" i="118"/>
  <c r="L34" i="118"/>
  <c r="K34" i="118"/>
  <c r="J34" i="118"/>
  <c r="I34" i="118"/>
  <c r="H34" i="118"/>
  <c r="G34" i="118"/>
  <c r="F34" i="118"/>
  <c r="E34" i="118"/>
  <c r="R33" i="118"/>
  <c r="Q33" i="118"/>
  <c r="P33" i="118"/>
  <c r="O33" i="118"/>
  <c r="N33" i="118"/>
  <c r="M33" i="118"/>
  <c r="L33" i="118"/>
  <c r="K33" i="118"/>
  <c r="J33" i="118"/>
  <c r="I33" i="118"/>
  <c r="H33" i="118"/>
  <c r="G33" i="118"/>
  <c r="F33" i="118"/>
  <c r="E33" i="118"/>
  <c r="R32" i="118"/>
  <c r="Q32" i="118"/>
  <c r="P32" i="118"/>
  <c r="O32" i="118"/>
  <c r="N32" i="118"/>
  <c r="M32" i="118"/>
  <c r="L32" i="118"/>
  <c r="K32" i="118"/>
  <c r="J32" i="118"/>
  <c r="I32" i="118"/>
  <c r="H32" i="118"/>
  <c r="G32" i="118"/>
  <c r="F32" i="118"/>
  <c r="E32" i="118"/>
  <c r="R31" i="118"/>
  <c r="Q31" i="118"/>
  <c r="P31" i="118"/>
  <c r="O31" i="118"/>
  <c r="N31" i="118"/>
  <c r="M31" i="118"/>
  <c r="L31" i="118"/>
  <c r="K31" i="118"/>
  <c r="J31" i="118"/>
  <c r="I31" i="118"/>
  <c r="H31" i="118"/>
  <c r="G31" i="118"/>
  <c r="F31" i="118"/>
  <c r="E31" i="118"/>
  <c r="R30" i="118"/>
  <c r="Q30" i="118"/>
  <c r="P30" i="118"/>
  <c r="O30" i="118"/>
  <c r="N30" i="118"/>
  <c r="M30" i="118"/>
  <c r="L30" i="118"/>
  <c r="K30" i="118"/>
  <c r="J30" i="118"/>
  <c r="I30" i="118"/>
  <c r="H30" i="118"/>
  <c r="G30" i="118"/>
  <c r="F30" i="118"/>
  <c r="E30" i="118"/>
  <c r="R29" i="118"/>
  <c r="Q29" i="118"/>
  <c r="P29" i="118"/>
  <c r="O29" i="118"/>
  <c r="N29" i="118"/>
  <c r="M29" i="118"/>
  <c r="L29" i="118"/>
  <c r="K29" i="118"/>
  <c r="J29" i="118"/>
  <c r="I29" i="118"/>
  <c r="H29" i="118"/>
  <c r="G29" i="118"/>
  <c r="F29" i="118"/>
  <c r="E29" i="118"/>
  <c r="R28" i="118"/>
  <c r="Q28" i="118"/>
  <c r="P28" i="118"/>
  <c r="O28" i="118"/>
  <c r="N28" i="118"/>
  <c r="M28" i="118"/>
  <c r="L28" i="118"/>
  <c r="K28" i="118"/>
  <c r="J28" i="118"/>
  <c r="I28" i="118"/>
  <c r="H28" i="118"/>
  <c r="G28" i="118"/>
  <c r="F28" i="118"/>
  <c r="E28" i="118"/>
  <c r="R27" i="118"/>
  <c r="Q27" i="118"/>
  <c r="P27" i="118"/>
  <c r="O27" i="118"/>
  <c r="N27" i="118"/>
  <c r="M27" i="118"/>
  <c r="L27" i="118"/>
  <c r="K27" i="118"/>
  <c r="J27" i="118"/>
  <c r="I27" i="118"/>
  <c r="H27" i="118"/>
  <c r="G27" i="118"/>
  <c r="F27" i="118"/>
  <c r="E27" i="118"/>
  <c r="R26" i="118"/>
  <c r="Q26" i="118"/>
  <c r="P26" i="118"/>
  <c r="O26" i="118"/>
  <c r="N26" i="118"/>
  <c r="M26" i="118"/>
  <c r="L26" i="118"/>
  <c r="K26" i="118"/>
  <c r="J26" i="118"/>
  <c r="I26" i="118"/>
  <c r="H26" i="118"/>
  <c r="G26" i="118"/>
  <c r="F26" i="118"/>
  <c r="E26" i="118"/>
  <c r="R25" i="118"/>
  <c r="Q25" i="118"/>
  <c r="P25" i="118"/>
  <c r="O25" i="118"/>
  <c r="N25" i="118"/>
  <c r="M25" i="118"/>
  <c r="L25" i="118"/>
  <c r="K25" i="118"/>
  <c r="J25" i="118"/>
  <c r="I25" i="118"/>
  <c r="H25" i="118"/>
  <c r="G25" i="118"/>
  <c r="F25" i="118"/>
  <c r="E25" i="118"/>
  <c r="R24" i="118"/>
  <c r="Q24" i="118"/>
  <c r="P24" i="118"/>
  <c r="O24" i="118"/>
  <c r="N24" i="118"/>
  <c r="M24" i="118"/>
  <c r="L24" i="118"/>
  <c r="K24" i="118"/>
  <c r="J24" i="118"/>
  <c r="I24" i="118"/>
  <c r="H24" i="118"/>
  <c r="G24" i="118"/>
  <c r="F24" i="118"/>
  <c r="E24" i="118"/>
  <c r="R23" i="118"/>
  <c r="Q23" i="118"/>
  <c r="P23" i="118"/>
  <c r="O23" i="118"/>
  <c r="N23" i="118"/>
  <c r="M23" i="118"/>
  <c r="L23" i="118"/>
  <c r="K23" i="118"/>
  <c r="J23" i="118"/>
  <c r="I23" i="118"/>
  <c r="H23" i="118"/>
  <c r="G23" i="118"/>
  <c r="F23" i="118"/>
  <c r="E23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R21" i="118"/>
  <c r="Q21" i="118"/>
  <c r="P21" i="118"/>
  <c r="O21" i="118"/>
  <c r="N21" i="118"/>
  <c r="M21" i="118"/>
  <c r="L21" i="118"/>
  <c r="K21" i="118"/>
  <c r="J21" i="118"/>
  <c r="I21" i="118"/>
  <c r="H21" i="118"/>
  <c r="G21" i="118"/>
  <c r="F21" i="118"/>
  <c r="E21" i="118"/>
  <c r="R20" i="118"/>
  <c r="Q20" i="118"/>
  <c r="P20" i="118"/>
  <c r="O20" i="118"/>
  <c r="N20" i="118"/>
  <c r="M20" i="118"/>
  <c r="L20" i="118"/>
  <c r="K20" i="118"/>
  <c r="J20" i="118"/>
  <c r="I20" i="118"/>
  <c r="H20" i="118"/>
  <c r="G20" i="118"/>
  <c r="F20" i="118"/>
  <c r="E20" i="118"/>
  <c r="R19" i="118"/>
  <c r="Q19" i="118"/>
  <c r="P19" i="118"/>
  <c r="O19" i="118"/>
  <c r="N19" i="118"/>
  <c r="M19" i="118"/>
  <c r="L19" i="118"/>
  <c r="K19" i="118"/>
  <c r="J19" i="118"/>
  <c r="I19" i="118"/>
  <c r="H19" i="118"/>
  <c r="G19" i="118"/>
  <c r="F19" i="118"/>
  <c r="E19" i="118"/>
  <c r="R18" i="118"/>
  <c r="Q18" i="118"/>
  <c r="P18" i="118"/>
  <c r="O18" i="118"/>
  <c r="N18" i="118"/>
  <c r="M18" i="118"/>
  <c r="L18" i="118"/>
  <c r="K18" i="118"/>
  <c r="J18" i="118"/>
  <c r="I18" i="118"/>
  <c r="H18" i="118"/>
  <c r="G18" i="118"/>
  <c r="F18" i="118"/>
  <c r="E18" i="118"/>
  <c r="R17" i="118"/>
  <c r="Q17" i="118"/>
  <c r="P17" i="118"/>
  <c r="O17" i="118"/>
  <c r="N17" i="118"/>
  <c r="M17" i="118"/>
  <c r="L17" i="118"/>
  <c r="K17" i="118"/>
  <c r="J17" i="118"/>
  <c r="I17" i="118"/>
  <c r="H17" i="118"/>
  <c r="G17" i="118"/>
  <c r="F17" i="118"/>
  <c r="E17" i="118"/>
  <c r="R16" i="118"/>
  <c r="Q16" i="118"/>
  <c r="P16" i="118"/>
  <c r="O16" i="118"/>
  <c r="N16" i="118"/>
  <c r="M16" i="118"/>
  <c r="L16" i="118"/>
  <c r="K16" i="118"/>
  <c r="J16" i="118"/>
  <c r="I16" i="118"/>
  <c r="H16" i="118"/>
  <c r="G16" i="118"/>
  <c r="F16" i="118"/>
  <c r="E16" i="118"/>
  <c r="R15" i="118"/>
  <c r="Q15" i="118"/>
  <c r="P15" i="118"/>
  <c r="O15" i="118"/>
  <c r="N15" i="118"/>
  <c r="M15" i="118"/>
  <c r="L15" i="118"/>
  <c r="K15" i="118"/>
  <c r="J15" i="118"/>
  <c r="I15" i="118"/>
  <c r="H15" i="118"/>
  <c r="G15" i="118"/>
  <c r="F15" i="118"/>
  <c r="E15" i="118"/>
  <c r="R14" i="118"/>
  <c r="Q14" i="118"/>
  <c r="P14" i="118"/>
  <c r="O14" i="118"/>
  <c r="N14" i="118"/>
  <c r="M14" i="118"/>
  <c r="L14" i="118"/>
  <c r="K14" i="118"/>
  <c r="J14" i="118"/>
  <c r="I14" i="118"/>
  <c r="H14" i="118"/>
  <c r="G14" i="118"/>
  <c r="F14" i="118"/>
  <c r="E14" i="118"/>
  <c r="R12" i="118"/>
  <c r="Q12" i="118"/>
  <c r="P12" i="118"/>
  <c r="O12" i="118"/>
  <c r="N12" i="118"/>
  <c r="M12" i="118"/>
  <c r="L12" i="118"/>
  <c r="K12" i="118"/>
  <c r="J12" i="118"/>
  <c r="I12" i="118"/>
  <c r="H12" i="118"/>
  <c r="G12" i="118"/>
  <c r="F12" i="118"/>
  <c r="E12" i="118"/>
  <c r="N13" i="118" l="1"/>
  <c r="N11" i="118" s="1"/>
  <c r="D99" i="118"/>
  <c r="D111" i="118"/>
  <c r="D15" i="118"/>
  <c r="M13" i="118"/>
  <c r="M11" i="118" s="1"/>
  <c r="D22" i="118"/>
  <c r="D75" i="118"/>
  <c r="D135" i="118"/>
  <c r="D155" i="118"/>
  <c r="D63" i="118"/>
  <c r="D132" i="118"/>
  <c r="D51" i="118"/>
  <c r="D39" i="118"/>
  <c r="D27" i="118"/>
  <c r="D147" i="118"/>
  <c r="D144" i="118"/>
  <c r="Q13" i="118"/>
  <c r="Q11" i="118" s="1"/>
  <c r="D17" i="118"/>
  <c r="D46" i="118"/>
  <c r="D128" i="118"/>
  <c r="F13" i="118"/>
  <c r="F11" i="118" s="1"/>
  <c r="R13" i="118"/>
  <c r="R11" i="118" s="1"/>
  <c r="J13" i="118"/>
  <c r="J11" i="118" s="1"/>
  <c r="D29" i="118"/>
  <c r="D58" i="118"/>
  <c r="D70" i="118"/>
  <c r="D123" i="118"/>
  <c r="D126" i="118"/>
  <c r="D140" i="118"/>
  <c r="D150" i="118"/>
  <c r="D87" i="118"/>
  <c r="D24" i="118"/>
  <c r="D41" i="118"/>
  <c r="D78" i="118"/>
  <c r="D82" i="118"/>
  <c r="D94" i="118"/>
  <c r="D152" i="118"/>
  <c r="D12" i="118"/>
  <c r="D45" i="118"/>
  <c r="D53" i="118"/>
  <c r="D65" i="118"/>
  <c r="D106" i="118"/>
  <c r="D34" i="118"/>
  <c r="K13" i="118"/>
  <c r="K11" i="118" s="1"/>
  <c r="O13" i="118"/>
  <c r="O11" i="118" s="1"/>
  <c r="G13" i="118"/>
  <c r="G11" i="118" s="1"/>
  <c r="D48" i="118"/>
  <c r="D69" i="118"/>
  <c r="D77" i="118"/>
  <c r="D89" i="118"/>
  <c r="D118" i="118"/>
  <c r="D130" i="118"/>
  <c r="D32" i="118"/>
  <c r="D36" i="118"/>
  <c r="D60" i="118"/>
  <c r="D72" i="118"/>
  <c r="D101" i="118"/>
  <c r="D136" i="118"/>
  <c r="D142" i="118"/>
  <c r="D84" i="118"/>
  <c r="D96" i="118"/>
  <c r="D113" i="118"/>
  <c r="D125" i="118"/>
  <c r="D148" i="118"/>
  <c r="D154" i="118"/>
  <c r="P13" i="118"/>
  <c r="P11" i="118" s="1"/>
  <c r="D108" i="118"/>
  <c r="D117" i="118"/>
  <c r="D120" i="118"/>
  <c r="D131" i="118"/>
  <c r="D137" i="118"/>
  <c r="H13" i="118"/>
  <c r="H11" i="118" s="1"/>
  <c r="L13" i="118"/>
  <c r="L11" i="118" s="1"/>
  <c r="I13" i="118"/>
  <c r="I11" i="118" s="1"/>
  <c r="D143" i="118"/>
  <c r="D149" i="118"/>
  <c r="D20" i="118"/>
  <c r="D44" i="118"/>
  <c r="D56" i="118"/>
  <c r="D68" i="118"/>
  <c r="D80" i="118"/>
  <c r="D92" i="118"/>
  <c r="D104" i="118"/>
  <c r="D116" i="118"/>
  <c r="D25" i="118"/>
  <c r="D37" i="118"/>
  <c r="D49" i="118"/>
  <c r="D61" i="118"/>
  <c r="D73" i="118"/>
  <c r="D85" i="118"/>
  <c r="D97" i="118"/>
  <c r="D109" i="118"/>
  <c r="D121" i="118"/>
  <c r="D133" i="118"/>
  <c r="D145" i="118"/>
  <c r="E13" i="118"/>
  <c r="D18" i="118"/>
  <c r="D30" i="118"/>
  <c r="D42" i="118"/>
  <c r="D54" i="118"/>
  <c r="D66" i="118"/>
  <c r="D90" i="118"/>
  <c r="D102" i="118"/>
  <c r="D114" i="118"/>
  <c r="D138" i="118"/>
  <c r="D23" i="118"/>
  <c r="D35" i="118"/>
  <c r="D47" i="118"/>
  <c r="D59" i="118"/>
  <c r="D71" i="118"/>
  <c r="D83" i="118"/>
  <c r="D95" i="118"/>
  <c r="D107" i="118"/>
  <c r="D119" i="118"/>
  <c r="D16" i="118"/>
  <c r="D28" i="118"/>
  <c r="D40" i="118"/>
  <c r="D52" i="118"/>
  <c r="D64" i="118"/>
  <c r="D76" i="118"/>
  <c r="D88" i="118"/>
  <c r="D100" i="118"/>
  <c r="D112" i="118"/>
  <c r="D124" i="118"/>
  <c r="D21" i="118"/>
  <c r="D33" i="118"/>
  <c r="D57" i="118"/>
  <c r="D81" i="118"/>
  <c r="D93" i="118"/>
  <c r="D105" i="118"/>
  <c r="D129" i="118"/>
  <c r="D141" i="118"/>
  <c r="D153" i="118"/>
  <c r="D14" i="118"/>
  <c r="D26" i="118"/>
  <c r="D38" i="118"/>
  <c r="D50" i="118"/>
  <c r="D62" i="118"/>
  <c r="D74" i="118"/>
  <c r="D86" i="118"/>
  <c r="D98" i="118"/>
  <c r="D110" i="118"/>
  <c r="D122" i="118"/>
  <c r="D134" i="118"/>
  <c r="D146" i="118"/>
  <c r="D19" i="118"/>
  <c r="D31" i="118"/>
  <c r="D43" i="118"/>
  <c r="D55" i="118"/>
  <c r="D67" i="118"/>
  <c r="D79" i="118"/>
  <c r="D91" i="118"/>
  <c r="D103" i="118"/>
  <c r="D115" i="118"/>
  <c r="D127" i="118"/>
  <c r="D139" i="118"/>
  <c r="D151" i="118"/>
  <c r="S8" i="118" l="1"/>
  <c r="D13" i="118"/>
  <c r="D11" i="118" s="1"/>
  <c r="E11" i="118"/>
  <c r="S21" i="118" l="1"/>
  <c r="S80" i="118"/>
  <c r="S25" i="118"/>
  <c r="S126" i="118"/>
  <c r="S142" i="118"/>
  <c r="S130" i="118"/>
  <c r="S104" i="118"/>
  <c r="S54" i="118"/>
  <c r="S62" i="118"/>
  <c r="S154" i="118"/>
  <c r="S79" i="118"/>
  <c r="S75" i="118"/>
  <c r="S93" i="118"/>
  <c r="S135" i="118"/>
  <c r="S136" i="118"/>
  <c r="S145" i="118"/>
  <c r="S40" i="118"/>
  <c r="S112" i="118"/>
  <c r="S35" i="118"/>
  <c r="S27" i="118"/>
  <c r="S64" i="118"/>
  <c r="S61" i="118"/>
  <c r="S99" i="118"/>
  <c r="S120" i="118"/>
  <c r="S24" i="118"/>
  <c r="S121" i="118"/>
  <c r="S47" i="118"/>
  <c r="S28" i="118"/>
  <c r="S111" i="118"/>
  <c r="S70" i="118"/>
  <c r="S87" i="118"/>
  <c r="S147" i="118"/>
  <c r="S148" i="118"/>
  <c r="S146" i="118"/>
  <c r="S150" i="118"/>
  <c r="S88" i="118"/>
  <c r="S26" i="118"/>
  <c r="S123" i="118"/>
  <c r="S41" i="118"/>
  <c r="S20" i="118"/>
  <c r="S17" i="118"/>
  <c r="S55" i="118"/>
  <c r="S66" i="118"/>
  <c r="S144" i="118"/>
  <c r="S108" i="118"/>
  <c r="S23" i="118"/>
  <c r="S30" i="118"/>
  <c r="S45" i="118"/>
  <c r="S100" i="118"/>
  <c r="S113" i="118"/>
  <c r="S68" i="118"/>
  <c r="S22" i="118"/>
  <c r="S63" i="118"/>
  <c r="S67" i="118"/>
  <c r="S128" i="118"/>
  <c r="S48" i="118"/>
  <c r="S76" i="118"/>
  <c r="S95" i="118"/>
  <c r="S57" i="118"/>
  <c r="S153" i="118"/>
  <c r="S19" i="118"/>
  <c r="S82" i="118"/>
  <c r="S73" i="118"/>
  <c r="S56" i="118"/>
  <c r="S140" i="118"/>
  <c r="S132" i="118"/>
  <c r="S50" i="118"/>
  <c r="S83" i="118"/>
  <c r="S119" i="118"/>
  <c r="S116" i="118"/>
  <c r="S38" i="118"/>
  <c r="S31" i="118"/>
  <c r="S97" i="118"/>
  <c r="S106" i="118"/>
  <c r="S53" i="118"/>
  <c r="S152" i="118"/>
  <c r="S115" i="118"/>
  <c r="S127" i="118"/>
  <c r="S90" i="118"/>
  <c r="S149" i="118"/>
  <c r="S117" i="118"/>
  <c r="S86" i="118"/>
  <c r="S65" i="118"/>
  <c r="S49" i="118"/>
  <c r="S102" i="118"/>
  <c r="S125" i="118"/>
  <c r="S60" i="118"/>
  <c r="S139" i="118"/>
  <c r="S151" i="118"/>
  <c r="S114" i="118"/>
  <c r="S138" i="118"/>
  <c r="S71" i="118"/>
  <c r="S69" i="118"/>
  <c r="S58" i="118"/>
  <c r="S74" i="118"/>
  <c r="S29" i="118"/>
  <c r="S36" i="118"/>
  <c r="S105" i="118"/>
  <c r="S18" i="118"/>
  <c r="S109" i="118"/>
  <c r="S89" i="118"/>
  <c r="S124" i="118"/>
  <c r="S52" i="118"/>
  <c r="S92" i="118"/>
  <c r="S122" i="118"/>
  <c r="S34" i="118"/>
  <c r="S15" i="118"/>
  <c r="S84" i="118"/>
  <c r="S131" i="118"/>
  <c r="S134" i="118"/>
  <c r="S91" i="118"/>
  <c r="S46" i="118"/>
  <c r="S39" i="118"/>
  <c r="S32" i="118"/>
  <c r="S129" i="118"/>
  <c r="S42" i="118"/>
  <c r="S78" i="118"/>
  <c r="S59" i="118"/>
  <c r="S98" i="118"/>
  <c r="S96" i="118"/>
  <c r="S143" i="118"/>
  <c r="S107" i="118"/>
  <c r="S133" i="118"/>
  <c r="S118" i="118"/>
  <c r="S51" i="118"/>
  <c r="S85" i="118"/>
  <c r="S141" i="118"/>
  <c r="S33" i="118"/>
  <c r="S103" i="118"/>
  <c r="S137" i="118"/>
  <c r="S110" i="118"/>
  <c r="S72" i="118"/>
  <c r="S155" i="118"/>
  <c r="S44" i="118"/>
  <c r="S14" i="118"/>
  <c r="S16" i="118"/>
  <c r="S81" i="118"/>
  <c r="S101" i="118"/>
  <c r="S37" i="118"/>
  <c r="S77" i="118"/>
  <c r="S94" i="118"/>
  <c r="S43" i="118"/>
  <c r="S13" i="118" l="1"/>
  <c r="F144" i="61" l="1"/>
  <c r="G144" i="61"/>
  <c r="H144" i="61"/>
  <c r="I144" i="61"/>
  <c r="J144" i="61"/>
  <c r="K144" i="61"/>
  <c r="L144" i="61"/>
  <c r="E144" i="61"/>
  <c r="S27" i="35" l="1"/>
  <c r="S26" i="35"/>
  <c r="D145" i="21" l="1"/>
  <c r="D113" i="21"/>
  <c r="D112" i="21"/>
  <c r="D111" i="21"/>
  <c r="D109" i="21"/>
  <c r="D108" i="21"/>
  <c r="D106" i="21"/>
  <c r="D105" i="21"/>
  <c r="D104" i="21"/>
  <c r="D103" i="21"/>
  <c r="D102" i="21"/>
  <c r="D101" i="21"/>
  <c r="D100" i="21"/>
  <c r="D99" i="21"/>
  <c r="D60" i="21"/>
  <c r="D59" i="21"/>
  <c r="D57" i="21"/>
  <c r="D56" i="21"/>
  <c r="D55" i="21"/>
  <c r="D54" i="21"/>
  <c r="D53" i="21"/>
  <c r="D52" i="21"/>
  <c r="D50" i="21"/>
  <c r="D49" i="21"/>
  <c r="D48" i="21"/>
  <c r="D47" i="21"/>
  <c r="D46" i="21"/>
  <c r="D45" i="21"/>
  <c r="D44" i="21"/>
  <c r="D43" i="21"/>
  <c r="D41" i="21"/>
  <c r="D36" i="21"/>
  <c r="D35" i="21"/>
  <c r="D31" i="21"/>
  <c r="D27" i="21"/>
  <c r="D26" i="21"/>
  <c r="D25" i="21"/>
  <c r="D24" i="21"/>
  <c r="D21" i="21"/>
  <c r="D19" i="21"/>
  <c r="D18" i="21"/>
  <c r="D16" i="21"/>
  <c r="D15" i="21"/>
  <c r="D14" i="21"/>
  <c r="D13" i="21"/>
  <c r="D12" i="21"/>
  <c r="D11" i="21"/>
  <c r="I9" i="21"/>
  <c r="I6" i="21" s="1"/>
  <c r="H9" i="21"/>
  <c r="H6" i="21" s="1"/>
  <c r="G9" i="21"/>
  <c r="G6" i="21" s="1"/>
  <c r="F9" i="21"/>
  <c r="F6" i="21" s="1"/>
  <c r="E9" i="21"/>
  <c r="E6" i="21" s="1"/>
  <c r="D9" i="21" l="1"/>
  <c r="D6" i="21" s="1"/>
  <c r="M10" i="61" l="1"/>
  <c r="L146" i="61" l="1"/>
  <c r="G146" i="61"/>
  <c r="I146" i="61"/>
  <c r="J146" i="61"/>
  <c r="M145" i="61"/>
  <c r="E146" i="61" l="1"/>
  <c r="K146" i="61"/>
  <c r="M144" i="61" l="1"/>
  <c r="M146" i="61" s="1"/>
  <c r="F146" i="61"/>
  <c r="H146" i="61"/>
  <c r="O6" i="35" l="1"/>
  <c r="L143" i="62" l="1"/>
  <c r="L145" i="62" s="1"/>
  <c r="D135" i="62" l="1"/>
  <c r="S8" i="35" l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7" i="35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R6" i="35" l="1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J23" i="35"/>
  <c r="L23" i="35" s="1"/>
  <c r="J22" i="35"/>
  <c r="L22" i="35" s="1"/>
  <c r="L6" i="35" l="1"/>
  <c r="J6" i="35"/>
  <c r="S6" i="35"/>
  <c r="C8" i="27" l="1"/>
  <c r="B8" i="27"/>
  <c r="D7" i="27"/>
  <c r="D6" i="27"/>
  <c r="D5" i="27"/>
  <c r="D8" i="27" l="1"/>
</calcChain>
</file>

<file path=xl/sharedStrings.xml><?xml version="1.0" encoding="utf-8"?>
<sst xmlns="http://schemas.openxmlformats.org/spreadsheetml/2006/main" count="6063" uniqueCount="826">
  <si>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</si>
  <si>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</si>
  <si>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</si>
  <si>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</si>
  <si>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</si>
  <si>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</si>
  <si>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</si>
  <si>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</si>
  <si>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</si>
  <si>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</si>
  <si>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</si>
  <si>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</si>
  <si>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</si>
  <si>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</si>
  <si>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</si>
  <si>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</si>
  <si>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</si>
  <si>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</si>
  <si>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</si>
  <si>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</si>
  <si>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</si>
  <si>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</si>
  <si>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</si>
  <si>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</si>
  <si>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</si>
  <si>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</si>
  <si>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</si>
  <si>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</si>
  <si>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</si>
  <si>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</si>
  <si>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</si>
  <si>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</si>
  <si>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</si>
  <si>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</si>
  <si>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</si>
  <si>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</si>
  <si>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</si>
  <si>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</si>
  <si>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</si>
  <si>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</si>
  <si>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</si>
  <si>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</si>
  <si>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</si>
  <si>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</si>
  <si>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</si>
  <si>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</si>
  <si>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</si>
  <si>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</si>
  <si>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</si>
  <si>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</si>
  <si>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</si>
  <si>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</si>
  <si>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</si>
  <si>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</si>
  <si>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</si>
  <si>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</si>
  <si>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</si>
  <si>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</si>
  <si>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</si>
  <si>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</si>
  <si>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</si>
  <si>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</si>
  <si>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</si>
  <si>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</si>
  <si>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</si>
  <si>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</si>
  <si>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</si>
  <si>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</si>
  <si>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</si>
  <si>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</si>
  <si>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</si>
  <si>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</si>
  <si>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</si>
  <si>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</si>
  <si>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</si>
  <si>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</si>
  <si>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</si>
  <si>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</si>
  <si>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</si>
  <si>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</si>
  <si>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</si>
  <si>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</si>
  <si>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</si>
  <si>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</si>
  <si>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</si>
  <si>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</si>
  <si>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</si>
  <si>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</si>
  <si>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</si>
  <si>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</si>
  <si>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</si>
  <si>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</si>
  <si>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</si>
  <si>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</si>
  <si>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</si>
  <si>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</si>
  <si>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</si>
  <si>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</si>
  <si>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</si>
  <si>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</si>
  <si>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</si>
  <si>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</si>
  <si>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</si>
  <si>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</si>
  <si>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</si>
  <si>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</si>
  <si>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</si>
  <si>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</si>
  <si>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</si>
  <si>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</si>
  <si>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</si>
  <si>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</si>
  <si>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</si>
  <si>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</si>
  <si>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</si>
  <si>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</si>
  <si>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</si>
  <si>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</si>
  <si>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</si>
  <si>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</si>
  <si>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</si>
  <si>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</si>
  <si>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</si>
  <si>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</si>
  <si>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</si>
  <si>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</si>
  <si>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</si>
  <si>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</si>
  <si>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</si>
  <si>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</si>
  <si>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</si>
  <si>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</si>
  <si>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</si>
  <si>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</si>
  <si>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</si>
  <si>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</si>
  <si>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</si>
  <si>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</si>
  <si>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</si>
  <si>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</si>
  <si>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</si>
  <si>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</si>
  <si>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</si>
  <si>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</si>
  <si>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</si>
  <si>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</si>
  <si>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</si>
  <si>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</si>
  <si>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</si>
  <si>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</si>
  <si>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</si>
  <si>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</si>
  <si>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</si>
  <si>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</si>
  <si>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</si>
  <si>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</si>
  <si>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</si>
  <si>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</si>
  <si>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</si>
  <si>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</si>
  <si>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</si>
  <si>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</si>
  <si>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</si>
  <si>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</si>
  <si>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</si>
  <si>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</si>
  <si>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</si>
  <si>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</si>
  <si>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</si>
  <si>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</si>
  <si>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</si>
  <si>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</si>
  <si>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</si>
  <si>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</si>
  <si>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</si>
  <si>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</si>
  <si>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</si>
  <si>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</si>
  <si>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</si>
  <si>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</si>
  <si>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</si>
  <si>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</si>
  <si>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</si>
  <si>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</si>
  <si>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</si>
  <si>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</si>
  <si>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</si>
  <si>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</si>
  <si>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</si>
  <si>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</si>
  <si>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</si>
  <si>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</si>
  <si>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</si>
  <si>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</si>
  <si>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</si>
  <si>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</si>
  <si>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</si>
  <si>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</si>
  <si>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</si>
  <si>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</si>
  <si>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</si>
  <si>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</si>
  <si>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</si>
  <si>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</si>
  <si>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</si>
  <si>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</si>
  <si>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</si>
  <si>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</si>
  <si>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</si>
  <si>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</si>
  <si>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</si>
  <si>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</si>
  <si>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</si>
  <si>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</si>
  <si>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</si>
  <si>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</si>
  <si>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</si>
  <si>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</si>
  <si>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</si>
  <si>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</si>
  <si>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</si>
  <si>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</si>
  <si>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</si>
  <si>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</si>
  <si>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</si>
  <si>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</si>
  <si>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</si>
  <si>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</si>
  <si>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</si>
  <si>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</si>
  <si>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</si>
  <si>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</si>
  <si>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</si>
  <si>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</si>
  <si>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</si>
  <si>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</si>
  <si>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</si>
  <si>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</si>
  <si>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</si>
  <si>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</si>
  <si>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</si>
  <si>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</si>
  <si>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</si>
  <si>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</si>
  <si>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</si>
  <si>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</si>
  <si>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</si>
  <si>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</si>
  <si>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</si>
  <si>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</si>
  <si>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</si>
  <si>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</si>
  <si>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</si>
  <si>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</si>
  <si>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</si>
  <si>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</si>
  <si>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</si>
  <si>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</si>
  <si>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</si>
  <si>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</si>
  <si>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</si>
  <si>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</si>
  <si>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</si>
  <si>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</si>
  <si>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</si>
  <si>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</si>
  <si>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</si>
  <si>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</si>
  <si>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</si>
  <si>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</si>
  <si>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</si>
  <si>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</si>
  <si>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</si>
  <si>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</si>
  <si>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</si>
  <si>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</si>
  <si>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</si>
  <si>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</si>
  <si>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</si>
  <si>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</si>
  <si>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</si>
  <si>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</si>
  <si>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</si>
  <si>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</si>
  <si>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</si>
  <si>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</si>
  <si>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</si>
  <si>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</si>
  <si>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</si>
  <si>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</si>
  <si>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</si>
  <si>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</si>
  <si>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</si>
  <si>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</si>
  <si>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</si>
  <si>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</si>
  <si>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</si>
  <si>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</si>
  <si>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</si>
  <si>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</si>
  <si>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</si>
  <si>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</si>
  <si>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</si>
  <si>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</si>
  <si>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</si>
  <si>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</si>
  <si>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</si>
  <si>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</si>
  <si>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</si>
  <si>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</si>
  <si>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</si>
  <si>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</si>
  <si>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</si>
  <si>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</si>
  <si>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</si>
  <si>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</si>
  <si>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</si>
  <si>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</si>
  <si>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</si>
  <si>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</si>
  <si>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</si>
  <si>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</si>
  <si>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</si>
  <si>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</si>
  <si>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</si>
  <si>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</si>
  <si>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</si>
  <si>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</si>
  <si>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</si>
  <si>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</si>
  <si>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</si>
  <si>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</si>
  <si>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</si>
  <si>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</si>
  <si>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</si>
  <si>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</si>
  <si>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</si>
  <si>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</si>
  <si>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</si>
  <si>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</si>
  <si>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</si>
  <si>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</si>
  <si>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</si>
  <si>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</si>
  <si>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</si>
  <si>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</si>
  <si>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</si>
  <si>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</si>
  <si>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</si>
  <si>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</si>
  <si>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</si>
  <si>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</si>
  <si>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</si>
  <si>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</si>
  <si>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</si>
  <si>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</si>
  <si>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</si>
  <si>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</si>
  <si>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</si>
  <si>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</si>
  <si>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</si>
  <si>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</si>
  <si>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</si>
  <si>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</si>
  <si>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</si>
  <si>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</si>
  <si>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</si>
  <si>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</si>
  <si>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</si>
  <si>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</si>
  <si>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</si>
  <si>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</si>
  <si>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</si>
  <si>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</si>
  <si>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</si>
  <si>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</si>
  <si>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</si>
  <si>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</si>
  <si>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</si>
  <si>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</si>
  <si>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</si>
  <si>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</si>
  <si>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</si>
  <si>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</si>
  <si>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</si>
  <si>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</si>
  <si>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</si>
  <si>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</si>
  <si>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</si>
  <si>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</si>
  <si>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</si>
  <si>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</si>
  <si>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</si>
  <si>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</si>
  <si>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</si>
  <si>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</si>
  <si>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</si>
  <si>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</si>
  <si>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</si>
  <si>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</si>
  <si>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</si>
  <si>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</si>
  <si>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</si>
  <si>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</si>
  <si>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</si>
  <si>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</si>
  <si>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</si>
  <si>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</si>
  <si>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</si>
  <si>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</si>
  <si>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</si>
  <si>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</si>
  <si>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</si>
  <si>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</si>
  <si>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</si>
  <si>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</si>
  <si>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</si>
  <si>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</si>
  <si>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</si>
  <si>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</si>
  <si>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</si>
  <si>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</si>
  <si>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</si>
  <si>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</si>
  <si>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</si>
  <si>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</si>
  <si>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</si>
  <si>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</si>
  <si>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</si>
  <si>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</si>
  <si>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</si>
  <si>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</si>
  <si>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</si>
  <si>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</si>
  <si>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</si>
  <si>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</si>
  <si>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</si>
  <si>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</si>
  <si>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</si>
  <si>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</si>
  <si>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</si>
  <si>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</si>
  <si>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</si>
  <si>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</si>
  <si>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</si>
  <si>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</si>
  <si>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</si>
  <si>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</si>
  <si>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</si>
  <si>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</si>
  <si>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</si>
  <si>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</si>
  <si>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</si>
  <si>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</si>
  <si>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</si>
  <si>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</si>
  <si>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</si>
  <si>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</si>
  <si>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</si>
  <si>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</si>
  <si>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</si>
  <si>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</si>
  <si>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</si>
  <si>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</si>
  <si>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</si>
  <si>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</si>
  <si>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</si>
  <si>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</si>
  <si>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</si>
  <si>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</si>
  <si>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</si>
  <si>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</si>
  <si>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</si>
  <si>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</si>
  <si>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</si>
  <si>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</si>
  <si>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</si>
  <si>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</si>
  <si>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</si>
  <si>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</si>
  <si>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</si>
  <si>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</si>
  <si>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</si>
  <si>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</si>
  <si>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</si>
  <si>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</si>
  <si>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</si>
  <si>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</si>
  <si>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</si>
  <si>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</si>
  <si>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</si>
  <si>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</si>
  <si>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</si>
  <si>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</si>
  <si>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</si>
  <si>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</si>
  <si>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</si>
  <si>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</si>
  <si>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</si>
  <si>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</si>
  <si>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</si>
  <si>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</si>
  <si>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</si>
  <si>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</si>
  <si>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</si>
  <si>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</si>
  <si>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</si>
  <si>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</si>
  <si>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</si>
  <si>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</si>
  <si>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</si>
  <si>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</si>
  <si>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</si>
  <si>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</si>
  <si>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</si>
  <si>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</si>
  <si>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</si>
  <si>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</si>
  <si>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</si>
  <si>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</si>
  <si>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</si>
  <si>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</si>
  <si>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</si>
  <si>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</si>
  <si>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</si>
  <si>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</si>
  <si>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</si>
  <si>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</si>
  <si>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</si>
  <si>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</si>
  <si>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</si>
  <si>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</si>
  <si>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</si>
  <si>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</si>
  <si>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</si>
  <si>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</si>
  <si>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</si>
  <si>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</si>
  <si>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</si>
  <si>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</si>
  <si>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</si>
  <si>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</si>
  <si>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</si>
  <si>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</si>
  <si>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</si>
  <si>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</si>
  <si>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</si>
  <si>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</si>
  <si>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</si>
  <si>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</si>
  <si>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</si>
  <si>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</si>
  <si>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</si>
  <si>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</si>
  <si>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</si>
  <si>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</si>
  <si>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</si>
  <si>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</si>
  <si>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</si>
  <si>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</si>
  <si>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</si>
  <si>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</si>
  <si>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</si>
  <si>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</si>
  <si>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</si>
  <si>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</si>
  <si>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</si>
  <si>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</si>
  <si>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</si>
  <si>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</si>
  <si>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</si>
  <si>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</si>
  <si>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</si>
  <si>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</si>
  <si>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</si>
  <si>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</si>
  <si>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</si>
  <si>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</si>
  <si>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</si>
  <si>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</si>
  <si>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</si>
  <si>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</si>
  <si>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</si>
  <si>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</si>
  <si>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</si>
  <si>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</si>
  <si>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</si>
  <si>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</si>
  <si>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</si>
  <si>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</si>
  <si>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</si>
  <si>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</si>
  <si>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</si>
  <si>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</si>
  <si>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</si>
  <si>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</si>
  <si>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</si>
  <si>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</si>
  <si>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</si>
  <si>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</si>
  <si>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</si>
  <si>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</si>
  <si>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</si>
  <si>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</si>
  <si>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</si>
  <si>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</si>
  <si>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</si>
  <si>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</si>
  <si>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</si>
  <si>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</si>
  <si>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</si>
  <si>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</si>
  <si>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</si>
  <si>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</si>
  <si>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</si>
  <si>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</si>
  <si>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</si>
  <si>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</si>
  <si>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</si>
  <si>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</si>
  <si>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</si>
  <si>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</si>
  <si>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</si>
  <si>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</si>
  <si>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</si>
  <si>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</si>
  <si>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</si>
  <si>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</si>
  <si>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</si>
  <si>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</si>
  <si>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</si>
  <si>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</si>
  <si>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</si>
  <si>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</si>
  <si>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</si>
  <si>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</si>
  <si>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</si>
  <si>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</si>
  <si>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</si>
  <si>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</si>
  <si>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</si>
  <si>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</si>
  <si>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</si>
  <si>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</si>
  <si>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</si>
  <si>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</si>
  <si>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</si>
  <si>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</si>
  <si>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</si>
  <si>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</si>
  <si>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</si>
  <si>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</si>
  <si>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</si>
  <si>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</si>
  <si>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</si>
  <si>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</si>
  <si>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</si>
  <si>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</si>
  <si>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</si>
  <si>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</si>
  <si>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</si>
  <si>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</si>
  <si>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</si>
  <si>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</si>
  <si>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</si>
  <si>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</si>
  <si>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</si>
  <si>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</si>
  <si>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</si>
  <si>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</si>
  <si>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</si>
  <si>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</si>
  <si>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</si>
  <si>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</si>
  <si>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</si>
  <si>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</si>
  <si>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</si>
  <si>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</si>
  <si>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</si>
  <si>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</si>
  <si>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</si>
  <si>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</si>
  <si>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</si>
  <si>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</si>
  <si>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</si>
  <si>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</si>
  <si>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</si>
  <si>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</si>
  <si>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</si>
  <si>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</si>
  <si>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</si>
  <si>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</si>
  <si>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</si>
  <si>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</si>
  <si>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</si>
  <si>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</si>
  <si>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</si>
  <si>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</si>
  <si>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</si>
  <si>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</si>
  <si>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</si>
  <si>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</si>
  <si>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</si>
  <si>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</si>
  <si>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</si>
  <si>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</si>
  <si>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</si>
  <si>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</si>
  <si>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</si>
  <si>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</si>
  <si>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</si>
  <si>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</si>
  <si>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</si>
  <si>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</si>
  <si>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</si>
  <si>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</si>
  <si>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</si>
  <si>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</si>
  <si>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</si>
  <si>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</si>
  <si>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</si>
  <si>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</si>
  <si>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</si>
  <si>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</si>
  <si>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</si>
  <si>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</si>
  <si>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</si>
  <si>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</si>
  <si>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</si>
  <si>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</si>
  <si>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</si>
  <si>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</si>
  <si>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</si>
  <si>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</si>
  <si>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</si>
  <si>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</si>
  <si>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</si>
  <si>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</si>
  <si>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</si>
  <si>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</si>
  <si>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</si>
  <si>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</si>
  <si>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</si>
  <si>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</si>
  <si>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</si>
  <si>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</si>
  <si>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</si>
  <si>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</si>
  <si>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</si>
  <si>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</si>
  <si>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</si>
  <si>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</si>
  <si>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</si>
  <si>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</si>
  <si>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</si>
  <si>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</si>
  <si>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</si>
  <si>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</si>
  <si>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</si>
  <si>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</si>
  <si>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</si>
  <si>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для пациентов урологического/гинекологического профиля</t>
  </si>
  <si>
    <t>ГБУЗ РБ ГКПЦ г. Уфа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</si>
  <si>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</si>
  <si>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</si>
  <si>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</si>
  <si>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</si>
  <si>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</si>
  <si>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</si>
  <si>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</si>
  <si>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</si>
  <si>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</si>
  <si>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</si>
  <si>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</si>
  <si>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</si>
  <si>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</si>
  <si>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</si>
  <si>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</si>
  <si>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</si>
  <si>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</si>
  <si>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</si>
  <si>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</si>
  <si>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</si>
  <si>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</si>
  <si>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</si>
  <si>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</si>
  <si>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</si>
  <si>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</si>
  <si>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</si>
  <si>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</si>
  <si>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</si>
  <si>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</si>
  <si>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</si>
  <si>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</si>
  <si>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</si>
  <si>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</si>
  <si>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</si>
  <si>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</si>
  <si>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</si>
  <si>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</si>
  <si>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020051</t>
  </si>
  <si>
    <t>АНМО "Уфимский хоспис"</t>
  </si>
  <si>
    <t>*ГБУЗ РКНД Минздрава РБ (консультативные посещения и комплексные обращения)</t>
  </si>
  <si>
    <t>Объемы паллиативной медицинской помощи на 2023 год.</t>
  </si>
  <si>
    <t>Всего период с 01.01.2023 по 31.12.2023</t>
  </si>
  <si>
    <t xml:space="preserve"> с 01.01.2023 по 28.02.2023</t>
  </si>
  <si>
    <t xml:space="preserve"> с 01.03.2023 по 30.06.2023</t>
  </si>
  <si>
    <t xml:space="preserve"> с 01.07.2023 по 31.12.2023</t>
  </si>
  <si>
    <t>(кол-во койко-дней)</t>
  </si>
  <si>
    <t>сцинтиграфия динамическая</t>
  </si>
  <si>
    <t>Однофотонная эмиссионная компьютерная томография (ОФЭКТ)</t>
  </si>
  <si>
    <t>Объемы комплексных посещений  в части ведения школ для больных  сахарным диабетом на 2023 год</t>
  </si>
  <si>
    <t>Комплексные посещения в части ведения школ для больных  сахарным диабетом</t>
  </si>
  <si>
    <t>Исследование уровня хлоридов в поте</t>
  </si>
  <si>
    <t>КСГ (за исключением КСГ с онкологическими заболеваниями,COVID-19, родоразрешение, кесарево сечение )</t>
  </si>
  <si>
    <t>Объемы комплексных посещений  в части ведения школ для больных с сахарным диабетом</t>
  </si>
  <si>
    <t>ГБУЗ РБ РД № 3 г.Уфа</t>
  </si>
  <si>
    <t>Всего по БП</t>
  </si>
  <si>
    <t xml:space="preserve">ПГГ 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</si>
  <si>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</si>
  <si>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 xml:space="preserve">ГБУЗ РБ Миякинская ЦРБ </t>
  </si>
  <si>
    <t>Определение РНК коронавируса  ТОРС (SARS-CоV-2) и вирусов гриппа (типы А, В, подтип А/H1N1pdm09)  в мазках со слизистой оболочки носоглотки методом ПЦР</t>
  </si>
  <si>
    <t xml:space="preserve">Приложение 1 к Протоколу </t>
  </si>
  <si>
    <t>заседания Комиссии по разработке</t>
  </si>
  <si>
    <t>территориальной программы ОМС в РБ</t>
  </si>
  <si>
    <t xml:space="preserve">   от 12.01.2024 № 1-24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</si>
</sst>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#,##0.0"/>
    <numFmt numFmtId="172" formatCode="#,##0.000"/>
  </numFmts>
  <fonts count="1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6"/>
      <name val="Times New Roman"/>
      <family val="1"/>
      <charset val="204"/>
    </font>
    <font>
      <sz val="7"/>
      <name val="Times New Roman"/>
      <family val="1"/>
      <charset val="204"/>
    </font>
    <font>
      <sz val="12"/>
      <name val="Times New Roman Cyr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1454">
    <xf numFmtId="0" fontId="0" fillId="0" borderId="0"/>
    <xf numFmtId="0" fontId="42" fillId="0" borderId="0"/>
    <xf numFmtId="0" fontId="42" fillId="0" borderId="0"/>
    <xf numFmtId="0" fontId="60" fillId="0" borderId="0"/>
    <xf numFmtId="0" fontId="62" fillId="0" borderId="0"/>
    <xf numFmtId="0" fontId="64" fillId="28" borderId="0" applyNumberFormat="0" applyBorder="0" applyAlignment="0" applyProtection="0"/>
    <xf numFmtId="0" fontId="64" fillId="29" borderId="0"/>
    <xf numFmtId="0" fontId="64" fillId="28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/>
    <xf numFmtId="0" fontId="64" fillId="30" borderId="0" applyNumberFormat="0" applyBorder="0" applyAlignment="0" applyProtection="0"/>
    <xf numFmtId="0" fontId="64" fillId="32" borderId="0" applyNumberFormat="0" applyBorder="0" applyAlignment="0" applyProtection="0"/>
    <xf numFmtId="0" fontId="64" fillId="33" borderId="0"/>
    <xf numFmtId="0" fontId="64" fillId="32" borderId="0" applyNumberFormat="0" applyBorder="0" applyAlignment="0" applyProtection="0"/>
    <xf numFmtId="0" fontId="64" fillId="34" borderId="0" applyNumberFormat="0" applyBorder="0" applyAlignment="0" applyProtection="0"/>
    <xf numFmtId="0" fontId="64" fillId="35" borderId="0"/>
    <xf numFmtId="0" fontId="64" fillId="34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/>
    <xf numFmtId="0" fontId="64" fillId="36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/>
    <xf numFmtId="0" fontId="64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64" fillId="4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64" fillId="29" borderId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64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64" fillId="3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64" fillId="31" borderId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64" fillId="30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64" fillId="41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64" fillId="33" borderId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64" fillId="3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64" fillId="40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64" fillId="35" borderId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64" fillId="34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64" fillId="3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64" fillId="37" borderId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64" fillId="36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4" fillId="3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4" fillId="39" borderId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4" fillId="3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/>
    <xf numFmtId="0" fontId="64" fillId="42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/>
    <xf numFmtId="0" fontId="64" fillId="44" borderId="0" applyNumberFormat="0" applyBorder="0" applyAlignment="0" applyProtection="0"/>
    <xf numFmtId="0" fontId="64" fillId="46" borderId="0" applyNumberFormat="0" applyBorder="0" applyAlignment="0" applyProtection="0"/>
    <xf numFmtId="0" fontId="64" fillId="47" borderId="0"/>
    <xf numFmtId="0" fontId="64" fillId="46" borderId="0" applyNumberFormat="0" applyBorder="0" applyAlignment="0" applyProtection="0"/>
    <xf numFmtId="0" fontId="64" fillId="34" borderId="0" applyNumberFormat="0" applyBorder="0" applyAlignment="0" applyProtection="0"/>
    <xf numFmtId="0" fontId="64" fillId="35" borderId="0"/>
    <xf numFmtId="0" fontId="64" fillId="34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/>
    <xf numFmtId="0" fontId="64" fillId="42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/>
    <xf numFmtId="0" fontId="64" fillId="48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64" fillId="50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64" fillId="43" borderId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64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7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4" fillId="44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4" fillId="45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4" fillId="44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4" fillId="51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4" fillId="47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4" fillId="46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4" fillId="5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4" fillId="35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4" fillId="3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4" fillId="4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4" fillId="43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4" fillId="4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4" fillId="38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4" fillId="49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4" fillId="48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5" fillId="52" borderId="0" applyNumberFormat="0" applyBorder="0" applyAlignment="0" applyProtection="0"/>
    <xf numFmtId="0" fontId="65" fillId="53" borderId="0"/>
    <xf numFmtId="0" fontId="65" fillId="44" borderId="0" applyNumberFormat="0" applyBorder="0" applyAlignment="0" applyProtection="0"/>
    <xf numFmtId="0" fontId="65" fillId="45" borderId="0"/>
    <xf numFmtId="0" fontId="65" fillId="46" borderId="0" applyNumberFormat="0" applyBorder="0" applyAlignment="0" applyProtection="0"/>
    <xf numFmtId="0" fontId="65" fillId="47" borderId="0"/>
    <xf numFmtId="0" fontId="65" fillId="54" borderId="0" applyNumberFormat="0" applyBorder="0" applyAlignment="0" applyProtection="0"/>
    <xf numFmtId="0" fontId="65" fillId="55" borderId="0"/>
    <xf numFmtId="0" fontId="65" fillId="56" borderId="0" applyNumberFormat="0" applyBorder="0" applyAlignment="0" applyProtection="0"/>
    <xf numFmtId="0" fontId="65" fillId="57" borderId="0"/>
    <xf numFmtId="0" fontId="65" fillId="58" borderId="0" applyNumberFormat="0" applyBorder="0" applyAlignment="0" applyProtection="0"/>
    <xf numFmtId="0" fontId="65" fillId="59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49" fillId="7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5" fillId="56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5" fillId="53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49" fillId="11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5" fillId="44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5" fillId="45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49" fillId="1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5" fillId="51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5" fillId="47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49" fillId="19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5" fillId="5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5" fillId="55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49" fillId="23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65" fillId="56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65" fillId="57" borderId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49" fillId="27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65" fillId="38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65" fillId="59" borderId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65" fillId="60" borderId="0" applyNumberFormat="0" applyBorder="0" applyAlignment="0" applyProtection="0"/>
    <xf numFmtId="0" fontId="65" fillId="61" borderId="0"/>
    <xf numFmtId="0" fontId="65" fillId="62" borderId="0" applyNumberFormat="0" applyBorder="0" applyAlignment="0" applyProtection="0"/>
    <xf numFmtId="0" fontId="65" fillId="63" borderId="0"/>
    <xf numFmtId="0" fontId="65" fillId="64" borderId="0" applyNumberFormat="0" applyBorder="0" applyAlignment="0" applyProtection="0"/>
    <xf numFmtId="0" fontId="65" fillId="65" borderId="0"/>
    <xf numFmtId="0" fontId="65" fillId="54" borderId="0" applyNumberFormat="0" applyBorder="0" applyAlignment="0" applyProtection="0"/>
    <xf numFmtId="0" fontId="65" fillId="55" borderId="0"/>
    <xf numFmtId="0" fontId="65" fillId="56" borderId="0" applyNumberFormat="0" applyBorder="0" applyAlignment="0" applyProtection="0"/>
    <xf numFmtId="0" fontId="65" fillId="57" borderId="0"/>
    <xf numFmtId="0" fontId="65" fillId="66" borderId="0" applyNumberFormat="0" applyBorder="0" applyAlignment="0" applyProtection="0"/>
    <xf numFmtId="0" fontId="65" fillId="67" borderId="0"/>
    <xf numFmtId="0" fontId="66" fillId="30" borderId="0" applyNumberFormat="0" applyBorder="0" applyAlignment="0" applyProtection="0"/>
    <xf numFmtId="0" fontId="66" fillId="31" borderId="0"/>
    <xf numFmtId="0" fontId="67" fillId="50" borderId="16" applyNumberFormat="0" applyAlignment="0" applyProtection="0"/>
    <xf numFmtId="0" fontId="67" fillId="68" borderId="16"/>
    <xf numFmtId="0" fontId="68" fillId="69" borderId="17" applyNumberFormat="0" applyAlignment="0" applyProtection="0"/>
    <xf numFmtId="0" fontId="68" fillId="70" borderId="0"/>
    <xf numFmtId="0" fontId="69" fillId="0" borderId="0"/>
    <xf numFmtId="164" fontId="70" fillId="0" borderId="0"/>
    <xf numFmtId="165" fontId="70" fillId="0" borderId="0" applyBorder="0" applyProtection="0"/>
    <xf numFmtId="164" fontId="70" fillId="0" borderId="0" applyBorder="0" applyProtection="0"/>
    <xf numFmtId="164" fontId="70" fillId="0" borderId="0"/>
    <xf numFmtId="0" fontId="71" fillId="0" borderId="0"/>
    <xf numFmtId="0" fontId="71" fillId="0" borderId="0"/>
    <xf numFmtId="0" fontId="72" fillId="0" borderId="0" applyNumberFormat="0" applyFill="0" applyBorder="0" applyAlignment="0" applyProtection="0"/>
    <xf numFmtId="0" fontId="72" fillId="0" borderId="0"/>
    <xf numFmtId="0" fontId="73" fillId="32" borderId="0" applyNumberFormat="0" applyBorder="0" applyAlignment="0" applyProtection="0"/>
    <xf numFmtId="0" fontId="73" fillId="33" borderId="0"/>
    <xf numFmtId="0" fontId="74" fillId="0" borderId="0" applyNumberFormat="0" applyBorder="0" applyProtection="0">
      <alignment horizontal="center"/>
    </xf>
    <xf numFmtId="0" fontId="75" fillId="0" borderId="18" applyNumberFormat="0" applyFill="0" applyAlignment="0" applyProtection="0"/>
    <xf numFmtId="0" fontId="75" fillId="0" borderId="18"/>
    <xf numFmtId="0" fontId="76" fillId="0" borderId="19" applyNumberFormat="0" applyFill="0" applyAlignment="0" applyProtection="0"/>
    <xf numFmtId="0" fontId="76" fillId="0" borderId="19"/>
    <xf numFmtId="0" fontId="77" fillId="0" borderId="20" applyNumberFormat="0" applyFill="0" applyAlignment="0" applyProtection="0"/>
    <xf numFmtId="0" fontId="77" fillId="0" borderId="20"/>
    <xf numFmtId="0" fontId="77" fillId="0" borderId="0" applyNumberFormat="0" applyFill="0" applyBorder="0" applyAlignment="0" applyProtection="0"/>
    <xf numFmtId="0" fontId="77" fillId="0" borderId="0"/>
    <xf numFmtId="0" fontId="74" fillId="0" borderId="0" applyNumberFormat="0" applyBorder="0" applyProtection="0">
      <alignment horizontal="center" textRotation="90"/>
    </xf>
    <xf numFmtId="0" fontId="78" fillId="38" borderId="16" applyNumberFormat="0" applyAlignment="0" applyProtection="0"/>
    <xf numFmtId="0" fontId="78" fillId="39" borderId="16"/>
    <xf numFmtId="0" fontId="79" fillId="0" borderId="21" applyNumberFormat="0" applyFill="0" applyAlignment="0" applyProtection="0"/>
    <xf numFmtId="0" fontId="79" fillId="0" borderId="0"/>
    <xf numFmtId="0" fontId="80" fillId="51" borderId="0" applyNumberFormat="0" applyBorder="0" applyAlignment="0" applyProtection="0"/>
    <xf numFmtId="0" fontId="80" fillId="71" borderId="0"/>
    <xf numFmtId="0" fontId="81" fillId="0" borderId="0"/>
    <xf numFmtId="0" fontId="62" fillId="41" borderId="22" applyNumberFormat="0" applyFont="0" applyAlignment="0" applyProtection="0"/>
    <xf numFmtId="0" fontId="69" fillId="72" borderId="22"/>
    <xf numFmtId="0" fontId="82" fillId="50" borderId="23" applyNumberFormat="0" applyAlignment="0" applyProtection="0"/>
    <xf numFmtId="0" fontId="82" fillId="68" borderId="23"/>
    <xf numFmtId="0" fontId="83" fillId="0" borderId="0" applyNumberFormat="0" applyBorder="0" applyProtection="0"/>
    <xf numFmtId="166" fontId="83" fillId="0" borderId="0" applyBorder="0" applyProtection="0"/>
    <xf numFmtId="0" fontId="84" fillId="0" borderId="0" applyNumberFormat="0" applyFill="0" applyBorder="0" applyAlignment="0" applyProtection="0"/>
    <xf numFmtId="0" fontId="84" fillId="0" borderId="0"/>
    <xf numFmtId="0" fontId="85" fillId="0" borderId="24" applyNumberFormat="0" applyFill="0" applyAlignment="0" applyProtection="0"/>
    <xf numFmtId="0" fontId="85" fillId="0" borderId="25"/>
    <xf numFmtId="0" fontId="86" fillId="0" borderId="0" applyNumberFormat="0" applyFill="0" applyBorder="0" applyAlignment="0" applyProtection="0"/>
    <xf numFmtId="0" fontId="86" fillId="0" borderId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49" fillId="4" borderId="0" applyNumberFormat="0" applyBorder="0" applyAlignment="0" applyProtection="0"/>
    <xf numFmtId="0" fontId="65" fillId="60" borderId="0" applyNumberFormat="0" applyBorder="0" applyAlignment="0" applyProtection="0"/>
    <xf numFmtId="0" fontId="65" fillId="60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65" fillId="56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65" fillId="61" borderId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49" fillId="8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65" fillId="62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65" fillId="63" borderId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49" fillId="12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5" fillId="64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5" fillId="65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49" fillId="16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65" fillId="73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65" fillId="55" borderId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49" fillId="20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5" fillId="5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5" fillId="57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49" fillId="24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65" fillId="66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65" fillId="67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46" fillId="2" borderId="4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78" fillId="38" borderId="16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78" fillId="38" borderId="16" applyNumberFormat="0" applyAlignment="0" applyProtection="0"/>
    <xf numFmtId="0" fontId="78" fillId="38" borderId="16" applyNumberFormat="0" applyAlignment="0" applyProtection="0"/>
    <xf numFmtId="0" fontId="78" fillId="39" borderId="16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6" fillId="2" borderId="4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47" fillId="3" borderId="5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82" fillId="40" borderId="23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82" fillId="50" borderId="23" applyNumberFormat="0" applyAlignment="0" applyProtection="0"/>
    <xf numFmtId="0" fontId="82" fillId="50" borderId="23" applyNumberFormat="0" applyAlignment="0" applyProtection="0"/>
    <xf numFmtId="0" fontId="82" fillId="68" borderId="23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7" fillId="3" borderId="5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48" fillId="3" borderId="4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67" fillId="40" borderId="16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67" fillId="50" borderId="16" applyNumberFormat="0" applyAlignment="0" applyProtection="0"/>
    <xf numFmtId="0" fontId="67" fillId="50" borderId="16" applyNumberFormat="0" applyAlignment="0" applyProtection="0"/>
    <xf numFmtId="0" fontId="67" fillId="68" borderId="16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48" fillId="3" borderId="4" applyNumberFormat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44" fillId="0" borderId="1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89" fillId="0" borderId="26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75" fillId="0" borderId="18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45" fillId="0" borderId="2" applyNumberFormat="0" applyFill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0" fillId="0" borderId="19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76" fillId="0" borderId="19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2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91" fillId="0" borderId="3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77" fillId="0" borderId="20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2" fillId="0" borderId="27" applyNumberFormat="0" applyFill="0" applyAlignment="0" applyProtection="0"/>
    <xf numFmtId="0" fontId="77" fillId="0" borderId="2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7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2" fillId="0" borderId="0" applyNumberFormat="0" applyFill="0" applyBorder="0" applyAlignment="0" applyProtection="0"/>
    <xf numFmtId="0" fontId="77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62" fillId="0" borderId="0" applyNumberFormat="0" applyFon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93" fillId="0" borderId="9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85" fillId="0" borderId="24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85" fillId="0" borderId="28" applyNumberFormat="0" applyFill="0" applyAlignment="0" applyProtection="0"/>
    <xf numFmtId="0" fontId="85" fillId="0" borderId="25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3" fillId="0" borderId="9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94" fillId="0" borderId="7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8" fillId="69" borderId="17" applyNumberFormat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68" fillId="69" borderId="17" applyNumberFormat="0" applyAlignment="0" applyProtection="0"/>
    <xf numFmtId="0" fontId="68" fillId="70" borderId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95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4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97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80" fillId="51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0" fillId="51" borderId="0" applyNumberFormat="0" applyBorder="0" applyAlignment="0" applyProtection="0"/>
    <xf numFmtId="0" fontId="80" fillId="71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60" fillId="0" borderId="0"/>
    <xf numFmtId="0" fontId="103" fillId="0" borderId="0"/>
    <xf numFmtId="0" fontId="10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60" fillId="0" borderId="0"/>
    <xf numFmtId="0" fontId="105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10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98" fillId="0" borderId="0"/>
    <xf numFmtId="0" fontId="42" fillId="0" borderId="0"/>
    <xf numFmtId="0" fontId="42" fillId="0" borderId="0"/>
    <xf numFmtId="0" fontId="10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60" fillId="0" borderId="0"/>
    <xf numFmtId="0" fontId="60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60" fillId="0" borderId="0"/>
    <xf numFmtId="0" fontId="4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43" fillId="0" borderId="0"/>
    <xf numFmtId="0" fontId="43" fillId="0" borderId="0"/>
    <xf numFmtId="0" fontId="98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106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10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10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64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93" fillId="0" borderId="0"/>
    <xf numFmtId="0" fontId="60" fillId="0" borderId="0"/>
    <xf numFmtId="0" fontId="60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8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43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0" borderId="0"/>
    <xf numFmtId="0" fontId="105" fillId="0" borderId="0"/>
    <xf numFmtId="0" fontId="42" fillId="0" borderId="0"/>
    <xf numFmtId="0" fontId="98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43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8" fillId="0" borderId="0"/>
    <xf numFmtId="0" fontId="60" fillId="0" borderId="0"/>
    <xf numFmtId="0" fontId="42" fillId="0" borderId="0"/>
    <xf numFmtId="0" fontId="42" fillId="0" borderId="0"/>
    <xf numFmtId="0" fontId="42" fillId="0" borderId="0"/>
    <xf numFmtId="0" fontId="60" fillId="0" borderId="0"/>
    <xf numFmtId="0" fontId="43" fillId="0" borderId="0"/>
    <xf numFmtId="0" fontId="60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6" fillId="30" borderId="0" applyNumberFormat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6" fillId="30" borderId="0" applyNumberFormat="0" applyBorder="0" applyAlignment="0" applyProtection="0"/>
    <xf numFmtId="0" fontId="66" fillId="31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109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41" borderId="22" applyNumberFormat="0" applyFont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41" borderId="22" applyNumberFormat="0" applyFont="0" applyAlignment="0" applyProtection="0"/>
    <xf numFmtId="0" fontId="60" fillId="41" borderId="22" applyNumberFormat="0" applyFont="0" applyAlignment="0" applyProtection="0"/>
    <xf numFmtId="0" fontId="98" fillId="41" borderId="22" applyNumberFormat="0" applyFont="0" applyAlignment="0" applyProtection="0"/>
    <xf numFmtId="0" fontId="62" fillId="41" borderId="22" applyNumberFormat="0" applyFont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0" fontId="62" fillId="0" borderId="8" applyNumberFormat="0" applyFont="0" applyFill="0" applyAlignment="0" applyProtection="0"/>
    <xf numFmtId="9" fontId="4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ill="0" applyBorder="0" applyAlignment="0" applyProtection="0"/>
    <xf numFmtId="9" fontId="9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110" fillId="0" borderId="6" applyNumberFormat="0" applyFill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79" fillId="0" borderId="21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79" fillId="0" borderId="21" applyNumberFormat="0" applyFill="0" applyAlignment="0" applyProtection="0"/>
    <xf numFmtId="0" fontId="79" fillId="0" borderId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0" fillId="0" borderId="6" applyNumberFormat="0" applyFill="0" applyAlignment="0" applyProtection="0"/>
    <xf numFmtId="0" fontId="111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112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7" fontId="43" fillId="0" borderId="0" applyFont="0" applyFill="0" applyBorder="0" applyAlignment="0" applyProtection="0"/>
    <xf numFmtId="43" fontId="105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6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93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0" fillId="0" borderId="0" applyFont="0" applyFill="0" applyBorder="0" applyAlignment="0" applyProtection="0"/>
    <xf numFmtId="165" fontId="106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0" fillId="0" borderId="0" applyFont="0" applyFill="0" applyBorder="0" applyAlignment="0" applyProtection="0"/>
    <xf numFmtId="165" fontId="106" fillId="0" borderId="0"/>
    <xf numFmtId="168" fontId="113" fillId="0" borderId="0"/>
    <xf numFmtId="167" fontId="64" fillId="0" borderId="0" applyFont="0" applyFill="0" applyBorder="0" applyAlignment="0" applyProtection="0"/>
    <xf numFmtId="165" fontId="106" fillId="0" borderId="0"/>
    <xf numFmtId="165" fontId="106" fillId="0" borderId="0" applyFill="0" applyBorder="0" applyAlignment="0" applyProtection="0"/>
    <xf numFmtId="165" fontId="106" fillId="0" borderId="0" applyFill="0" applyBorder="0" applyAlignment="0" applyProtection="0"/>
    <xf numFmtId="165" fontId="106" fillId="0" borderId="0"/>
    <xf numFmtId="169" fontId="98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62" fillId="0" borderId="0" applyNumberFormat="0" applyFont="0" applyFill="0" applyBorder="0" applyAlignment="0" applyProtection="0"/>
    <xf numFmtId="0" fontId="73" fillId="32" borderId="0" applyNumberFormat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73" fillId="32" borderId="0" applyNumberFormat="0" applyBorder="0" applyAlignment="0" applyProtection="0"/>
    <xf numFmtId="0" fontId="73" fillId="33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128" fillId="0" borderId="0" applyNumberFormat="0" applyFill="0" applyBorder="0" applyAlignment="0" applyProtection="0"/>
    <xf numFmtId="0" fontId="64" fillId="0" borderId="0" applyFill="0" applyProtection="0"/>
    <xf numFmtId="0" fontId="40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0" fontId="37" fillId="0" borderId="0"/>
    <xf numFmtId="0" fontId="43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60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79">
    <xf numFmtId="0" fontId="0" fillId="0" borderId="0" xfId="0"/>
    <xf numFmtId="0" fontId="59" fillId="0" borderId="11" xfId="3" applyFont="1" applyFill="1" applyBorder="1" applyAlignment="1">
      <alignment horizontal="left" vertical="center" wrapText="1"/>
    </xf>
    <xf numFmtId="49" fontId="51" fillId="0" borderId="11" xfId="0" applyNumberFormat="1" applyFont="1" applyFill="1" applyBorder="1" applyAlignment="1">
      <alignment horizontal="center" vertical="center"/>
    </xf>
    <xf numFmtId="0" fontId="63" fillId="0" borderId="11" xfId="3" applyFont="1" applyFill="1" applyBorder="1" applyAlignment="1">
      <alignment horizontal="left" vertical="center" wrapText="1"/>
    </xf>
    <xf numFmtId="0" fontId="63" fillId="0" borderId="0" xfId="0" applyFont="1" applyFill="1"/>
    <xf numFmtId="0" fontId="121" fillId="0" borderId="0" xfId="0" applyFont="1" applyFill="1" applyAlignment="1">
      <alignment vertical="center"/>
    </xf>
    <xf numFmtId="0" fontId="115" fillId="0" borderId="0" xfId="0" applyFont="1" applyFill="1" applyAlignment="1">
      <alignment horizontal="center" wrapText="1"/>
    </xf>
    <xf numFmtId="0" fontId="63" fillId="0" borderId="0" xfId="0" applyFont="1" applyFill="1" applyAlignment="1">
      <alignment horizontal="justify" vertical="center"/>
    </xf>
    <xf numFmtId="0" fontId="115" fillId="0" borderId="10" xfId="0" applyFont="1" applyFill="1" applyBorder="1" applyAlignment="1">
      <alignment horizontal="center" wrapText="1"/>
    </xf>
    <xf numFmtId="0" fontId="122" fillId="0" borderId="10" xfId="0" applyFont="1" applyFill="1" applyBorder="1" applyAlignment="1">
      <alignment horizontal="right" wrapText="1"/>
    </xf>
    <xf numFmtId="0" fontId="51" fillId="0" borderId="0" xfId="0" applyFont="1" applyFill="1"/>
    <xf numFmtId="0" fontId="51" fillId="0" borderId="0" xfId="0" applyFont="1" applyFill="1" applyBorder="1" applyAlignment="1">
      <alignment horizontal="center"/>
    </xf>
    <xf numFmtId="0" fontId="123" fillId="0" borderId="11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54" fillId="0" borderId="30" xfId="0" applyFont="1" applyFill="1" applyBorder="1" applyAlignment="1">
      <alignment horizontal="center" vertical="center" wrapText="1"/>
    </xf>
    <xf numFmtId="0" fontId="54" fillId="0" borderId="14" xfId="0" applyFont="1" applyFill="1" applyBorder="1" applyAlignment="1">
      <alignment horizontal="center" vertical="center" wrapText="1"/>
    </xf>
    <xf numFmtId="0" fontId="55" fillId="0" borderId="0" xfId="0" applyFont="1" applyFill="1"/>
    <xf numFmtId="3" fontId="55" fillId="0" borderId="0" xfId="0" applyNumberFormat="1" applyFont="1" applyFill="1"/>
    <xf numFmtId="0" fontId="124" fillId="0" borderId="11" xfId="0" applyFont="1" applyFill="1" applyBorder="1" applyAlignment="1">
      <alignment horizontal="center" vertical="center"/>
    </xf>
    <xf numFmtId="3" fontId="123" fillId="0" borderId="11" xfId="0" applyNumberFormat="1" applyFont="1" applyFill="1" applyBorder="1" applyAlignment="1">
      <alignment horizontal="center" vertical="center" wrapText="1"/>
    </xf>
    <xf numFmtId="3" fontId="63" fillId="0" borderId="0" xfId="0" applyNumberFormat="1" applyFont="1" applyFill="1"/>
    <xf numFmtId="49" fontId="122" fillId="0" borderId="11" xfId="3" applyNumberFormat="1" applyFont="1" applyFill="1" applyBorder="1" applyAlignment="1">
      <alignment horizontal="center" vertical="center"/>
    </xf>
    <xf numFmtId="0" fontId="124" fillId="0" borderId="11" xfId="3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horizontal="center" vertical="center"/>
    </xf>
    <xf numFmtId="3" fontId="126" fillId="0" borderId="14" xfId="0" applyNumberFormat="1" applyFont="1" applyFill="1" applyBorder="1" applyAlignment="1">
      <alignment horizontal="center" vertical="center" wrapText="1"/>
    </xf>
    <xf numFmtId="0" fontId="119" fillId="0" borderId="11" xfId="3" applyFont="1" applyFill="1" applyBorder="1" applyAlignment="1">
      <alignment horizontal="left" vertical="center" wrapText="1"/>
    </xf>
    <xf numFmtId="49" fontId="51" fillId="74" borderId="11" xfId="3" applyNumberFormat="1" applyFont="1" applyFill="1" applyBorder="1" applyAlignment="1">
      <alignment horizontal="center" vertical="center" wrapText="1"/>
    </xf>
    <xf numFmtId="0" fontId="61" fillId="74" borderId="11" xfId="3" applyFont="1" applyFill="1" applyBorder="1" applyAlignment="1">
      <alignment horizontal="left" vertical="center" wrapText="1"/>
    </xf>
    <xf numFmtId="0" fontId="51" fillId="74" borderId="11" xfId="3" applyFont="1" applyFill="1" applyBorder="1" applyAlignment="1">
      <alignment horizontal="center" vertical="center" wrapText="1"/>
    </xf>
    <xf numFmtId="49" fontId="51" fillId="74" borderId="11" xfId="3" applyNumberFormat="1" applyFont="1" applyFill="1" applyBorder="1" applyAlignment="1">
      <alignment horizontal="center" vertical="center"/>
    </xf>
    <xf numFmtId="0" fontId="51" fillId="74" borderId="11" xfId="3" applyFont="1" applyFill="1" applyBorder="1" applyAlignment="1">
      <alignment horizontal="left" vertical="center" wrapText="1"/>
    </xf>
    <xf numFmtId="0" fontId="59" fillId="74" borderId="0" xfId="58585" applyFont="1" applyFill="1" applyAlignment="1">
      <alignment horizontal="left" vertical="center"/>
    </xf>
    <xf numFmtId="0" fontId="59" fillId="0" borderId="11" xfId="58921" applyFont="1" applyFill="1" applyBorder="1" applyAlignment="1">
      <alignment horizontal="left" vertical="center" wrapText="1"/>
    </xf>
    <xf numFmtId="0" fontId="53" fillId="0" borderId="11" xfId="58921" applyFont="1" applyFill="1" applyBorder="1" applyAlignment="1">
      <alignment horizontal="left" vertical="center" wrapText="1"/>
    </xf>
    <xf numFmtId="3" fontId="53" fillId="0" borderId="11" xfId="58921" applyNumberFormat="1" applyFont="1" applyFill="1" applyBorder="1" applyAlignment="1">
      <alignment horizontal="center" vertical="center"/>
    </xf>
    <xf numFmtId="3" fontId="119" fillId="0" borderId="11" xfId="0" applyNumberFormat="1" applyFont="1" applyFill="1" applyBorder="1" applyAlignment="1">
      <alignment horizontal="left" vertical="center" wrapText="1"/>
    </xf>
    <xf numFmtId="170" fontId="53" fillId="0" borderId="11" xfId="58921" applyNumberFormat="1" applyFont="1" applyFill="1" applyBorder="1" applyAlignment="1">
      <alignment horizontal="center" vertical="center"/>
    </xf>
    <xf numFmtId="3" fontId="53" fillId="0" borderId="11" xfId="0" applyNumberFormat="1" applyFont="1" applyFill="1" applyBorder="1" applyAlignment="1">
      <alignment horizontal="left" vertical="center" wrapText="1"/>
    </xf>
    <xf numFmtId="3" fontId="53" fillId="0" borderId="29" xfId="58921" applyNumberFormat="1" applyFont="1" applyFill="1" applyBorder="1" applyAlignment="1">
      <alignment horizontal="center" vertical="center"/>
    </xf>
    <xf numFmtId="3" fontId="119" fillId="0" borderId="29" xfId="0" applyNumberFormat="1" applyFont="1" applyFill="1" applyBorder="1" applyAlignment="1">
      <alignment horizontal="left" vertical="center" wrapText="1"/>
    </xf>
    <xf numFmtId="3" fontId="59" fillId="0" borderId="11" xfId="58921" applyNumberFormat="1" applyFont="1" applyFill="1" applyBorder="1" applyAlignment="1">
      <alignment horizontal="center" vertical="center"/>
    </xf>
    <xf numFmtId="170" fontId="59" fillId="0" borderId="11" xfId="58921" applyNumberFormat="1" applyFont="1" applyFill="1" applyBorder="1" applyAlignment="1">
      <alignment horizontal="center" vertical="center"/>
    </xf>
    <xf numFmtId="3" fontId="59" fillId="0" borderId="29" xfId="58921" applyNumberFormat="1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left" vertical="center"/>
    </xf>
    <xf numFmtId="0" fontId="59" fillId="0" borderId="0" xfId="58585" applyFont="1" applyFill="1" applyAlignment="1">
      <alignment horizontal="center" vertical="center"/>
    </xf>
    <xf numFmtId="0" fontId="59" fillId="76" borderId="0" xfId="58585" applyFont="1" applyFill="1" applyAlignment="1">
      <alignment horizontal="center" vertical="center"/>
    </xf>
    <xf numFmtId="3" fontId="59" fillId="74" borderId="0" xfId="58585" applyNumberFormat="1" applyFont="1" applyFill="1" applyAlignment="1">
      <alignment vertical="center"/>
    </xf>
    <xf numFmtId="0" fontId="59" fillId="76" borderId="0" xfId="58585" applyFont="1" applyFill="1" applyAlignment="1">
      <alignment horizontal="right" vertical="center"/>
    </xf>
    <xf numFmtId="0" fontId="59" fillId="76" borderId="0" xfId="58585" applyNumberFormat="1" applyFont="1" applyFill="1" applyBorder="1" applyAlignment="1">
      <alignment horizontal="center" vertical="center" wrapText="1"/>
    </xf>
    <xf numFmtId="3" fontId="131" fillId="74" borderId="0" xfId="58585" applyNumberFormat="1" applyFont="1" applyFill="1" applyBorder="1" applyAlignment="1">
      <alignment horizontal="right" vertical="center"/>
    </xf>
    <xf numFmtId="4" fontId="131" fillId="76" borderId="0" xfId="58585" applyNumberFormat="1" applyFont="1" applyFill="1" applyBorder="1" applyAlignment="1">
      <alignment horizontal="right" vertical="center"/>
    </xf>
    <xf numFmtId="3" fontId="131" fillId="76" borderId="0" xfId="58585" applyNumberFormat="1" applyFont="1" applyFill="1" applyBorder="1" applyAlignment="1">
      <alignment horizontal="right" vertical="center"/>
    </xf>
    <xf numFmtId="0" fontId="56" fillId="76" borderId="0" xfId="58585" applyFont="1" applyFill="1" applyAlignment="1">
      <alignment horizontal="right" vertical="center"/>
    </xf>
    <xf numFmtId="3" fontId="56" fillId="77" borderId="11" xfId="58585" applyNumberFormat="1" applyFont="1" applyFill="1" applyBorder="1" applyAlignment="1">
      <alignment horizontal="right" vertical="center"/>
    </xf>
    <xf numFmtId="3" fontId="56" fillId="0" borderId="11" xfId="58585" applyNumberFormat="1" applyFont="1" applyFill="1" applyBorder="1" applyAlignment="1">
      <alignment horizontal="right" vertical="center"/>
    </xf>
    <xf numFmtId="3" fontId="59" fillId="74" borderId="0" xfId="58585" applyNumberFormat="1" applyFont="1" applyFill="1" applyAlignment="1">
      <alignment horizontal="right" vertical="center"/>
    </xf>
    <xf numFmtId="0" fontId="56" fillId="0" borderId="11" xfId="58585" applyFont="1" applyBorder="1" applyAlignment="1">
      <alignment horizontal="center" vertical="center"/>
    </xf>
    <xf numFmtId="4" fontId="56" fillId="74" borderId="11" xfId="58585" applyNumberFormat="1" applyFont="1" applyFill="1" applyBorder="1" applyAlignment="1">
      <alignment vertical="center" wrapText="1"/>
    </xf>
    <xf numFmtId="4" fontId="56" fillId="74" borderId="11" xfId="58585" applyNumberFormat="1" applyFont="1" applyFill="1" applyBorder="1" applyAlignment="1">
      <alignment horizontal="center" vertical="center" wrapText="1"/>
    </xf>
    <xf numFmtId="3" fontId="59" fillId="74" borderId="11" xfId="58585" applyNumberFormat="1" applyFont="1" applyFill="1" applyBorder="1" applyAlignment="1">
      <alignment vertical="center" wrapText="1"/>
    </xf>
    <xf numFmtId="0" fontId="56" fillId="74" borderId="0" xfId="58585" applyFont="1" applyFill="1" applyAlignment="1">
      <alignment horizontal="right" vertical="center"/>
    </xf>
    <xf numFmtId="0" fontId="59" fillId="0" borderId="11" xfId="58585" applyFont="1" applyBorder="1" applyAlignment="1">
      <alignment horizontal="center" vertical="center"/>
    </xf>
    <xf numFmtId="4" fontId="59" fillId="74" borderId="11" xfId="58585" applyNumberFormat="1" applyFont="1" applyFill="1" applyBorder="1" applyAlignment="1">
      <alignment horizontal="center" vertical="center" wrapText="1"/>
    </xf>
    <xf numFmtId="3" fontId="59" fillId="0" borderId="11" xfId="58585" applyNumberFormat="1" applyFont="1" applyFill="1" applyBorder="1" applyAlignment="1">
      <alignment vertical="center" wrapText="1"/>
    </xf>
    <xf numFmtId="0" fontId="59" fillId="74" borderId="0" xfId="58585" applyFont="1" applyFill="1" applyAlignment="1">
      <alignment horizontal="right" vertical="center"/>
    </xf>
    <xf numFmtId="4" fontId="59" fillId="76" borderId="0" xfId="58585" applyNumberFormat="1" applyFont="1" applyFill="1" applyAlignment="1">
      <alignment horizontal="right" vertical="center"/>
    </xf>
    <xf numFmtId="3" fontId="59" fillId="76" borderId="0" xfId="58585" applyNumberFormat="1" applyFont="1" applyFill="1" applyAlignment="1">
      <alignment horizontal="right" vertical="center"/>
    </xf>
    <xf numFmtId="0" fontId="59" fillId="74" borderId="11" xfId="58975" applyFont="1" applyFill="1" applyBorder="1" applyAlignment="1">
      <alignment horizontal="center" vertical="center" wrapText="1"/>
    </xf>
    <xf numFmtId="49" fontId="59" fillId="74" borderId="11" xfId="58975" applyNumberFormat="1" applyFont="1" applyFill="1" applyBorder="1" applyAlignment="1">
      <alignment horizontal="center" vertical="center" wrapText="1"/>
    </xf>
    <xf numFmtId="0" fontId="56" fillId="74" borderId="11" xfId="58975" applyFont="1" applyFill="1" applyBorder="1" applyAlignment="1">
      <alignment horizontal="center" vertical="center" wrapText="1"/>
    </xf>
    <xf numFmtId="49" fontId="56" fillId="74" borderId="11" xfId="58975" applyNumberFormat="1" applyFont="1" applyFill="1" applyBorder="1" applyAlignment="1">
      <alignment horizontal="center" vertical="center"/>
    </xf>
    <xf numFmtId="0" fontId="136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3" fillId="78" borderId="11" xfId="0" applyFont="1" applyFill="1" applyBorder="1" applyAlignment="1">
      <alignment horizontal="center" vertical="center" wrapText="1"/>
    </xf>
    <xf numFmtId="0" fontId="137" fillId="0" borderId="11" xfId="0" applyFont="1" applyBorder="1" applyAlignment="1">
      <alignment horizontal="center" vertical="center"/>
    </xf>
    <xf numFmtId="3" fontId="115" fillId="78" borderId="11" xfId="0" applyNumberFormat="1" applyFont="1" applyFill="1" applyBorder="1" applyAlignment="1">
      <alignment horizontal="center" vertical="center" wrapText="1"/>
    </xf>
    <xf numFmtId="0" fontId="115" fillId="78" borderId="11" xfId="0" applyFont="1" applyFill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/>
    </xf>
    <xf numFmtId="0" fontId="63" fillId="78" borderId="11" xfId="0" applyFont="1" applyFill="1" applyBorder="1" applyAlignment="1">
      <alignment vertical="center" wrapText="1"/>
    </xf>
    <xf numFmtId="3" fontId="137" fillId="0" borderId="11" xfId="0" applyNumberFormat="1" applyFont="1" applyBorder="1" applyAlignment="1">
      <alignment horizontal="center" vertical="center"/>
    </xf>
    <xf numFmtId="0" fontId="137" fillId="78" borderId="11" xfId="0" applyFont="1" applyFill="1" applyBorder="1" applyAlignment="1">
      <alignment horizontal="center" vertical="center"/>
    </xf>
    <xf numFmtId="0" fontId="137" fillId="78" borderId="11" xfId="0" applyFont="1" applyFill="1" applyBorder="1" applyAlignment="1">
      <alignment vertical="center" wrapText="1"/>
    </xf>
    <xf numFmtId="0" fontId="121" fillId="0" borderId="11" xfId="0" applyFont="1" applyBorder="1" applyAlignment="1">
      <alignment horizontal="center" vertical="center"/>
    </xf>
    <xf numFmtId="0" fontId="115" fillId="0" borderId="11" xfId="0" applyFont="1" applyBorder="1" applyAlignment="1">
      <alignment horizontal="center" vertical="center"/>
    </xf>
    <xf numFmtId="0" fontId="63" fillId="0" borderId="11" xfId="0" applyFont="1" applyBorder="1" applyAlignment="1">
      <alignment vertical="center" wrapText="1"/>
    </xf>
    <xf numFmtId="0" fontId="63" fillId="0" borderId="0" xfId="0" applyFont="1" applyAlignment="1">
      <alignment horizontal="justify" vertical="center"/>
    </xf>
    <xf numFmtId="0" fontId="93" fillId="0" borderId="0" xfId="0" applyFont="1"/>
    <xf numFmtId="0" fontId="63" fillId="0" borderId="0" xfId="0" applyFont="1" applyAlignment="1">
      <alignment horizontal="left" vertical="center"/>
    </xf>
    <xf numFmtId="3" fontId="63" fillId="0" borderId="0" xfId="0" applyNumberFormat="1" applyFont="1" applyAlignment="1">
      <alignment horizontal="center" vertical="center"/>
    </xf>
    <xf numFmtId="3" fontId="51" fillId="0" borderId="11" xfId="0" applyNumberFormat="1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left" vertical="center"/>
    </xf>
    <xf numFmtId="3" fontId="51" fillId="0" borderId="0" xfId="0" applyNumberFormat="1" applyFont="1" applyFill="1" applyAlignment="1">
      <alignment horizontal="center" vertical="center"/>
    </xf>
    <xf numFmtId="3" fontId="51" fillId="0" borderId="11" xfId="0" applyNumberFormat="1" applyFont="1" applyFill="1" applyBorder="1" applyAlignment="1">
      <alignment horizontal="center" vertical="center"/>
    </xf>
    <xf numFmtId="3" fontId="132" fillId="0" borderId="11" xfId="0" applyNumberFormat="1" applyFont="1" applyFill="1" applyBorder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4" fontId="59" fillId="74" borderId="0" xfId="58867" applyNumberFormat="1" applyFont="1" applyFill="1" applyAlignment="1">
      <alignment horizontal="right" vertical="center"/>
    </xf>
    <xf numFmtId="3" fontId="59" fillId="74" borderId="0" xfId="58867" applyNumberFormat="1" applyFont="1" applyFill="1" applyAlignment="1">
      <alignment horizontal="center" vertical="center"/>
    </xf>
    <xf numFmtId="3" fontId="59" fillId="74" borderId="0" xfId="58867" applyNumberFormat="1" applyFont="1" applyFill="1" applyBorder="1" applyAlignment="1">
      <alignment horizontal="center" vertical="center" wrapText="1"/>
    </xf>
    <xf numFmtId="4" fontId="118" fillId="74" borderId="0" xfId="58867" applyNumberFormat="1" applyFont="1" applyFill="1" applyAlignment="1">
      <alignment horizontal="right" vertical="center"/>
    </xf>
    <xf numFmtId="3" fontId="51" fillId="74" borderId="11" xfId="58940" applyNumberFormat="1" applyFont="1" applyFill="1" applyBorder="1" applyAlignment="1">
      <alignment horizontal="center" vertical="center" wrapText="1"/>
    </xf>
    <xf numFmtId="3" fontId="61" fillId="74" borderId="11" xfId="58940" applyNumberFormat="1" applyFont="1" applyFill="1" applyBorder="1" applyAlignment="1">
      <alignment horizontal="left" vertical="center" wrapText="1"/>
    </xf>
    <xf numFmtId="3" fontId="61" fillId="74" borderId="11" xfId="58940" applyNumberFormat="1" applyFont="1" applyFill="1" applyBorder="1" applyAlignment="1">
      <alignment horizontal="center" vertical="center" wrapText="1"/>
    </xf>
    <xf numFmtId="3" fontId="61" fillId="74" borderId="15" xfId="58940" applyNumberFormat="1" applyFont="1" applyFill="1" applyBorder="1" applyAlignment="1">
      <alignment horizontal="left" vertical="center" wrapText="1"/>
    </xf>
    <xf numFmtId="3" fontId="61" fillId="74" borderId="15" xfId="58940" applyNumberFormat="1" applyFont="1" applyFill="1" applyBorder="1" applyAlignment="1">
      <alignment horizontal="center" vertical="center" wrapText="1"/>
    </xf>
    <xf numFmtId="3" fontId="51" fillId="74" borderId="11" xfId="58940" applyNumberFormat="1" applyFont="1" applyFill="1" applyBorder="1" applyAlignment="1">
      <alignment horizontal="center" vertical="center"/>
    </xf>
    <xf numFmtId="3" fontId="51" fillId="74" borderId="15" xfId="58940" applyNumberFormat="1" applyFont="1" applyFill="1" applyBorder="1" applyAlignment="1">
      <alignment horizontal="left" vertical="center" wrapText="1"/>
    </xf>
    <xf numFmtId="3" fontId="51" fillId="74" borderId="15" xfId="58940" applyNumberFormat="1" applyFont="1" applyFill="1" applyBorder="1" applyAlignment="1">
      <alignment horizontal="center" vertical="center" wrapText="1"/>
    </xf>
    <xf numFmtId="3" fontId="59" fillId="74" borderId="11" xfId="58940" applyNumberFormat="1" applyFont="1" applyFill="1" applyBorder="1" applyAlignment="1">
      <alignment horizontal="center" vertical="center" wrapText="1"/>
    </xf>
    <xf numFmtId="3" fontId="59" fillId="74" borderId="15" xfId="58940" applyNumberFormat="1" applyFont="1" applyFill="1" applyBorder="1" applyAlignment="1">
      <alignment horizontal="left" vertical="center" wrapText="1"/>
    </xf>
    <xf numFmtId="3" fontId="59" fillId="74" borderId="15" xfId="58940" applyNumberFormat="1" applyFont="1" applyFill="1" applyBorder="1" applyAlignment="1">
      <alignment horizontal="center" vertical="center" wrapText="1"/>
    </xf>
    <xf numFmtId="49" fontId="51" fillId="74" borderId="11" xfId="58940" applyNumberFormat="1" applyFont="1" applyFill="1" applyBorder="1" applyAlignment="1">
      <alignment horizontal="center" vertical="center" wrapText="1"/>
    </xf>
    <xf numFmtId="0" fontId="51" fillId="74" borderId="11" xfId="58940" applyFont="1" applyFill="1" applyBorder="1" applyAlignment="1">
      <alignment horizontal="left" vertical="center" wrapText="1"/>
    </xf>
    <xf numFmtId="3" fontId="51" fillId="74" borderId="11" xfId="58867" applyNumberFormat="1" applyFont="1" applyFill="1" applyBorder="1" applyAlignment="1">
      <alignment horizontal="center" vertical="center" wrapText="1"/>
    </xf>
    <xf numFmtId="3" fontId="61" fillId="74" borderId="15" xfId="58867" applyNumberFormat="1" applyFont="1" applyFill="1" applyBorder="1" applyAlignment="1">
      <alignment horizontal="left" vertical="center" wrapText="1"/>
    </xf>
    <xf numFmtId="3" fontId="61" fillId="74" borderId="15" xfId="58867" applyNumberFormat="1" applyFont="1" applyFill="1" applyBorder="1" applyAlignment="1">
      <alignment horizontal="center" vertical="center" wrapText="1"/>
    </xf>
    <xf numFmtId="3" fontId="51" fillId="74" borderId="29" xfId="58940" applyNumberFormat="1" applyFont="1" applyFill="1" applyBorder="1" applyAlignment="1">
      <alignment horizontal="center" vertical="center"/>
    </xf>
    <xf numFmtId="3" fontId="51" fillId="74" borderId="29" xfId="58940" applyNumberFormat="1" applyFont="1" applyFill="1" applyBorder="1" applyAlignment="1">
      <alignment horizontal="center" vertical="center" wrapText="1"/>
    </xf>
    <xf numFmtId="49" fontId="51" fillId="74" borderId="11" xfId="61302" applyNumberFormat="1" applyFont="1" applyFill="1" applyBorder="1" applyAlignment="1">
      <alignment horizontal="center" vertical="center"/>
    </xf>
    <xf numFmtId="0" fontId="59" fillId="74" borderId="11" xfId="58940" applyFont="1" applyFill="1" applyBorder="1" applyAlignment="1">
      <alignment horizontal="left" vertical="center" wrapText="1"/>
    </xf>
    <xf numFmtId="3" fontId="51" fillId="74" borderId="11" xfId="58867" applyNumberFormat="1" applyFont="1" applyFill="1" applyBorder="1" applyAlignment="1">
      <alignment horizontal="center" vertical="center"/>
    </xf>
    <xf numFmtId="3" fontId="51" fillId="74" borderId="15" xfId="58867" applyNumberFormat="1" applyFont="1" applyFill="1" applyBorder="1" applyAlignment="1">
      <alignment horizontal="left" vertical="center" wrapText="1"/>
    </xf>
    <xf numFmtId="3" fontId="51" fillId="74" borderId="15" xfId="58867" applyNumberFormat="1" applyFont="1" applyFill="1" applyBorder="1" applyAlignment="1">
      <alignment horizontal="center" vertical="center" wrapText="1"/>
    </xf>
    <xf numFmtId="3" fontId="56" fillId="74" borderId="11" xfId="58867" applyNumberFormat="1" applyFont="1" applyFill="1" applyBorder="1" applyAlignment="1">
      <alignment horizontal="center" vertical="center"/>
    </xf>
    <xf numFmtId="3" fontId="56" fillId="74" borderId="0" xfId="58867" applyNumberFormat="1" applyFont="1" applyFill="1" applyAlignment="1">
      <alignment horizontal="right" vertical="center"/>
    </xf>
    <xf numFmtId="3" fontId="56" fillId="74" borderId="11" xfId="58867" applyNumberFormat="1" applyFont="1" applyFill="1" applyBorder="1" applyAlignment="1">
      <alignment horizontal="center" vertical="center" wrapText="1"/>
    </xf>
    <xf numFmtId="3" fontId="59" fillId="74" borderId="0" xfId="58867" applyNumberFormat="1" applyFont="1" applyFill="1" applyAlignment="1">
      <alignment horizontal="left" vertical="center"/>
    </xf>
    <xf numFmtId="3" fontId="59" fillId="74" borderId="0" xfId="58867" applyNumberFormat="1" applyFont="1" applyFill="1" applyAlignment="1">
      <alignment horizontal="right" vertical="center"/>
    </xf>
    <xf numFmtId="0" fontId="63" fillId="0" borderId="0" xfId="59013" applyFont="1" applyFill="1" applyAlignment="1">
      <alignment vertical="center"/>
    </xf>
    <xf numFmtId="0" fontId="136" fillId="0" borderId="0" xfId="59013" applyFont="1" applyFill="1" applyBorder="1" applyAlignment="1">
      <alignment horizontal="center" vertical="center" wrapText="1"/>
    </xf>
    <xf numFmtId="0" fontId="50" fillId="0" borderId="11" xfId="59013" applyFont="1" applyFill="1" applyBorder="1" applyAlignment="1" applyProtection="1">
      <alignment horizontal="center" vertical="center" wrapText="1"/>
      <protection locked="0"/>
    </xf>
    <xf numFmtId="0" fontId="116" fillId="0" borderId="11" xfId="59013" applyFont="1" applyFill="1" applyBorder="1" applyAlignment="1" applyProtection="1">
      <alignment horizontal="center" vertical="center" wrapText="1"/>
      <protection locked="0"/>
    </xf>
    <xf numFmtId="0" fontId="116" fillId="0" borderId="0" xfId="59013" applyFont="1" applyFill="1" applyAlignment="1" applyProtection="1">
      <alignment vertical="center"/>
      <protection locked="0"/>
    </xf>
    <xf numFmtId="0" fontId="140" fillId="0" borderId="11" xfId="59013" applyFont="1" applyFill="1" applyBorder="1" applyAlignment="1" applyProtection="1">
      <alignment horizontal="center" vertical="center" wrapText="1"/>
      <protection locked="0"/>
    </xf>
    <xf numFmtId="3" fontId="116" fillId="0" borderId="11" xfId="59013" applyNumberFormat="1" applyFont="1" applyFill="1" applyBorder="1" applyAlignment="1" applyProtection="1">
      <alignment horizontal="center" vertical="center"/>
      <protection locked="0"/>
    </xf>
    <xf numFmtId="0" fontId="116" fillId="0" borderId="11" xfId="59013" applyFont="1" applyFill="1" applyBorder="1" applyAlignment="1">
      <alignment vertical="center"/>
    </xf>
    <xf numFmtId="0" fontId="116" fillId="0" borderId="11" xfId="59013" applyFont="1" applyBorder="1" applyAlignment="1">
      <alignment horizontal="center" vertical="center"/>
    </xf>
    <xf numFmtId="3" fontId="116" fillId="0" borderId="11" xfId="59013" applyNumberFormat="1" applyFont="1" applyFill="1" applyBorder="1" applyAlignment="1">
      <alignment horizontal="center" vertical="center"/>
    </xf>
    <xf numFmtId="0" fontId="141" fillId="0" borderId="11" xfId="59013" applyFont="1" applyFill="1" applyBorder="1" applyAlignment="1" applyProtection="1">
      <alignment horizontal="center" vertical="center" wrapText="1"/>
      <protection locked="0"/>
    </xf>
    <xf numFmtId="3" fontId="141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36" fillId="0" borderId="0" xfId="59013" applyFont="1" applyFill="1" applyAlignment="1">
      <alignment vertical="center"/>
    </xf>
    <xf numFmtId="0" fontId="116" fillId="0" borderId="0" xfId="59013" applyFont="1" applyFill="1" applyAlignment="1">
      <alignment vertical="center"/>
    </xf>
    <xf numFmtId="0" fontId="115" fillId="0" borderId="0" xfId="59013" applyFont="1" applyFill="1" applyAlignment="1">
      <alignment vertical="center"/>
    </xf>
    <xf numFmtId="0" fontId="59" fillId="74" borderId="11" xfId="58975" applyFont="1" applyFill="1" applyBorder="1" applyAlignment="1">
      <alignment horizontal="left" vertical="center" wrapText="1"/>
    </xf>
    <xf numFmtId="49" fontId="59" fillId="74" borderId="11" xfId="58975" applyNumberFormat="1" applyFont="1" applyFill="1" applyBorder="1" applyAlignment="1">
      <alignment horizontal="center" vertical="center"/>
    </xf>
    <xf numFmtId="0" fontId="146" fillId="74" borderId="0" xfId="58923" applyFont="1" applyFill="1" applyAlignment="1">
      <alignment horizontal="center" vertical="center"/>
    </xf>
    <xf numFmtId="0" fontId="146" fillId="74" borderId="0" xfId="58923" applyFont="1" applyFill="1" applyBorder="1" applyAlignment="1">
      <alignment horizontal="left" vertical="center"/>
    </xf>
    <xf numFmtId="0" fontId="147" fillId="74" borderId="0" xfId="58923" applyFont="1" applyFill="1" applyBorder="1" applyAlignment="1">
      <alignment horizontal="center" vertical="center"/>
    </xf>
    <xf numFmtId="0" fontId="105" fillId="74" borderId="0" xfId="58923" applyFont="1" applyFill="1" applyAlignment="1">
      <alignment horizontal="center" vertical="center"/>
    </xf>
    <xf numFmtId="0" fontId="146" fillId="74" borderId="40" xfId="58923" applyFont="1" applyFill="1" applyBorder="1" applyAlignment="1">
      <alignment vertical="center"/>
    </xf>
    <xf numFmtId="0" fontId="115" fillId="74" borderId="33" xfId="58923" applyFont="1" applyFill="1" applyBorder="1" applyAlignment="1">
      <alignment vertical="center"/>
    </xf>
    <xf numFmtId="0" fontId="115" fillId="74" borderId="34" xfId="58923" applyFont="1" applyFill="1" applyBorder="1" applyAlignment="1">
      <alignment vertical="center"/>
    </xf>
    <xf numFmtId="0" fontId="148" fillId="74" borderId="0" xfId="58923" applyFont="1" applyFill="1" applyAlignment="1">
      <alignment horizontal="center" vertical="center"/>
    </xf>
    <xf numFmtId="0" fontId="150" fillId="74" borderId="11" xfId="58923" applyFont="1" applyFill="1" applyBorder="1" applyAlignment="1">
      <alignment horizontal="center" vertical="center" wrapText="1"/>
    </xf>
    <xf numFmtId="0" fontId="154" fillId="74" borderId="11" xfId="58923" applyFont="1" applyFill="1" applyBorder="1" applyAlignment="1">
      <alignment horizontal="center" vertical="center" wrapText="1"/>
    </xf>
    <xf numFmtId="0" fontId="153" fillId="74" borderId="11" xfId="58923" applyFont="1" applyFill="1" applyBorder="1" applyAlignment="1">
      <alignment horizontal="center" vertical="center" wrapText="1"/>
    </xf>
    <xf numFmtId="3" fontId="148" fillId="74" borderId="39" xfId="58923" applyNumberFormat="1" applyFont="1" applyFill="1" applyBorder="1" applyAlignment="1">
      <alignment horizontal="center" vertical="center" wrapText="1"/>
    </xf>
    <xf numFmtId="3" fontId="115" fillId="74" borderId="11" xfId="58923" applyNumberFormat="1" applyFont="1" applyFill="1" applyBorder="1" applyAlignment="1">
      <alignment vertical="center"/>
    </xf>
    <xf numFmtId="3" fontId="155" fillId="74" borderId="14" xfId="58923" applyNumberFormat="1" applyFont="1" applyFill="1" applyBorder="1" applyAlignment="1">
      <alignment horizontal="center" vertical="center" wrapText="1"/>
    </xf>
    <xf numFmtId="3" fontId="156" fillId="74" borderId="11" xfId="58923" applyNumberFormat="1" applyFont="1" applyFill="1" applyBorder="1" applyAlignment="1">
      <alignment horizontal="center" vertical="center" wrapText="1"/>
    </xf>
    <xf numFmtId="3" fontId="155" fillId="74" borderId="11" xfId="58923" applyNumberFormat="1" applyFont="1" applyFill="1" applyBorder="1" applyAlignment="1">
      <alignment horizontal="center" vertical="center" wrapText="1"/>
    </xf>
    <xf numFmtId="3" fontId="155" fillId="74" borderId="38" xfId="58923" applyNumberFormat="1" applyFont="1" applyFill="1" applyBorder="1" applyAlignment="1">
      <alignment horizontal="center" vertical="center"/>
    </xf>
    <xf numFmtId="3" fontId="56" fillId="74" borderId="14" xfId="58923" applyNumberFormat="1" applyFont="1" applyFill="1" applyBorder="1" applyAlignment="1">
      <alignment horizontal="center" vertical="center" wrapText="1"/>
    </xf>
    <xf numFmtId="3" fontId="155" fillId="74" borderId="38" xfId="58923" applyNumberFormat="1" applyFont="1" applyFill="1" applyBorder="1" applyAlignment="1">
      <alignment horizontal="center" vertical="center" wrapText="1"/>
    </xf>
    <xf numFmtId="3" fontId="156" fillId="74" borderId="39" xfId="58923" applyNumberFormat="1" applyFont="1" applyFill="1" applyBorder="1" applyAlignment="1">
      <alignment horizontal="center" vertical="center" wrapText="1"/>
    </xf>
    <xf numFmtId="3" fontId="156" fillId="74" borderId="14" xfId="58923" applyNumberFormat="1" applyFont="1" applyFill="1" applyBorder="1" applyAlignment="1">
      <alignment horizontal="center" vertical="center" wrapText="1"/>
    </xf>
    <xf numFmtId="3" fontId="148" fillId="74" borderId="0" xfId="58923" applyNumberFormat="1" applyFont="1" applyFill="1" applyAlignment="1">
      <alignment horizontal="center" vertical="center"/>
    </xf>
    <xf numFmtId="3" fontId="156" fillId="74" borderId="37" xfId="58923" applyNumberFormat="1" applyFont="1" applyFill="1" applyBorder="1" applyAlignment="1">
      <alignment horizontal="center" vertical="center" wrapText="1"/>
    </xf>
    <xf numFmtId="0" fontId="148" fillId="74" borderId="39" xfId="58923" applyFont="1" applyFill="1" applyBorder="1" applyAlignment="1">
      <alignment horizontal="center" vertical="center"/>
    </xf>
    <xf numFmtId="0" fontId="148" fillId="74" borderId="31" xfId="58923" applyFont="1" applyFill="1" applyBorder="1" applyAlignment="1">
      <alignment horizontal="left" vertical="center" wrapText="1"/>
    </xf>
    <xf numFmtId="0" fontId="148" fillId="74" borderId="11" xfId="58923" applyFont="1" applyFill="1" applyBorder="1" applyAlignment="1">
      <alignment horizontal="left" vertical="center" wrapText="1"/>
    </xf>
    <xf numFmtId="3" fontId="148" fillId="74" borderId="14" xfId="58923" applyNumberFormat="1" applyFont="1" applyFill="1" applyBorder="1" applyAlignment="1">
      <alignment horizontal="center" vertical="center" wrapText="1"/>
    </xf>
    <xf numFmtId="3" fontId="157" fillId="74" borderId="11" xfId="58923" applyNumberFormat="1" applyFont="1" applyFill="1" applyBorder="1" applyAlignment="1">
      <alignment horizontal="center" vertical="center"/>
    </xf>
    <xf numFmtId="3" fontId="148" fillId="74" borderId="11" xfId="58923" applyNumberFormat="1" applyFont="1" applyFill="1" applyBorder="1" applyAlignment="1">
      <alignment horizontal="center" vertical="center" wrapText="1"/>
    </xf>
    <xf numFmtId="3" fontId="148" fillId="74" borderId="38" xfId="58923" applyNumberFormat="1" applyFont="1" applyFill="1" applyBorder="1" applyAlignment="1">
      <alignment horizontal="center" vertical="center"/>
    </xf>
    <xf numFmtId="3" fontId="63" fillId="74" borderId="14" xfId="58923" applyNumberFormat="1" applyFont="1" applyFill="1" applyBorder="1" applyAlignment="1">
      <alignment horizontal="center" vertical="center" wrapText="1"/>
    </xf>
    <xf numFmtId="3" fontId="148" fillId="74" borderId="38" xfId="58923" applyNumberFormat="1" applyFont="1" applyFill="1" applyBorder="1" applyAlignment="1">
      <alignment horizontal="center" vertical="center" wrapText="1"/>
    </xf>
    <xf numFmtId="3" fontId="148" fillId="74" borderId="13" xfId="58923" applyNumberFormat="1" applyFont="1" applyFill="1" applyBorder="1" applyAlignment="1">
      <alignment horizontal="center" vertical="center" wrapText="1"/>
    </xf>
    <xf numFmtId="0" fontId="105" fillId="74" borderId="0" xfId="58923" applyFont="1" applyFill="1" applyAlignment="1">
      <alignment horizontal="left" vertical="center"/>
    </xf>
    <xf numFmtId="3" fontId="157" fillId="74" borderId="11" xfId="58923" applyNumberFormat="1" applyFont="1" applyFill="1" applyBorder="1" applyAlignment="1">
      <alignment horizontal="center" vertical="center" wrapText="1"/>
    </xf>
    <xf numFmtId="0" fontId="148" fillId="74" borderId="11" xfId="58923" applyFont="1" applyFill="1" applyBorder="1" applyAlignment="1">
      <alignment horizontal="center" vertical="center"/>
    </xf>
    <xf numFmtId="0" fontId="105" fillId="74" borderId="0" xfId="58923" applyFont="1" applyFill="1" applyBorder="1" applyAlignment="1">
      <alignment horizontal="left" vertical="center"/>
    </xf>
    <xf numFmtId="0" fontId="148" fillId="74" borderId="0" xfId="58923" applyFont="1" applyFill="1" applyBorder="1" applyAlignment="1">
      <alignment horizontal="left" vertical="center" wrapText="1"/>
    </xf>
    <xf numFmtId="0" fontId="148" fillId="74" borderId="31" xfId="58923" applyFont="1" applyFill="1" applyBorder="1" applyAlignment="1">
      <alignment horizontal="left" vertical="center"/>
    </xf>
    <xf numFmtId="0" fontId="148" fillId="74" borderId="11" xfId="58923" applyFont="1" applyFill="1" applyBorder="1" applyAlignment="1">
      <alignment horizontal="left" vertical="center"/>
    </xf>
    <xf numFmtId="0" fontId="146" fillId="74" borderId="0" xfId="58923" applyFont="1" applyFill="1" applyBorder="1" applyAlignment="1">
      <alignment horizontal="center" vertical="center"/>
    </xf>
    <xf numFmtId="0" fontId="105" fillId="74" borderId="0" xfId="58923" applyFont="1" applyFill="1" applyBorder="1" applyAlignment="1">
      <alignment horizontal="center" vertical="center"/>
    </xf>
    <xf numFmtId="0" fontId="146" fillId="74" borderId="11" xfId="58923" applyFont="1" applyFill="1" applyBorder="1" applyAlignment="1">
      <alignment horizontal="left" vertical="center"/>
    </xf>
    <xf numFmtId="0" fontId="146" fillId="74" borderId="11" xfId="58923" applyFont="1" applyFill="1" applyBorder="1" applyAlignment="1">
      <alignment horizontal="center" vertical="center"/>
    </xf>
    <xf numFmtId="0" fontId="53" fillId="0" borderId="14" xfId="61321" applyFont="1" applyFill="1" applyBorder="1" applyAlignment="1">
      <alignment horizontal="left" wrapText="1"/>
    </xf>
    <xf numFmtId="0" fontId="118" fillId="74" borderId="0" xfId="61320" applyFont="1" applyFill="1" applyAlignment="1">
      <alignment vertical="center"/>
    </xf>
    <xf numFmtId="0" fontId="118" fillId="74" borderId="0" xfId="61320" applyFont="1" applyFill="1" applyAlignment="1">
      <alignment horizontal="center" vertical="center"/>
    </xf>
    <xf numFmtId="3" fontId="118" fillId="74" borderId="0" xfId="61320" applyNumberFormat="1" applyFont="1" applyFill="1" applyAlignment="1">
      <alignment horizontal="center" vertical="center"/>
    </xf>
    <xf numFmtId="0" fontId="118" fillId="74" borderId="36" xfId="61320" applyFont="1" applyFill="1" applyBorder="1" applyAlignment="1">
      <alignment horizontal="center" vertical="center"/>
    </xf>
    <xf numFmtId="3" fontId="118" fillId="74" borderId="36" xfId="61320" applyNumberFormat="1" applyFont="1" applyFill="1" applyBorder="1" applyAlignment="1">
      <alignment horizontal="center" vertical="center"/>
    </xf>
    <xf numFmtId="3" fontId="118" fillId="74" borderId="11" xfId="61320" applyNumberFormat="1" applyFont="1" applyFill="1" applyBorder="1" applyAlignment="1">
      <alignment horizontal="center" vertical="center"/>
    </xf>
    <xf numFmtId="3" fontId="118" fillId="74" borderId="49" xfId="61320" applyNumberFormat="1" applyFont="1" applyFill="1" applyBorder="1" applyAlignment="1">
      <alignment horizontal="center" vertical="center"/>
    </xf>
    <xf numFmtId="0" fontId="118" fillId="74" borderId="0" xfId="61320" applyFont="1" applyFill="1" applyBorder="1" applyAlignment="1">
      <alignment horizontal="center" vertical="center"/>
    </xf>
    <xf numFmtId="0" fontId="118" fillId="74" borderId="0" xfId="61320" applyFont="1" applyFill="1" applyBorder="1" applyAlignment="1">
      <alignment horizontal="right" vertical="center"/>
    </xf>
    <xf numFmtId="3" fontId="118" fillId="74" borderId="0" xfId="61320" applyNumberFormat="1" applyFont="1" applyFill="1" applyBorder="1" applyAlignment="1">
      <alignment horizontal="center" vertical="center"/>
    </xf>
    <xf numFmtId="0" fontId="118" fillId="74" borderId="0" xfId="61320" applyFont="1" applyFill="1" applyBorder="1" applyAlignment="1">
      <alignment vertical="center"/>
    </xf>
    <xf numFmtId="0" fontId="138" fillId="74" borderId="0" xfId="61320" applyFont="1" applyFill="1" applyBorder="1" applyAlignment="1">
      <alignment vertical="center"/>
    </xf>
    <xf numFmtId="3" fontId="138" fillId="74" borderId="0" xfId="61320" applyNumberFormat="1" applyFont="1" applyFill="1" applyBorder="1" applyAlignment="1">
      <alignment horizontal="center" vertical="center"/>
    </xf>
    <xf numFmtId="3" fontId="149" fillId="74" borderId="38" xfId="58923" applyNumberFormat="1" applyFont="1" applyFill="1" applyBorder="1" applyAlignment="1">
      <alignment horizontal="center" vertical="center" wrapText="1"/>
    </xf>
    <xf numFmtId="3" fontId="118" fillId="74" borderId="11" xfId="61320" applyNumberFormat="1" applyFont="1" applyFill="1" applyBorder="1" applyAlignment="1">
      <alignment horizontal="center" vertical="center" wrapText="1" shrinkToFit="1"/>
    </xf>
    <xf numFmtId="0" fontId="118" fillId="74" borderId="11" xfId="61320" applyFont="1" applyFill="1" applyBorder="1" applyAlignment="1">
      <alignment horizontal="center" vertical="center"/>
    </xf>
    <xf numFmtId="0" fontId="138" fillId="74" borderId="11" xfId="61320" applyFont="1" applyFill="1" applyBorder="1" applyAlignment="1">
      <alignment vertical="center"/>
    </xf>
    <xf numFmtId="3" fontId="138" fillId="74" borderId="11" xfId="61320" applyNumberFormat="1" applyFont="1" applyFill="1" applyBorder="1" applyAlignment="1">
      <alignment horizontal="center" vertical="center"/>
    </xf>
    <xf numFmtId="3" fontId="118" fillId="74" borderId="11" xfId="61319" applyNumberFormat="1" applyFont="1" applyFill="1" applyBorder="1" applyAlignment="1">
      <alignment horizontal="left" vertical="center" wrapText="1"/>
    </xf>
    <xf numFmtId="3" fontId="118" fillId="74" borderId="11" xfId="58975" applyNumberFormat="1" applyFont="1" applyFill="1" applyBorder="1" applyAlignment="1">
      <alignment horizontal="left" vertical="center" wrapText="1"/>
    </xf>
    <xf numFmtId="1" fontId="118" fillId="74" borderId="11" xfId="61319" applyNumberFormat="1" applyFont="1" applyFill="1" applyBorder="1" applyAlignment="1">
      <alignment horizontal="left" vertical="center" wrapText="1"/>
    </xf>
    <xf numFmtId="3" fontId="118" fillId="74" borderId="11" xfId="61320" applyNumberFormat="1" applyFont="1" applyFill="1" applyBorder="1" applyAlignment="1">
      <alignment vertical="center" wrapText="1"/>
    </xf>
    <xf numFmtId="4" fontId="118" fillId="74" borderId="11" xfId="61319" applyNumberFormat="1" applyFont="1" applyFill="1" applyBorder="1" applyAlignment="1">
      <alignment horizontal="left" vertical="center" wrapText="1"/>
    </xf>
    <xf numFmtId="0" fontId="118" fillId="74" borderId="48" xfId="61320" applyFont="1" applyFill="1" applyBorder="1" applyAlignment="1">
      <alignment horizontal="center" vertical="center"/>
    </xf>
    <xf numFmtId="3" fontId="118" fillId="74" borderId="48" xfId="61319" applyNumberFormat="1" applyFont="1" applyFill="1" applyBorder="1" applyAlignment="1">
      <alignment horizontal="left" vertical="center" wrapText="1"/>
    </xf>
    <xf numFmtId="3" fontId="118" fillId="74" borderId="48" xfId="61320" applyNumberFormat="1" applyFont="1" applyFill="1" applyBorder="1" applyAlignment="1">
      <alignment horizontal="center" vertical="center"/>
    </xf>
    <xf numFmtId="3" fontId="138" fillId="74" borderId="15" xfId="61320" applyNumberFormat="1" applyFont="1" applyFill="1" applyBorder="1" applyAlignment="1">
      <alignment horizontal="center" vertical="center"/>
    </xf>
    <xf numFmtId="3" fontId="118" fillId="74" borderId="15" xfId="61320" applyNumberFormat="1" applyFont="1" applyFill="1" applyBorder="1" applyAlignment="1">
      <alignment horizontal="center" vertical="center"/>
    </xf>
    <xf numFmtId="3" fontId="118" fillId="74" borderId="52" xfId="61320" applyNumberFormat="1" applyFont="1" applyFill="1" applyBorder="1" applyAlignment="1">
      <alignment horizontal="center" vertical="center"/>
    </xf>
    <xf numFmtId="3" fontId="138" fillId="74" borderId="49" xfId="61320" applyNumberFormat="1" applyFont="1" applyFill="1" applyBorder="1" applyAlignment="1">
      <alignment horizontal="center" vertical="center"/>
    </xf>
    <xf numFmtId="3" fontId="118" fillId="74" borderId="53" xfId="61320" applyNumberFormat="1" applyFont="1" applyFill="1" applyBorder="1" applyAlignment="1">
      <alignment horizontal="center" vertical="center"/>
    </xf>
    <xf numFmtId="3" fontId="138" fillId="74" borderId="36" xfId="61320" applyNumberFormat="1" applyFont="1" applyFill="1" applyBorder="1" applyAlignment="1">
      <alignment horizontal="center" vertical="center"/>
    </xf>
    <xf numFmtId="0" fontId="53" fillId="0" borderId="11" xfId="3" applyFont="1" applyFill="1" applyBorder="1" applyAlignment="1">
      <alignment horizontal="left" vertical="center" wrapText="1"/>
    </xf>
    <xf numFmtId="0" fontId="59" fillId="74" borderId="11" xfId="58921" applyFont="1" applyFill="1" applyBorder="1" applyAlignment="1">
      <alignment horizontal="left" vertical="center" wrapText="1"/>
    </xf>
    <xf numFmtId="0" fontId="59" fillId="0" borderId="11" xfId="58975" applyFont="1" applyFill="1" applyBorder="1" applyAlignment="1">
      <alignment horizontal="left" vertical="center" wrapText="1"/>
    </xf>
    <xf numFmtId="3" fontId="118" fillId="0" borderId="29" xfId="0" applyNumberFormat="1" applyFont="1" applyFill="1" applyBorder="1" applyAlignment="1">
      <alignment horizontal="center" vertical="center"/>
    </xf>
    <xf numFmtId="3" fontId="59" fillId="0" borderId="36" xfId="0" applyNumberFormat="1" applyFont="1" applyFill="1" applyBorder="1" applyAlignment="1">
      <alignment horizontal="center" vertical="center"/>
    </xf>
    <xf numFmtId="3" fontId="59" fillId="0" borderId="11" xfId="0" applyNumberFormat="1" applyFont="1" applyFill="1" applyBorder="1" applyAlignment="1">
      <alignment horizontal="center" vertical="center"/>
    </xf>
    <xf numFmtId="3" fontId="51" fillId="0" borderId="11" xfId="58940" applyNumberFormat="1" applyFont="1" applyFill="1" applyBorder="1" applyAlignment="1">
      <alignment horizontal="center" vertical="center" wrapText="1"/>
    </xf>
    <xf numFmtId="3" fontId="51" fillId="0" borderId="11" xfId="58940" applyNumberFormat="1" applyFont="1" applyFill="1" applyBorder="1" applyAlignment="1">
      <alignment horizontal="center" vertical="center"/>
    </xf>
    <xf numFmtId="3" fontId="59" fillId="0" borderId="15" xfId="58940" applyNumberFormat="1" applyFont="1" applyFill="1" applyBorder="1" applyAlignment="1">
      <alignment horizontal="left" vertical="center" wrapText="1"/>
    </xf>
    <xf numFmtId="49" fontId="51" fillId="0" borderId="11" xfId="58940" applyNumberFormat="1" applyFont="1" applyFill="1" applyBorder="1" applyAlignment="1">
      <alignment horizontal="center" vertical="center"/>
    </xf>
    <xf numFmtId="49" fontId="51" fillId="0" borderId="11" xfId="58940" applyNumberFormat="1" applyFont="1" applyFill="1" applyBorder="1" applyAlignment="1">
      <alignment horizontal="center" vertical="center" wrapText="1"/>
    </xf>
    <xf numFmtId="0" fontId="59" fillId="0" borderId="15" xfId="58940" applyFont="1" applyFill="1" applyBorder="1" applyAlignment="1">
      <alignment horizontal="left" vertical="center" wrapText="1"/>
    </xf>
    <xf numFmtId="0" fontId="59" fillId="0" borderId="11" xfId="58940" applyFont="1" applyFill="1" applyBorder="1" applyAlignment="1">
      <alignment horizontal="center" vertical="center" wrapText="1"/>
    </xf>
    <xf numFmtId="0" fontId="56" fillId="0" borderId="15" xfId="58940" applyFont="1" applyFill="1" applyBorder="1" applyAlignment="1">
      <alignment horizontal="left" vertical="center" wrapText="1"/>
    </xf>
    <xf numFmtId="4" fontId="59" fillId="0" borderId="15" xfId="58975" applyNumberFormat="1" applyFont="1" applyFill="1" applyBorder="1" applyAlignment="1">
      <alignment horizontal="left" vertical="center" wrapText="1"/>
    </xf>
    <xf numFmtId="3" fontId="59" fillId="0" borderId="11" xfId="58940" applyNumberFormat="1" applyFont="1" applyFill="1" applyBorder="1" applyAlignment="1">
      <alignment horizontal="center" vertical="center"/>
    </xf>
    <xf numFmtId="170" fontId="59" fillId="0" borderId="11" xfId="58940" applyNumberFormat="1" applyFont="1" applyFill="1" applyBorder="1" applyAlignment="1">
      <alignment horizontal="center" vertical="center"/>
    </xf>
    <xf numFmtId="3" fontId="59" fillId="0" borderId="15" xfId="0" applyNumberFormat="1" applyFont="1" applyFill="1" applyBorder="1" applyAlignment="1">
      <alignment horizontal="left" vertical="center" wrapText="1"/>
    </xf>
    <xf numFmtId="3" fontId="59" fillId="0" borderId="29" xfId="58940" applyNumberFormat="1" applyFont="1" applyFill="1" applyBorder="1" applyAlignment="1">
      <alignment horizontal="center" vertical="center"/>
    </xf>
    <xf numFmtId="0" fontId="59" fillId="0" borderId="51" xfId="0" applyFont="1" applyFill="1" applyBorder="1" applyAlignment="1">
      <alignment horizontal="center" vertical="center"/>
    </xf>
    <xf numFmtId="0" fontId="59" fillId="0" borderId="52" xfId="0" applyFont="1" applyFill="1" applyBorder="1" applyAlignment="1">
      <alignment horizontal="left" vertical="center"/>
    </xf>
    <xf numFmtId="49" fontId="59" fillId="0" borderId="11" xfId="58940" applyNumberFormat="1" applyFont="1" applyFill="1" applyBorder="1" applyAlignment="1">
      <alignment horizontal="center" vertical="center" wrapText="1"/>
    </xf>
    <xf numFmtId="3" fontId="61" fillId="0" borderId="11" xfId="57801" applyNumberFormat="1" applyFont="1" applyFill="1" applyBorder="1" applyAlignment="1">
      <alignment horizontal="left" vertical="center" wrapText="1"/>
    </xf>
    <xf numFmtId="3" fontId="59" fillId="0" borderId="11" xfId="57801" applyNumberFormat="1" applyFont="1" applyFill="1" applyBorder="1" applyAlignment="1">
      <alignment horizontal="left" vertical="center" wrapText="1"/>
    </xf>
    <xf numFmtId="0" fontId="59" fillId="0" borderId="11" xfId="57801" applyFont="1" applyFill="1" applyBorder="1" applyAlignment="1">
      <alignment horizontal="center" vertical="center"/>
    </xf>
    <xf numFmtId="0" fontId="59" fillId="0" borderId="11" xfId="57801" applyFont="1" applyFill="1" applyBorder="1" applyAlignment="1">
      <alignment horizontal="left" vertical="center"/>
    </xf>
    <xf numFmtId="0" fontId="53" fillId="0" borderId="0" xfId="59012" applyFont="1" applyAlignment="1">
      <alignment horizontal="center" vertical="center"/>
    </xf>
    <xf numFmtId="0" fontId="129" fillId="0" borderId="10" xfId="59012" applyFont="1" applyBorder="1" applyAlignment="1">
      <alignment vertical="center"/>
    </xf>
    <xf numFmtId="0" fontId="53" fillId="0" borderId="0" xfId="59012" applyFont="1" applyAlignment="1">
      <alignment horizontal="center"/>
    </xf>
    <xf numFmtId="0" fontId="53" fillId="0" borderId="0" xfId="59012" applyFont="1"/>
    <xf numFmtId="0" fontId="59" fillId="74" borderId="0" xfId="59012" applyFont="1" applyFill="1" applyAlignment="1" applyProtection="1">
      <alignment horizontal="center" vertical="center"/>
      <protection locked="0"/>
    </xf>
    <xf numFmtId="0" fontId="56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59" fillId="74" borderId="0" xfId="59012" applyFont="1" applyFill="1" applyProtection="1">
      <protection locked="0"/>
    </xf>
    <xf numFmtId="0" fontId="59" fillId="0" borderId="0" xfId="59012" applyFont="1" applyAlignment="1" applyProtection="1">
      <alignment horizontal="center" vertical="center"/>
      <protection locked="0"/>
    </xf>
    <xf numFmtId="0" fontId="59" fillId="74" borderId="11" xfId="59012" applyFont="1" applyFill="1" applyBorder="1" applyAlignment="1" applyProtection="1">
      <alignment horizontal="center" vertical="center" wrapText="1"/>
      <protection locked="0"/>
    </xf>
    <xf numFmtId="0" fontId="59" fillId="0" borderId="0" xfId="59012" applyFont="1" applyProtection="1">
      <protection locked="0"/>
    </xf>
    <xf numFmtId="0" fontId="56" fillId="0" borderId="0" xfId="59012" applyFont="1" applyAlignment="1" applyProtection="1">
      <alignment horizontal="center" vertical="center"/>
      <protection locked="0"/>
    </xf>
    <xf numFmtId="3" fontId="56" fillId="75" borderId="11" xfId="59012" applyNumberFormat="1" applyFont="1" applyFill="1" applyBorder="1" applyAlignment="1" applyProtection="1">
      <alignment horizontal="center" vertical="center"/>
      <protection locked="0"/>
    </xf>
    <xf numFmtId="0" fontId="56" fillId="0" borderId="0" xfId="59012" applyFont="1" applyProtection="1">
      <protection locked="0"/>
    </xf>
    <xf numFmtId="0" fontId="59" fillId="74" borderId="11" xfId="59012" applyFont="1" applyFill="1" applyBorder="1" applyAlignment="1" applyProtection="1">
      <alignment vertical="center" wrapText="1"/>
      <protection locked="0"/>
    </xf>
    <xf numFmtId="3" fontId="59" fillId="0" borderId="11" xfId="59012" applyNumberFormat="1" applyFont="1" applyBorder="1" applyAlignment="1" applyProtection="1">
      <alignment vertical="center" wrapText="1"/>
      <protection locked="0"/>
    </xf>
    <xf numFmtId="3" fontId="59" fillId="74" borderId="29" xfId="59012" applyNumberFormat="1" applyFont="1" applyFill="1" applyBorder="1" applyAlignment="1" applyProtection="1">
      <alignment horizontal="center" vertical="center"/>
      <protection locked="0"/>
    </xf>
    <xf numFmtId="3" fontId="59" fillId="74" borderId="11" xfId="59012" applyNumberFormat="1" applyFont="1" applyFill="1" applyBorder="1" applyAlignment="1" applyProtection="1">
      <alignment horizontal="center" vertical="center"/>
      <protection locked="0"/>
    </xf>
    <xf numFmtId="0" fontId="59" fillId="0" borderId="11" xfId="59012" applyFont="1" applyBorder="1" applyAlignment="1" applyProtection="1">
      <alignment horizontal="center"/>
      <protection locked="0"/>
    </xf>
    <xf numFmtId="3" fontId="59" fillId="0" borderId="29" xfId="59012" applyNumberFormat="1" applyFont="1" applyBorder="1" applyAlignment="1" applyProtection="1">
      <alignment horizontal="center" vertical="center"/>
      <protection locked="0"/>
    </xf>
    <xf numFmtId="3" fontId="59" fillId="74" borderId="11" xfId="59012" applyNumberFormat="1" applyFont="1" applyFill="1" applyBorder="1" applyAlignment="1" applyProtection="1">
      <alignment vertical="center"/>
      <protection locked="0"/>
    </xf>
    <xf numFmtId="0" fontId="59" fillId="74" borderId="11" xfId="59012" applyFont="1" applyFill="1" applyBorder="1" applyAlignment="1" applyProtection="1">
      <alignment horizontal="center"/>
      <protection locked="0"/>
    </xf>
    <xf numFmtId="3" fontId="59" fillId="74" borderId="12" xfId="59012" applyNumberFormat="1" applyFont="1" applyFill="1" applyBorder="1" applyAlignment="1" applyProtection="1">
      <alignment horizontal="center" vertical="center"/>
      <protection locked="0"/>
    </xf>
    <xf numFmtId="3" fontId="59" fillId="74" borderId="12" xfId="59012" applyNumberFormat="1" applyFont="1" applyFill="1" applyBorder="1" applyAlignment="1" applyProtection="1">
      <alignment vertical="center"/>
      <protection locked="0"/>
    </xf>
    <xf numFmtId="3" fontId="59" fillId="0" borderId="11" xfId="59012" applyNumberFormat="1" applyFont="1" applyFill="1" applyBorder="1" applyAlignment="1" applyProtection="1">
      <alignment horizontal="center" vertical="center"/>
      <protection locked="0"/>
    </xf>
    <xf numFmtId="3" fontId="59" fillId="74" borderId="29" xfId="59012" applyNumberFormat="1" applyFont="1" applyFill="1" applyBorder="1" applyAlignment="1" applyProtection="1">
      <alignment vertical="center"/>
      <protection locked="0"/>
    </xf>
    <xf numFmtId="3" fontId="59" fillId="0" borderId="12" xfId="59012" applyNumberFormat="1" applyFont="1" applyFill="1" applyBorder="1" applyAlignment="1" applyProtection="1">
      <alignment horizontal="center" vertical="center"/>
      <protection locked="0"/>
    </xf>
    <xf numFmtId="3" fontId="59" fillId="0" borderId="29" xfId="59012" applyNumberFormat="1" applyFont="1" applyFill="1" applyBorder="1" applyAlignment="1" applyProtection="1">
      <alignment horizontal="center" vertical="center"/>
      <protection locked="0"/>
    </xf>
    <xf numFmtId="0" fontId="59" fillId="0" borderId="11" xfId="59012" applyFont="1" applyFill="1" applyBorder="1" applyAlignment="1" applyProtection="1">
      <alignment vertical="center" wrapText="1"/>
      <protection locked="0"/>
    </xf>
    <xf numFmtId="3" fontId="59" fillId="74" borderId="11" xfId="59012" applyNumberFormat="1" applyFont="1" applyFill="1" applyBorder="1" applyAlignment="1" applyProtection="1">
      <alignment vertical="center" wrapText="1"/>
      <protection locked="0"/>
    </xf>
    <xf numFmtId="3" fontId="59" fillId="74" borderId="14" xfId="59012" applyNumberFormat="1" applyFont="1" applyFill="1" applyBorder="1" applyAlignment="1" applyProtection="1">
      <alignment horizontal="center" vertical="center"/>
      <protection locked="0"/>
    </xf>
    <xf numFmtId="3" fontId="59" fillId="74" borderId="14" xfId="59012" applyNumberFormat="1" applyFont="1" applyFill="1" applyBorder="1" applyAlignment="1" applyProtection="1">
      <alignment vertical="center"/>
      <protection locked="0"/>
    </xf>
    <xf numFmtId="0" fontId="59" fillId="0" borderId="11" xfId="59012" applyFont="1" applyFill="1" applyBorder="1" applyAlignment="1" applyProtection="1">
      <alignment horizontal="center"/>
      <protection locked="0"/>
    </xf>
    <xf numFmtId="0" fontId="59" fillId="74" borderId="15" xfId="59012" applyFont="1" applyFill="1" applyBorder="1" applyAlignment="1" applyProtection="1">
      <alignment vertical="center" wrapText="1"/>
      <protection locked="0"/>
    </xf>
    <xf numFmtId="0" fontId="59" fillId="74" borderId="29" xfId="59012" applyFont="1" applyFill="1" applyBorder="1" applyAlignment="1" applyProtection="1">
      <alignment vertical="center" wrapText="1"/>
      <protection locked="0"/>
    </xf>
    <xf numFmtId="3" fontId="56" fillId="75" borderId="29" xfId="59012" applyNumberFormat="1" applyFont="1" applyFill="1" applyBorder="1" applyAlignment="1" applyProtection="1">
      <alignment horizontal="center" vertical="center"/>
      <protection locked="0"/>
    </xf>
    <xf numFmtId="0" fontId="56" fillId="75" borderId="11" xfId="59012" applyFont="1" applyFill="1" applyBorder="1" applyAlignment="1" applyProtection="1">
      <alignment horizontal="center"/>
      <protection locked="0"/>
    </xf>
    <xf numFmtId="3" fontId="56" fillId="79" borderId="11" xfId="59012" applyNumberFormat="1" applyFont="1" applyFill="1" applyBorder="1" applyAlignment="1" applyProtection="1">
      <alignment horizontal="center" vertical="center"/>
      <protection locked="0"/>
    </xf>
    <xf numFmtId="0" fontId="53" fillId="74" borderId="0" xfId="59012" applyFont="1" applyFill="1" applyAlignment="1">
      <alignment horizontal="center" vertical="center"/>
    </xf>
    <xf numFmtId="0" fontId="130" fillId="74" borderId="0" xfId="59012" applyFont="1" applyFill="1"/>
    <xf numFmtId="0" fontId="162" fillId="74" borderId="0" xfId="59012" applyFont="1" applyFill="1"/>
    <xf numFmtId="0" fontId="162" fillId="74" borderId="0" xfId="59012" applyFont="1" applyFill="1" applyAlignment="1">
      <alignment horizontal="center"/>
    </xf>
    <xf numFmtId="0" fontId="53" fillId="74" borderId="0" xfId="59012" applyFont="1" applyFill="1" applyAlignment="1">
      <alignment horizontal="center"/>
    </xf>
    <xf numFmtId="0" fontId="53" fillId="74" borderId="0" xfId="59012" applyFont="1" applyFill="1"/>
    <xf numFmtId="0" fontId="162" fillId="0" borderId="0" xfId="59012" applyFont="1"/>
    <xf numFmtId="0" fontId="129" fillId="74" borderId="0" xfId="59012" applyFont="1" applyFill="1"/>
    <xf numFmtId="3" fontId="132" fillId="0" borderId="37" xfId="0" applyNumberFormat="1" applyFont="1" applyFill="1" applyBorder="1" applyAlignment="1">
      <alignment horizontal="center" vertical="center"/>
    </xf>
    <xf numFmtId="3" fontId="132" fillId="0" borderId="36" xfId="0" applyNumberFormat="1" applyFont="1" applyFill="1" applyBorder="1" applyAlignment="1">
      <alignment horizontal="center" vertical="center"/>
    </xf>
    <xf numFmtId="3" fontId="51" fillId="0" borderId="36" xfId="0" applyNumberFormat="1" applyFont="1" applyFill="1" applyBorder="1" applyAlignment="1">
      <alignment horizontal="center" vertical="center"/>
    </xf>
    <xf numFmtId="0" fontId="59" fillId="0" borderId="0" xfId="0" applyFont="1" applyFill="1" applyAlignment="1">
      <alignment horizontal="center" vertical="center"/>
    </xf>
    <xf numFmtId="3" fontId="51" fillId="0" borderId="48" xfId="0" applyNumberFormat="1" applyFont="1" applyFill="1" applyBorder="1" applyAlignment="1">
      <alignment horizontal="center" vertical="center"/>
    </xf>
    <xf numFmtId="3" fontId="51" fillId="0" borderId="60" xfId="0" applyNumberFormat="1" applyFont="1" applyFill="1" applyBorder="1" applyAlignment="1">
      <alignment horizontal="center" vertical="center"/>
    </xf>
    <xf numFmtId="0" fontId="122" fillId="0" borderId="0" xfId="0" applyFont="1" applyFill="1"/>
    <xf numFmtId="0" fontId="124" fillId="0" borderId="0" xfId="0" applyFont="1" applyFill="1" applyAlignment="1">
      <alignment horizontal="center" vertical="center"/>
    </xf>
    <xf numFmtId="0" fontId="124" fillId="0" borderId="0" xfId="0" applyFont="1" applyFill="1" applyAlignment="1">
      <alignment horizontal="left" vertical="center"/>
    </xf>
    <xf numFmtId="0" fontId="127" fillId="0" borderId="0" xfId="0" applyFont="1" applyFill="1"/>
    <xf numFmtId="0" fontId="124" fillId="0" borderId="11" xfId="0" applyFont="1" applyFill="1" applyBorder="1" applyAlignment="1">
      <alignment horizontal="center" vertical="center" wrapText="1"/>
    </xf>
    <xf numFmtId="49" fontId="122" fillId="0" borderId="11" xfId="3" applyNumberFormat="1" applyFont="1" applyFill="1" applyBorder="1" applyAlignment="1">
      <alignment horizontal="center" vertical="center" wrapText="1"/>
    </xf>
    <xf numFmtId="0" fontId="164" fillId="0" borderId="11" xfId="3" applyFont="1" applyFill="1" applyBorder="1" applyAlignment="1">
      <alignment horizontal="left" vertical="center" wrapText="1"/>
    </xf>
    <xf numFmtId="3" fontId="122" fillId="0" borderId="11" xfId="0" applyNumberFormat="1" applyFont="1" applyFill="1" applyBorder="1" applyAlignment="1">
      <alignment horizontal="center" vertical="center"/>
    </xf>
    <xf numFmtId="2" fontId="122" fillId="0" borderId="0" xfId="0" applyNumberFormat="1" applyFont="1" applyFill="1"/>
    <xf numFmtId="0" fontId="122" fillId="0" borderId="11" xfId="3" applyFont="1" applyFill="1" applyBorder="1" applyAlignment="1">
      <alignment horizontal="center" vertical="center" wrapText="1"/>
    </xf>
    <xf numFmtId="0" fontId="122" fillId="0" borderId="11" xfId="3" applyFont="1" applyFill="1" applyBorder="1" applyAlignment="1">
      <alignment horizontal="left" vertical="center" wrapText="1"/>
    </xf>
    <xf numFmtId="49" fontId="124" fillId="0" borderId="11" xfId="3" applyNumberFormat="1" applyFont="1" applyFill="1" applyBorder="1" applyAlignment="1">
      <alignment horizontal="center" vertical="center" wrapText="1"/>
    </xf>
    <xf numFmtId="49" fontId="122" fillId="0" borderId="11" xfId="0" applyNumberFormat="1" applyFont="1" applyFill="1" applyBorder="1" applyAlignment="1">
      <alignment horizontal="center" vertical="center" wrapText="1"/>
    </xf>
    <xf numFmtId="0" fontId="164" fillId="0" borderId="11" xfId="0" applyFont="1" applyFill="1" applyBorder="1" applyAlignment="1">
      <alignment horizontal="left" vertical="center" wrapText="1"/>
    </xf>
    <xf numFmtId="49" fontId="124" fillId="0" borderId="11" xfId="3" applyNumberFormat="1" applyFont="1" applyFill="1" applyBorder="1" applyAlignment="1">
      <alignment horizontal="center" vertical="center"/>
    </xf>
    <xf numFmtId="0" fontId="124" fillId="0" borderId="11" xfId="58975" applyFont="1" applyFill="1" applyBorder="1" applyAlignment="1">
      <alignment horizontal="left" vertical="center" wrapText="1"/>
    </xf>
    <xf numFmtId="49" fontId="122" fillId="0" borderId="11" xfId="0" applyNumberFormat="1" applyFont="1" applyFill="1" applyBorder="1" applyAlignment="1">
      <alignment horizontal="center" vertical="center"/>
    </xf>
    <xf numFmtId="0" fontId="122" fillId="0" borderId="11" xfId="0" applyFont="1" applyFill="1" applyBorder="1" applyAlignment="1">
      <alignment horizontal="left" vertical="center" wrapText="1"/>
    </xf>
    <xf numFmtId="49" fontId="122" fillId="0" borderId="11" xfId="3" applyNumberFormat="1" applyFont="1" applyFill="1" applyBorder="1" applyAlignment="1">
      <alignment horizontal="left" vertical="center" wrapText="1"/>
    </xf>
    <xf numFmtId="0" fontId="124" fillId="0" borderId="11" xfId="58921" applyFont="1" applyFill="1" applyBorder="1" applyAlignment="1">
      <alignment horizontal="left" vertical="center" wrapText="1"/>
    </xf>
    <xf numFmtId="3" fontId="124" fillId="0" borderId="11" xfId="58921" applyNumberFormat="1" applyFont="1" applyFill="1" applyBorder="1" applyAlignment="1">
      <alignment horizontal="center" vertical="center"/>
    </xf>
    <xf numFmtId="3" fontId="164" fillId="0" borderId="11" xfId="0" applyNumberFormat="1" applyFont="1" applyFill="1" applyBorder="1" applyAlignment="1">
      <alignment horizontal="left" vertical="center" wrapText="1"/>
    </xf>
    <xf numFmtId="170" fontId="124" fillId="0" borderId="11" xfId="58921" applyNumberFormat="1" applyFont="1" applyFill="1" applyBorder="1" applyAlignment="1">
      <alignment horizontal="center" vertical="center"/>
    </xf>
    <xf numFmtId="3" fontId="124" fillId="0" borderId="11" xfId="0" applyNumberFormat="1" applyFont="1" applyFill="1" applyBorder="1" applyAlignment="1">
      <alignment horizontal="left" vertical="center" wrapText="1"/>
    </xf>
    <xf numFmtId="3" fontId="124" fillId="0" borderId="29" xfId="58921" applyNumberFormat="1" applyFont="1" applyFill="1" applyBorder="1" applyAlignment="1">
      <alignment horizontal="center" vertical="center"/>
    </xf>
    <xf numFmtId="3" fontId="164" fillId="0" borderId="29" xfId="0" applyNumberFormat="1" applyFont="1" applyFill="1" applyBorder="1" applyAlignment="1">
      <alignment horizontal="left" vertical="center" wrapText="1"/>
    </xf>
    <xf numFmtId="0" fontId="124" fillId="0" borderId="11" xfId="0" applyFont="1" applyFill="1" applyBorder="1" applyAlignment="1">
      <alignment horizontal="left" vertical="center"/>
    </xf>
    <xf numFmtId="3" fontId="59" fillId="74" borderId="11" xfId="58867" applyNumberFormat="1" applyFont="1" applyFill="1" applyBorder="1" applyAlignment="1">
      <alignment horizontal="center" vertical="center"/>
    </xf>
    <xf numFmtId="3" fontId="59" fillId="74" borderId="11" xfId="59591" applyNumberFormat="1" applyFont="1" applyFill="1" applyBorder="1" applyAlignment="1">
      <alignment horizontal="center" vertical="center" wrapText="1"/>
    </xf>
    <xf numFmtId="3" fontId="59" fillId="74" borderId="58" xfId="59591" applyNumberFormat="1" applyFont="1" applyFill="1" applyBorder="1" applyAlignment="1">
      <alignment horizontal="center" vertical="center" wrapText="1"/>
    </xf>
    <xf numFmtId="3" fontId="51" fillId="74" borderId="58" xfId="58940" applyNumberFormat="1" applyFont="1" applyFill="1" applyBorder="1" applyAlignment="1">
      <alignment horizontal="left" vertical="center" wrapText="1"/>
    </xf>
    <xf numFmtId="3" fontId="51" fillId="74" borderId="58" xfId="58940" applyNumberFormat="1" applyFont="1" applyFill="1" applyBorder="1" applyAlignment="1">
      <alignment horizontal="center" vertical="center" wrapText="1"/>
    </xf>
    <xf numFmtId="3" fontId="61" fillId="74" borderId="58" xfId="58940" applyNumberFormat="1" applyFont="1" applyFill="1" applyBorder="1" applyAlignment="1">
      <alignment horizontal="left" vertical="center" wrapText="1"/>
    </xf>
    <xf numFmtId="3" fontId="61" fillId="74" borderId="58" xfId="58940" applyNumberFormat="1" applyFont="1" applyFill="1" applyBorder="1" applyAlignment="1">
      <alignment horizontal="center" vertical="center" wrapText="1"/>
    </xf>
    <xf numFmtId="3" fontId="59" fillId="74" borderId="62" xfId="58867" applyNumberFormat="1" applyFont="1" applyFill="1" applyBorder="1" applyAlignment="1">
      <alignment horizontal="center" vertical="center"/>
    </xf>
    <xf numFmtId="3" fontId="56" fillId="74" borderId="62" xfId="58867" applyNumberFormat="1" applyFont="1" applyFill="1" applyBorder="1" applyAlignment="1">
      <alignment horizontal="center" vertical="center"/>
    </xf>
    <xf numFmtId="3" fontId="115" fillId="74" borderId="62" xfId="58940" applyNumberFormat="1" applyFont="1" applyFill="1" applyBorder="1" applyAlignment="1">
      <alignment horizontal="center" vertical="center"/>
    </xf>
    <xf numFmtId="3" fontId="132" fillId="74" borderId="61" xfId="58867" applyNumberFormat="1" applyFont="1" applyFill="1" applyBorder="1" applyAlignment="1" applyProtection="1">
      <alignment horizontal="left" vertical="center" wrapText="1"/>
      <protection locked="0"/>
    </xf>
    <xf numFmtId="3" fontId="56" fillId="74" borderId="61" xfId="58867" applyNumberFormat="1" applyFont="1" applyFill="1" applyBorder="1" applyAlignment="1">
      <alignment vertical="center" wrapText="1"/>
    </xf>
    <xf numFmtId="3" fontId="61" fillId="0" borderId="37" xfId="58940" applyNumberFormat="1" applyFont="1" applyFill="1" applyBorder="1" applyAlignment="1">
      <alignment horizontal="left" vertical="center" wrapText="1"/>
    </xf>
    <xf numFmtId="3" fontId="59" fillId="0" borderId="51" xfId="0" applyNumberFormat="1" applyFont="1" applyFill="1" applyBorder="1" applyAlignment="1">
      <alignment horizontal="center" vertical="center"/>
    </xf>
    <xf numFmtId="3" fontId="56" fillId="0" borderId="39" xfId="0" applyNumberFormat="1" applyFont="1" applyFill="1" applyBorder="1" applyAlignment="1">
      <alignment horizontal="center" vertical="center"/>
    </xf>
    <xf numFmtId="3" fontId="56" fillId="0" borderId="38" xfId="0" applyNumberFormat="1" applyFont="1" applyFill="1" applyBorder="1" applyAlignment="1">
      <alignment horizontal="center" vertical="center"/>
    </xf>
    <xf numFmtId="3" fontId="59" fillId="0" borderId="37" xfId="0" applyNumberFormat="1" applyFont="1" applyFill="1" applyBorder="1" applyAlignment="1">
      <alignment horizontal="center" vertical="center"/>
    </xf>
    <xf numFmtId="3" fontId="56" fillId="0" borderId="36" xfId="0" applyNumberFormat="1" applyFont="1" applyFill="1" applyBorder="1" applyAlignment="1">
      <alignment horizontal="center" vertical="center"/>
    </xf>
    <xf numFmtId="0" fontId="59" fillId="0" borderId="0" xfId="0" applyFont="1" applyFill="1" applyAlignment="1">
      <alignment horizontal="left" vertical="center"/>
    </xf>
    <xf numFmtId="3" fontId="56" fillId="0" borderId="13" xfId="0" applyNumberFormat="1" applyFont="1" applyFill="1" applyBorder="1" applyAlignment="1">
      <alignment horizontal="center" vertical="center"/>
    </xf>
    <xf numFmtId="3" fontId="56" fillId="0" borderId="31" xfId="0" applyNumberFormat="1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3" fontId="59" fillId="0" borderId="15" xfId="0" applyNumberFormat="1" applyFont="1" applyFill="1" applyBorder="1" applyAlignment="1">
      <alignment horizontal="center" vertical="center"/>
    </xf>
    <xf numFmtId="3" fontId="56" fillId="0" borderId="65" xfId="0" applyNumberFormat="1" applyFont="1" applyFill="1" applyBorder="1" applyAlignment="1">
      <alignment horizontal="center" vertical="center"/>
    </xf>
    <xf numFmtId="3" fontId="59" fillId="0" borderId="59" xfId="0" applyNumberFormat="1" applyFont="1" applyFill="1" applyBorder="1" applyAlignment="1">
      <alignment horizontal="center" vertical="center"/>
    </xf>
    <xf numFmtId="3" fontId="59" fillId="0" borderId="60" xfId="0" applyNumberFormat="1" applyFont="1" applyFill="1" applyBorder="1" applyAlignment="1">
      <alignment horizontal="center" vertical="center"/>
    </xf>
    <xf numFmtId="3" fontId="59" fillId="0" borderId="0" xfId="0" applyNumberFormat="1" applyFont="1" applyFill="1" applyAlignment="1">
      <alignment horizontal="left" vertical="center"/>
    </xf>
    <xf numFmtId="49" fontId="59" fillId="0" borderId="11" xfId="0" applyNumberFormat="1" applyFont="1" applyFill="1" applyBorder="1" applyAlignment="1">
      <alignment horizontal="center" vertical="center"/>
    </xf>
    <xf numFmtId="3" fontId="59" fillId="0" borderId="58" xfId="58940" applyNumberFormat="1" applyFont="1" applyFill="1" applyBorder="1" applyAlignment="1">
      <alignment horizontal="left" vertical="center" wrapText="1"/>
    </xf>
    <xf numFmtId="3" fontId="59" fillId="0" borderId="58" xfId="0" applyNumberFormat="1" applyFont="1" applyFill="1" applyBorder="1" applyAlignment="1">
      <alignment horizontal="left" vertical="center" wrapText="1"/>
    </xf>
    <xf numFmtId="3" fontId="56" fillId="0" borderId="11" xfId="0" applyNumberFormat="1" applyFont="1" applyFill="1" applyBorder="1" applyAlignment="1">
      <alignment horizontal="center" vertical="center"/>
    </xf>
    <xf numFmtId="3" fontId="59" fillId="0" borderId="11" xfId="58940" applyNumberFormat="1" applyFont="1" applyFill="1" applyBorder="1" applyAlignment="1">
      <alignment horizontal="center" vertical="center" wrapText="1"/>
    </xf>
    <xf numFmtId="3" fontId="59" fillId="0" borderId="11" xfId="0" applyNumberFormat="1" applyFont="1" applyFill="1" applyBorder="1" applyAlignment="1">
      <alignment horizontal="center" vertical="center" wrapText="1"/>
    </xf>
    <xf numFmtId="3" fontId="59" fillId="0" borderId="14" xfId="0" applyNumberFormat="1" applyFont="1" applyFill="1" applyBorder="1" applyAlignment="1">
      <alignment horizontal="center" vertical="center"/>
    </xf>
    <xf numFmtId="3" fontId="63" fillId="0" borderId="0" xfId="0" applyNumberFormat="1" applyFont="1" applyFill="1" applyAlignment="1">
      <alignment horizontal="center"/>
    </xf>
    <xf numFmtId="3" fontId="59" fillId="0" borderId="36" xfId="58940" applyNumberFormat="1" applyFont="1" applyFill="1" applyBorder="1" applyAlignment="1">
      <alignment horizontal="center" vertical="center" wrapText="1"/>
    </xf>
    <xf numFmtId="3" fontId="59" fillId="0" borderId="37" xfId="58940" applyNumberFormat="1" applyFont="1" applyFill="1" applyBorder="1" applyAlignment="1">
      <alignment horizontal="center" vertical="center" wrapText="1"/>
    </xf>
    <xf numFmtId="3" fontId="59" fillId="0" borderId="62" xfId="58940" applyNumberFormat="1" applyFont="1" applyFill="1" applyBorder="1" applyAlignment="1">
      <alignment horizontal="center" vertical="center" wrapText="1"/>
    </xf>
    <xf numFmtId="3" fontId="59" fillId="0" borderId="37" xfId="0" applyNumberFormat="1" applyFont="1" applyFill="1" applyBorder="1" applyAlignment="1">
      <alignment horizontal="center" vertical="center" wrapText="1"/>
    </xf>
    <xf numFmtId="3" fontId="59" fillId="0" borderId="62" xfId="0" applyNumberFormat="1" applyFont="1" applyFill="1" applyBorder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59" fillId="0" borderId="52" xfId="0" applyFont="1" applyFill="1" applyBorder="1" applyAlignment="1">
      <alignment horizontal="center" vertical="center" wrapText="1"/>
    </xf>
    <xf numFmtId="3" fontId="59" fillId="0" borderId="51" xfId="58940" applyNumberFormat="1" applyFont="1" applyFill="1" applyBorder="1" applyAlignment="1">
      <alignment horizontal="center" vertical="center" wrapText="1"/>
    </xf>
    <xf numFmtId="3" fontId="59" fillId="0" borderId="59" xfId="58940" applyNumberFormat="1" applyFont="1" applyFill="1" applyBorder="1" applyAlignment="1">
      <alignment horizontal="center" vertical="center" wrapText="1"/>
    </xf>
    <xf numFmtId="3" fontId="59" fillId="0" borderId="60" xfId="58940" applyNumberFormat="1" applyFont="1" applyFill="1" applyBorder="1" applyAlignment="1">
      <alignment horizontal="center" vertical="center" wrapText="1"/>
    </xf>
    <xf numFmtId="3" fontId="59" fillId="0" borderId="59" xfId="0" applyNumberFormat="1" applyFont="1" applyFill="1" applyBorder="1" applyAlignment="1">
      <alignment horizontal="center" vertical="center" wrapText="1"/>
    </xf>
    <xf numFmtId="3" fontId="59" fillId="0" borderId="60" xfId="0" applyNumberFormat="1" applyFont="1" applyFill="1" applyBorder="1" applyAlignment="1">
      <alignment horizontal="center" vertical="center" wrapText="1"/>
    </xf>
    <xf numFmtId="3" fontId="129" fillId="0" borderId="39" xfId="58940" applyNumberFormat="1" applyFont="1" applyFill="1" applyBorder="1" applyAlignment="1">
      <alignment horizontal="center" vertical="center" wrapText="1"/>
    </xf>
    <xf numFmtId="3" fontId="129" fillId="0" borderId="38" xfId="58940" applyNumberFormat="1" applyFont="1" applyFill="1" applyBorder="1" applyAlignment="1">
      <alignment horizontal="center" vertical="center" wrapText="1"/>
    </xf>
    <xf numFmtId="3" fontId="129" fillId="0" borderId="31" xfId="58940" applyNumberFormat="1" applyFont="1" applyFill="1" applyBorder="1" applyAlignment="1">
      <alignment horizontal="center" vertical="center" wrapText="1"/>
    </xf>
    <xf numFmtId="3" fontId="53" fillId="0" borderId="37" xfId="58940" applyNumberFormat="1" applyFont="1" applyFill="1" applyBorder="1" applyAlignment="1">
      <alignment horizontal="center" vertical="center" wrapText="1"/>
    </xf>
    <xf numFmtId="3" fontId="53" fillId="0" borderId="62" xfId="58940" applyNumberFormat="1" applyFont="1" applyFill="1" applyBorder="1" applyAlignment="1">
      <alignment horizontal="center" vertical="center" wrapText="1"/>
    </xf>
    <xf numFmtId="3" fontId="53" fillId="0" borderId="37" xfId="0" applyNumberFormat="1" applyFont="1" applyFill="1" applyBorder="1" applyAlignment="1">
      <alignment horizontal="center" vertical="center" wrapText="1"/>
    </xf>
    <xf numFmtId="3" fontId="53" fillId="0" borderId="62" xfId="0" applyNumberFormat="1" applyFont="1" applyFill="1" applyBorder="1" applyAlignment="1">
      <alignment horizontal="center" vertical="center" wrapText="1"/>
    </xf>
    <xf numFmtId="3" fontId="115" fillId="0" borderId="49" xfId="0" applyNumberFormat="1" applyFont="1" applyFill="1" applyBorder="1" applyAlignment="1">
      <alignment horizontal="center"/>
    </xf>
    <xf numFmtId="3" fontId="115" fillId="0" borderId="15" xfId="0" applyNumberFormat="1" applyFont="1" applyFill="1" applyBorder="1" applyAlignment="1">
      <alignment horizontal="center"/>
    </xf>
    <xf numFmtId="3" fontId="115" fillId="0" borderId="36" xfId="0" applyNumberFormat="1" applyFont="1" applyFill="1" applyBorder="1" applyAlignment="1">
      <alignment horizontal="center"/>
    </xf>
    <xf numFmtId="3" fontId="115" fillId="0" borderId="37" xfId="0" applyNumberFormat="1" applyFont="1" applyFill="1" applyBorder="1" applyAlignment="1">
      <alignment horizontal="center"/>
    </xf>
    <xf numFmtId="3" fontId="115" fillId="0" borderId="62" xfId="0" applyNumberFormat="1" applyFont="1" applyFill="1" applyBorder="1" applyAlignment="1">
      <alignment horizontal="center"/>
    </xf>
    <xf numFmtId="3" fontId="115" fillId="0" borderId="65" xfId="0" applyNumberFormat="1" applyFont="1" applyFill="1" applyBorder="1" applyAlignment="1">
      <alignment horizontal="center"/>
    </xf>
    <xf numFmtId="0" fontId="115" fillId="0" borderId="0" xfId="0" applyFont="1" applyFill="1"/>
    <xf numFmtId="3" fontId="63" fillId="0" borderId="11" xfId="58940" applyNumberFormat="1" applyFont="1" applyFill="1" applyBorder="1" applyAlignment="1">
      <alignment horizontal="center" vertical="center" wrapText="1"/>
    </xf>
    <xf numFmtId="3" fontId="119" fillId="0" borderId="15" xfId="58940" applyNumberFormat="1" applyFont="1" applyFill="1" applyBorder="1" applyAlignment="1">
      <alignment horizontal="left" vertical="center" wrapText="1"/>
    </xf>
    <xf numFmtId="3" fontId="63" fillId="0" borderId="37" xfId="0" applyNumberFormat="1" applyFont="1" applyFill="1" applyBorder="1" applyAlignment="1">
      <alignment horizontal="center"/>
    </xf>
    <xf numFmtId="3" fontId="63" fillId="0" borderId="62" xfId="0" applyNumberFormat="1" applyFont="1" applyFill="1" applyBorder="1" applyAlignment="1">
      <alignment horizontal="center"/>
    </xf>
    <xf numFmtId="4" fontId="53" fillId="0" borderId="62" xfId="58940" applyNumberFormat="1" applyFont="1" applyFill="1" applyBorder="1" applyAlignment="1">
      <alignment horizontal="center" vertical="center"/>
    </xf>
    <xf numFmtId="3" fontId="63" fillId="0" borderId="11" xfId="58940" applyNumberFormat="1" applyFont="1" applyFill="1" applyBorder="1" applyAlignment="1">
      <alignment horizontal="center" vertical="center"/>
    </xf>
    <xf numFmtId="3" fontId="63" fillId="0" borderId="15" xfId="58940" applyNumberFormat="1" applyFont="1" applyFill="1" applyBorder="1" applyAlignment="1">
      <alignment horizontal="left" vertical="center" wrapText="1"/>
    </xf>
    <xf numFmtId="3" fontId="53" fillId="0" borderId="62" xfId="58940" applyNumberFormat="1" applyFont="1" applyFill="1" applyBorder="1" applyAlignment="1">
      <alignment horizontal="center" vertical="center"/>
    </xf>
    <xf numFmtId="3" fontId="53" fillId="0" borderId="15" xfId="58940" applyNumberFormat="1" applyFont="1" applyFill="1" applyBorder="1" applyAlignment="1">
      <alignment horizontal="left" vertical="center" wrapText="1"/>
    </xf>
    <xf numFmtId="49" fontId="63" fillId="0" borderId="11" xfId="58940" applyNumberFormat="1" applyFont="1" applyFill="1" applyBorder="1" applyAlignment="1">
      <alignment horizontal="center" vertical="center"/>
    </xf>
    <xf numFmtId="0" fontId="119" fillId="0" borderId="15" xfId="58940" applyFont="1" applyFill="1" applyBorder="1" applyAlignment="1">
      <alignment horizontal="left" vertical="center" wrapText="1"/>
    </xf>
    <xf numFmtId="49" fontId="63" fillId="0" borderId="11" xfId="58940" applyNumberFormat="1" applyFont="1" applyFill="1" applyBorder="1" applyAlignment="1">
      <alignment horizontal="center" vertical="center" wrapText="1"/>
    </xf>
    <xf numFmtId="0" fontId="63" fillId="0" borderId="15" xfId="58940" applyFont="1" applyFill="1" applyBorder="1" applyAlignment="1">
      <alignment horizontal="left" vertical="center" wrapText="1"/>
    </xf>
    <xf numFmtId="3" fontId="63" fillId="0" borderId="11" xfId="0" applyNumberFormat="1" applyFont="1" applyFill="1" applyBorder="1" applyAlignment="1">
      <alignment horizontal="center" vertical="center" wrapText="1"/>
    </xf>
    <xf numFmtId="3" fontId="119" fillId="0" borderId="15" xfId="0" applyNumberFormat="1" applyFont="1" applyFill="1" applyBorder="1" applyAlignment="1">
      <alignment horizontal="left" vertical="center" wrapText="1"/>
    </xf>
    <xf numFmtId="3" fontId="63" fillId="0" borderId="36" xfId="0" applyNumberFormat="1" applyFont="1" applyFill="1" applyBorder="1" applyAlignment="1">
      <alignment horizontal="center"/>
    </xf>
    <xf numFmtId="0" fontId="53" fillId="0" borderId="15" xfId="58940" applyFont="1" applyFill="1" applyBorder="1" applyAlignment="1">
      <alignment horizontal="left" vertical="center" wrapText="1"/>
    </xf>
    <xf numFmtId="0" fontId="53" fillId="0" borderId="11" xfId="58940" applyFont="1" applyFill="1" applyBorder="1" applyAlignment="1">
      <alignment horizontal="center" vertical="center" wrapText="1"/>
    </xf>
    <xf numFmtId="0" fontId="129" fillId="0" borderId="15" xfId="58940" applyFont="1" applyFill="1" applyBorder="1" applyAlignment="1">
      <alignment horizontal="left" vertical="center" wrapText="1"/>
    </xf>
    <xf numFmtId="4" fontId="53" fillId="0" borderId="15" xfId="58975" applyNumberFormat="1" applyFont="1" applyFill="1" applyBorder="1" applyAlignment="1">
      <alignment horizontal="left" vertical="center" wrapText="1"/>
    </xf>
    <xf numFmtId="49" fontId="63" fillId="0" borderId="11" xfId="0" applyNumberFormat="1" applyFont="1" applyFill="1" applyBorder="1" applyAlignment="1">
      <alignment horizontal="center" vertical="center"/>
    </xf>
    <xf numFmtId="3" fontId="63" fillId="0" borderId="11" xfId="0" applyNumberFormat="1" applyFont="1" applyFill="1" applyBorder="1" applyAlignment="1">
      <alignment horizontal="center" vertical="center"/>
    </xf>
    <xf numFmtId="3" fontId="63" fillId="0" borderId="15" xfId="0" applyNumberFormat="1" applyFont="1" applyFill="1" applyBorder="1" applyAlignment="1">
      <alignment horizontal="left" vertical="center" wrapText="1"/>
    </xf>
    <xf numFmtId="3" fontId="53" fillId="0" borderId="11" xfId="58940" applyNumberFormat="1" applyFont="1" applyFill="1" applyBorder="1" applyAlignment="1">
      <alignment horizontal="center" vertical="center"/>
    </xf>
    <xf numFmtId="170" fontId="53" fillId="0" borderId="11" xfId="58940" applyNumberFormat="1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left" vertical="center" wrapText="1"/>
    </xf>
    <xf numFmtId="3" fontId="63" fillId="0" borderId="51" xfId="0" applyNumberFormat="1" applyFont="1" applyFill="1" applyBorder="1" applyAlignment="1">
      <alignment horizontal="center"/>
    </xf>
    <xf numFmtId="3" fontId="63" fillId="0" borderId="59" xfId="0" applyNumberFormat="1" applyFont="1" applyFill="1" applyBorder="1" applyAlignment="1">
      <alignment horizontal="center"/>
    </xf>
    <xf numFmtId="3" fontId="63" fillId="0" borderId="60" xfId="0" applyNumberFormat="1" applyFont="1" applyFill="1" applyBorder="1" applyAlignment="1">
      <alignment horizontal="center"/>
    </xf>
    <xf numFmtId="4" fontId="53" fillId="0" borderId="60" xfId="58940" applyNumberFormat="1" applyFont="1" applyFill="1" applyBorder="1" applyAlignment="1">
      <alignment horizontal="center" vertical="center"/>
    </xf>
    <xf numFmtId="3" fontId="63" fillId="0" borderId="49" xfId="0" applyNumberFormat="1" applyFont="1" applyFill="1" applyBorder="1" applyAlignment="1">
      <alignment horizontal="center" vertical="center"/>
    </xf>
    <xf numFmtId="3" fontId="63" fillId="0" borderId="37" xfId="0" applyNumberFormat="1" applyFont="1" applyFill="1" applyBorder="1" applyAlignment="1">
      <alignment horizontal="center" vertical="center"/>
    </xf>
    <xf numFmtId="3" fontId="118" fillId="74" borderId="49" xfId="61320" applyNumberFormat="1" applyFont="1" applyFill="1" applyBorder="1" applyAlignment="1">
      <alignment horizontal="center" vertical="center"/>
    </xf>
    <xf numFmtId="3" fontId="127" fillId="0" borderId="0" xfId="0" applyNumberFormat="1" applyFont="1" applyFill="1"/>
    <xf numFmtId="3" fontId="61" fillId="0" borderId="29" xfId="57801" applyNumberFormat="1" applyFont="1" applyFill="1" applyBorder="1" applyAlignment="1">
      <alignment horizontal="left" vertical="center" wrapText="1"/>
    </xf>
    <xf numFmtId="0" fontId="53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left" vertical="center"/>
    </xf>
    <xf numFmtId="0" fontId="118" fillId="0" borderId="29" xfId="0" applyFont="1" applyFill="1" applyBorder="1" applyAlignment="1">
      <alignment horizontal="center" vertical="center"/>
    </xf>
    <xf numFmtId="49" fontId="63" fillId="0" borderId="11" xfId="3" applyNumberFormat="1" applyFont="1" applyFill="1" applyBorder="1" applyAlignment="1">
      <alignment horizontal="center" vertical="center" wrapText="1"/>
    </xf>
    <xf numFmtId="0" fontId="63" fillId="0" borderId="11" xfId="3" applyFont="1" applyFill="1" applyBorder="1" applyAlignment="1">
      <alignment horizontal="center" vertical="center" wrapText="1"/>
    </xf>
    <xf numFmtId="49" fontId="63" fillId="0" borderId="11" xfId="3" applyNumberFormat="1" applyFont="1" applyFill="1" applyBorder="1" applyAlignment="1">
      <alignment horizontal="center" vertical="center"/>
    </xf>
    <xf numFmtId="49" fontId="53" fillId="0" borderId="11" xfId="3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119" fillId="0" borderId="11" xfId="0" applyFont="1" applyFill="1" applyBorder="1" applyAlignment="1">
      <alignment horizontal="left" vertical="center" wrapText="1"/>
    </xf>
    <xf numFmtId="49" fontId="59" fillId="0" borderId="11" xfId="3" applyNumberFormat="1" applyFont="1" applyFill="1" applyBorder="1" applyAlignment="1">
      <alignment horizontal="center" vertical="center"/>
    </xf>
    <xf numFmtId="0" fontId="51" fillId="0" borderId="11" xfId="3" applyFont="1" applyFill="1" applyBorder="1" applyAlignment="1">
      <alignment horizontal="left" vertical="center" wrapText="1"/>
    </xf>
    <xf numFmtId="0" fontId="63" fillId="0" borderId="11" xfId="0" applyFont="1" applyFill="1" applyBorder="1" applyAlignment="1">
      <alignment horizontal="left" vertical="center" wrapText="1"/>
    </xf>
    <xf numFmtId="49" fontId="63" fillId="0" borderId="11" xfId="3" applyNumberFormat="1" applyFont="1" applyFill="1" applyBorder="1" applyAlignment="1">
      <alignment horizontal="left" vertical="center" wrapText="1"/>
    </xf>
    <xf numFmtId="0" fontId="63" fillId="0" borderId="0" xfId="0" applyFont="1" applyFill="1" applyAlignment="1">
      <alignment vertical="center" wrapText="1"/>
    </xf>
    <xf numFmtId="0" fontId="54" fillId="0" borderId="54" xfId="0" applyFont="1" applyFill="1" applyBorder="1" applyAlignment="1">
      <alignment horizontal="center" vertical="center" wrapText="1"/>
    </xf>
    <xf numFmtId="49" fontId="122" fillId="74" borderId="11" xfId="3" applyNumberFormat="1" applyFont="1" applyFill="1" applyBorder="1" applyAlignment="1">
      <alignment horizontal="center" vertical="center" wrapText="1"/>
    </xf>
    <xf numFmtId="0" fontId="124" fillId="74" borderId="11" xfId="3" applyFont="1" applyFill="1" applyBorder="1" applyAlignment="1">
      <alignment horizontal="left" vertical="center" wrapText="1"/>
    </xf>
    <xf numFmtId="0" fontId="59" fillId="0" borderId="48" xfId="0" quotePrefix="1" applyFont="1" applyFill="1" applyBorder="1" applyAlignment="1">
      <alignment horizontal="center" vertical="center"/>
    </xf>
    <xf numFmtId="3" fontId="59" fillId="74" borderId="11" xfId="58867" applyNumberFormat="1" applyFont="1" applyFill="1" applyBorder="1" applyAlignment="1">
      <alignment horizontal="center" vertical="center"/>
    </xf>
    <xf numFmtId="0" fontId="116" fillId="0" borderId="0" xfId="0" applyFont="1" applyFill="1"/>
    <xf numFmtId="0" fontId="58" fillId="0" borderId="0" xfId="0" applyFont="1" applyFill="1"/>
    <xf numFmtId="0" fontId="55" fillId="0" borderId="11" xfId="0" applyFont="1" applyFill="1" applyBorder="1" applyAlignment="1" applyProtection="1">
      <alignment horizontal="center" vertical="center"/>
      <protection locked="0"/>
    </xf>
    <xf numFmtId="49" fontId="55" fillId="0" borderId="11" xfId="3" applyNumberFormat="1" applyFont="1" applyFill="1" applyBorder="1" applyAlignment="1">
      <alignment horizontal="center" vertical="center"/>
    </xf>
    <xf numFmtId="0" fontId="55" fillId="0" borderId="11" xfId="0" applyFont="1" applyFill="1" applyBorder="1" applyAlignment="1" applyProtection="1">
      <alignment vertical="center" wrapText="1"/>
      <protection locked="0"/>
    </xf>
    <xf numFmtId="3" fontId="58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18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55" fillId="0" borderId="11" xfId="3" applyNumberFormat="1" applyFont="1" applyFill="1" applyBorder="1" applyAlignment="1">
      <alignment horizontal="center" vertical="center" wrapText="1"/>
    </xf>
    <xf numFmtId="0" fontId="55" fillId="0" borderId="11" xfId="0" applyFont="1" applyFill="1" applyBorder="1" applyAlignment="1" applyProtection="1">
      <alignment vertical="center"/>
      <protection locked="0"/>
    </xf>
    <xf numFmtId="3" fontId="55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18" fillId="0" borderId="11" xfId="3" applyNumberFormat="1" applyFont="1" applyFill="1" applyBorder="1" applyAlignment="1">
      <alignment horizontal="center" vertical="center" wrapText="1"/>
    </xf>
    <xf numFmtId="0" fontId="55" fillId="0" borderId="11" xfId="3" applyFont="1" applyFill="1" applyBorder="1" applyAlignment="1">
      <alignment horizontal="center" vertical="center" wrapText="1"/>
    </xf>
    <xf numFmtId="0" fontId="58" fillId="0" borderId="11" xfId="0" applyFont="1" applyFill="1" applyBorder="1" applyAlignment="1" applyProtection="1">
      <alignment horizontal="center" vertical="center"/>
      <protection locked="0"/>
    </xf>
    <xf numFmtId="0" fontId="58" fillId="0" borderId="11" xfId="0" applyFont="1" applyFill="1" applyBorder="1" applyAlignment="1" applyProtection="1">
      <alignment vertical="center"/>
      <protection locked="0"/>
    </xf>
    <xf numFmtId="0" fontId="58" fillId="0" borderId="11" xfId="0" applyFont="1" applyFill="1" applyBorder="1" applyAlignment="1" applyProtection="1">
      <alignment vertical="center" wrapText="1"/>
      <protection locked="0"/>
    </xf>
    <xf numFmtId="4" fontId="59" fillId="74" borderId="11" xfId="58867" applyNumberFormat="1" applyFont="1" applyFill="1" applyBorder="1" applyAlignment="1">
      <alignment horizontal="right" vertical="center"/>
    </xf>
    <xf numFmtId="3" fontId="118" fillId="74" borderId="43" xfId="0" applyNumberFormat="1" applyFont="1" applyFill="1" applyBorder="1" applyAlignment="1">
      <alignment horizontal="center" vertical="center" wrapText="1"/>
    </xf>
    <xf numFmtId="3" fontId="138" fillId="74" borderId="37" xfId="61320" applyNumberFormat="1" applyFont="1" applyFill="1" applyBorder="1" applyAlignment="1">
      <alignment horizontal="center" vertical="center"/>
    </xf>
    <xf numFmtId="3" fontId="118" fillId="74" borderId="37" xfId="61320" applyNumberFormat="1" applyFont="1" applyFill="1" applyBorder="1" applyAlignment="1">
      <alignment horizontal="center" vertical="center"/>
    </xf>
    <xf numFmtId="3" fontId="118" fillId="74" borderId="51" xfId="61320" applyNumberFormat="1" applyFont="1" applyFill="1" applyBorder="1" applyAlignment="1">
      <alignment horizontal="center" vertical="center"/>
    </xf>
    <xf numFmtId="3" fontId="53" fillId="74" borderId="11" xfId="60150" applyNumberFormat="1" applyFont="1" applyFill="1" applyBorder="1" applyAlignment="1">
      <alignment horizontal="center" vertical="center"/>
    </xf>
    <xf numFmtId="0" fontId="53" fillId="74" borderId="11" xfId="60150" applyFont="1" applyFill="1" applyBorder="1" applyAlignment="1">
      <alignment horizontal="center" vertical="center" wrapText="1"/>
    </xf>
    <xf numFmtId="0" fontId="53" fillId="74" borderId="11" xfId="60150" applyFont="1" applyFill="1" applyBorder="1" applyAlignment="1">
      <alignment horizontal="left" vertical="center" wrapText="1"/>
    </xf>
    <xf numFmtId="0" fontId="53" fillId="74" borderId="11" xfId="60150" applyFont="1" applyFill="1" applyBorder="1" applyAlignment="1">
      <alignment horizontal="center" vertical="center"/>
    </xf>
    <xf numFmtId="0" fontId="53" fillId="74" borderId="0" xfId="60150" applyFont="1" applyFill="1"/>
    <xf numFmtId="3" fontId="129" fillId="74" borderId="11" xfId="60150" applyNumberFormat="1" applyFont="1" applyFill="1" applyBorder="1" applyAlignment="1">
      <alignment horizontal="center" vertical="center"/>
    </xf>
    <xf numFmtId="0" fontId="53" fillId="74" borderId="11" xfId="60150" applyFont="1" applyFill="1" applyBorder="1" applyAlignment="1">
      <alignment horizontal="right" vertical="center" wrapText="1"/>
    </xf>
    <xf numFmtId="0" fontId="129" fillId="74" borderId="11" xfId="60150" applyFont="1" applyFill="1" applyBorder="1" applyAlignment="1">
      <alignment horizontal="left" vertical="center" wrapText="1"/>
    </xf>
    <xf numFmtId="0" fontId="53" fillId="74" borderId="29" xfId="60150" applyFont="1" applyFill="1" applyBorder="1" applyAlignment="1">
      <alignment horizontal="center" vertical="center"/>
    </xf>
    <xf numFmtId="3" fontId="53" fillId="74" borderId="29" xfId="60150" applyNumberFormat="1" applyFont="1" applyFill="1" applyBorder="1" applyAlignment="1">
      <alignment horizontal="center" vertical="center"/>
    </xf>
    <xf numFmtId="0" fontId="129" fillId="74" borderId="11" xfId="60150" applyFont="1" applyFill="1" applyBorder="1" applyAlignment="1">
      <alignment horizontal="center" vertical="center"/>
    </xf>
    <xf numFmtId="0" fontId="129" fillId="74" borderId="0" xfId="60150" applyFont="1" applyFill="1"/>
    <xf numFmtId="0" fontId="53" fillId="74" borderId="29" xfId="60150" applyFont="1" applyFill="1" applyBorder="1" applyAlignment="1">
      <alignment horizontal="center" vertical="center" wrapText="1"/>
    </xf>
    <xf numFmtId="1" fontId="53" fillId="74" borderId="29" xfId="60150" applyNumberFormat="1" applyFont="1" applyFill="1" applyBorder="1" applyAlignment="1">
      <alignment horizontal="center" vertical="center"/>
    </xf>
    <xf numFmtId="3" fontId="53" fillId="74" borderId="0" xfId="60150" applyNumberFormat="1" applyFont="1" applyFill="1" applyAlignment="1">
      <alignment horizontal="center" vertical="center"/>
    </xf>
    <xf numFmtId="3" fontId="59" fillId="74" borderId="11" xfId="60150" applyNumberFormat="1" applyFont="1" applyFill="1" applyBorder="1" applyAlignment="1">
      <alignment horizontal="center" vertical="center" wrapText="1"/>
    </xf>
    <xf numFmtId="49" fontId="59" fillId="74" borderId="29" xfId="58975" applyNumberFormat="1" applyFont="1" applyFill="1" applyBorder="1" applyAlignment="1">
      <alignment horizontal="center" vertical="center"/>
    </xf>
    <xf numFmtId="49" fontId="59" fillId="74" borderId="11" xfId="60150" applyNumberFormat="1" applyFont="1" applyFill="1" applyBorder="1" applyAlignment="1">
      <alignment horizontal="center" vertical="center" wrapText="1"/>
    </xf>
    <xf numFmtId="0" fontId="53" fillId="74" borderId="11" xfId="60150" applyFont="1" applyFill="1" applyBorder="1" applyAlignment="1">
      <alignment horizontal="justify" vertical="center" wrapText="1"/>
    </xf>
    <xf numFmtId="0" fontId="129" fillId="74" borderId="11" xfId="60150" applyFont="1" applyFill="1" applyBorder="1" applyAlignment="1">
      <alignment horizontal="center" vertical="center" wrapText="1"/>
    </xf>
    <xf numFmtId="1" fontId="53" fillId="74" borderId="11" xfId="60150" applyNumberFormat="1" applyFont="1" applyFill="1" applyBorder="1" applyAlignment="1">
      <alignment horizontal="center" vertical="center"/>
    </xf>
    <xf numFmtId="49" fontId="56" fillId="74" borderId="11" xfId="58975" applyNumberFormat="1" applyFont="1" applyFill="1" applyBorder="1" applyAlignment="1">
      <alignment horizontal="center" vertical="center" wrapText="1"/>
    </xf>
    <xf numFmtId="3" fontId="53" fillId="74" borderId="29" xfId="60150" applyNumberFormat="1" applyFont="1" applyFill="1" applyBorder="1" applyAlignment="1">
      <alignment horizontal="center" vertical="center" wrapText="1"/>
    </xf>
    <xf numFmtId="0" fontId="53" fillId="74" borderId="11" xfId="60150" applyFont="1" applyFill="1" applyBorder="1" applyAlignment="1" applyProtection="1">
      <alignment horizontal="center" vertical="center" wrapText="1"/>
      <protection locked="0"/>
    </xf>
    <xf numFmtId="49" fontId="56" fillId="74" borderId="11" xfId="58921" applyNumberFormat="1" applyFont="1" applyFill="1" applyBorder="1" applyAlignment="1">
      <alignment horizontal="center" vertical="center"/>
    </xf>
    <xf numFmtId="0" fontId="129" fillId="74" borderId="11" xfId="60170" applyFont="1" applyFill="1" applyBorder="1" applyAlignment="1">
      <alignment horizontal="left" vertical="center" wrapText="1"/>
    </xf>
    <xf numFmtId="0" fontId="129" fillId="74" borderId="15" xfId="60150" applyFont="1" applyFill="1" applyBorder="1" applyAlignment="1">
      <alignment horizontal="center" vertical="center" wrapText="1"/>
    </xf>
    <xf numFmtId="0" fontId="129" fillId="74" borderId="61" xfId="60150" applyFont="1" applyFill="1" applyBorder="1" applyAlignment="1">
      <alignment horizontal="center" vertical="center" wrapText="1"/>
    </xf>
    <xf numFmtId="0" fontId="129" fillId="74" borderId="62" xfId="60150" applyFont="1" applyFill="1" applyBorder="1" applyAlignment="1">
      <alignment horizontal="center" vertical="center" wrapText="1"/>
    </xf>
    <xf numFmtId="0" fontId="53" fillId="74" borderId="0" xfId="60150" applyFont="1" applyFill="1" applyAlignment="1">
      <alignment horizontal="right"/>
    </xf>
    <xf numFmtId="3" fontId="53" fillId="74" borderId="0" xfId="60150" applyNumberFormat="1" applyFont="1" applyFill="1"/>
    <xf numFmtId="0" fontId="53" fillId="74" borderId="0" xfId="60150" applyFont="1" applyFill="1" applyAlignment="1">
      <alignment horizontal="center" vertical="center"/>
    </xf>
    <xf numFmtId="3" fontId="129" fillId="0" borderId="11" xfId="0" applyNumberFormat="1" applyFont="1" applyFill="1" applyBorder="1" applyAlignment="1">
      <alignment horizontal="center" vertical="center" wrapText="1"/>
    </xf>
    <xf numFmtId="3" fontId="129" fillId="0" borderId="37" xfId="0" applyNumberFormat="1" applyFont="1" applyFill="1" applyBorder="1" applyAlignment="1">
      <alignment horizontal="center" vertical="center" wrapText="1"/>
    </xf>
    <xf numFmtId="3" fontId="53" fillId="0" borderId="15" xfId="58940" applyNumberFormat="1" applyFont="1" applyFill="1" applyBorder="1" applyAlignment="1">
      <alignment horizontal="center" vertical="center" wrapText="1"/>
    </xf>
    <xf numFmtId="0" fontId="53" fillId="0" borderId="51" xfId="0" applyFont="1" applyFill="1" applyBorder="1" applyAlignment="1">
      <alignment horizontal="center" vertical="center" wrapText="1"/>
    </xf>
    <xf numFmtId="0" fontId="53" fillId="0" borderId="48" xfId="0" applyFont="1" applyFill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3" fontId="53" fillId="0" borderId="15" xfId="0" applyNumberFormat="1" applyFont="1" applyFill="1" applyBorder="1" applyAlignment="1">
      <alignment horizontal="center" vertical="center"/>
    </xf>
    <xf numFmtId="3" fontId="53" fillId="0" borderId="36" xfId="0" applyNumberFormat="1" applyFont="1" applyFill="1" applyBorder="1" applyAlignment="1">
      <alignment horizontal="center" vertical="center"/>
    </xf>
    <xf numFmtId="3" fontId="53" fillId="0" borderId="37" xfId="0" applyNumberFormat="1" applyFont="1" applyFill="1" applyBorder="1" applyAlignment="1">
      <alignment horizontal="center" vertical="center"/>
    </xf>
    <xf numFmtId="3" fontId="59" fillId="0" borderId="29" xfId="0" applyNumberFormat="1" applyFont="1" applyFill="1" applyBorder="1" applyAlignment="1">
      <alignment horizontal="center" vertical="center"/>
    </xf>
    <xf numFmtId="3" fontId="63" fillId="0" borderId="36" xfId="0" applyNumberFormat="1" applyFont="1" applyFill="1" applyBorder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63" fillId="0" borderId="0" xfId="0" applyFont="1" applyFill="1" applyAlignment="1">
      <alignment horizontal="left" vertical="center"/>
    </xf>
    <xf numFmtId="3" fontId="63" fillId="0" borderId="0" xfId="0" applyNumberFormat="1" applyFont="1" applyFill="1" applyAlignment="1">
      <alignment horizontal="center" vertical="center"/>
    </xf>
    <xf numFmtId="3" fontId="115" fillId="0" borderId="0" xfId="0" applyNumberFormat="1" applyFont="1" applyFill="1" applyAlignment="1">
      <alignment horizontal="center" vertical="center"/>
    </xf>
    <xf numFmtId="0" fontId="115" fillId="0" borderId="0" xfId="0" applyFont="1" applyFill="1" applyAlignment="1">
      <alignment horizontal="center" vertical="center"/>
    </xf>
    <xf numFmtId="3" fontId="63" fillId="0" borderId="51" xfId="0" applyNumberFormat="1" applyFont="1" applyFill="1" applyBorder="1" applyAlignment="1">
      <alignment horizontal="center" vertical="center"/>
    </xf>
    <xf numFmtId="3" fontId="63" fillId="0" borderId="48" xfId="0" applyNumberFormat="1" applyFont="1" applyFill="1" applyBorder="1" applyAlignment="1">
      <alignment horizontal="center" vertical="center"/>
    </xf>
    <xf numFmtId="3" fontId="63" fillId="0" borderId="59" xfId="0" applyNumberFormat="1" applyFont="1" applyFill="1" applyBorder="1" applyAlignment="1">
      <alignment horizontal="center" vertical="center"/>
    </xf>
    <xf numFmtId="3" fontId="63" fillId="0" borderId="60" xfId="0" applyNumberFormat="1" applyFont="1" applyFill="1" applyBorder="1" applyAlignment="1">
      <alignment horizontal="center" vertical="center"/>
    </xf>
    <xf numFmtId="3" fontId="63" fillId="0" borderId="52" xfId="0" applyNumberFormat="1" applyFont="1" applyFill="1" applyBorder="1" applyAlignment="1">
      <alignment horizontal="center" vertical="center"/>
    </xf>
    <xf numFmtId="3" fontId="115" fillId="0" borderId="39" xfId="0" applyNumberFormat="1" applyFont="1" applyFill="1" applyBorder="1" applyAlignment="1">
      <alignment horizontal="center" vertical="center"/>
    </xf>
    <xf numFmtId="3" fontId="115" fillId="0" borderId="14" xfId="0" applyNumberFormat="1" applyFont="1" applyFill="1" applyBorder="1" applyAlignment="1">
      <alignment horizontal="center" vertical="center"/>
    </xf>
    <xf numFmtId="3" fontId="115" fillId="0" borderId="38" xfId="0" applyNumberFormat="1" applyFont="1" applyFill="1" applyBorder="1" applyAlignment="1">
      <alignment horizontal="center" vertical="center"/>
    </xf>
    <xf numFmtId="3" fontId="115" fillId="0" borderId="31" xfId="0" applyNumberFormat="1" applyFont="1" applyFill="1" applyBorder="1" applyAlignment="1">
      <alignment horizontal="center" vertical="center"/>
    </xf>
    <xf numFmtId="3" fontId="115" fillId="0" borderId="13" xfId="0" applyNumberFormat="1" applyFont="1" applyFill="1" applyBorder="1" applyAlignment="1">
      <alignment horizontal="center" vertical="center"/>
    </xf>
    <xf numFmtId="3" fontId="115" fillId="0" borderId="11" xfId="0" applyNumberFormat="1" applyFont="1" applyFill="1" applyBorder="1" applyAlignment="1">
      <alignment horizontal="center" vertical="center"/>
    </xf>
    <xf numFmtId="3" fontId="115" fillId="0" borderId="37" xfId="0" applyNumberFormat="1" applyFont="1" applyFill="1" applyBorder="1" applyAlignment="1">
      <alignment horizontal="center" vertical="center"/>
    </xf>
    <xf numFmtId="3" fontId="63" fillId="0" borderId="15" xfId="0" applyNumberFormat="1" applyFont="1" applyFill="1" applyBorder="1" applyAlignment="1">
      <alignment horizontal="center" vertical="center"/>
    </xf>
    <xf numFmtId="3" fontId="115" fillId="0" borderId="36" xfId="0" applyNumberFormat="1" applyFont="1" applyFill="1" applyBorder="1" applyAlignment="1">
      <alignment horizontal="center" vertical="center"/>
    </xf>
    <xf numFmtId="3" fontId="115" fillId="0" borderId="15" xfId="0" applyNumberFormat="1" applyFont="1" applyFill="1" applyBorder="1" applyAlignment="1">
      <alignment horizontal="center" vertical="center"/>
    </xf>
    <xf numFmtId="3" fontId="165" fillId="0" borderId="11" xfId="0" applyNumberFormat="1" applyFont="1" applyFill="1" applyBorder="1" applyAlignment="1">
      <alignment horizontal="center" vertical="center"/>
    </xf>
    <xf numFmtId="3" fontId="165" fillId="0" borderId="15" xfId="0" applyNumberFormat="1" applyFont="1" applyFill="1" applyBorder="1" applyAlignment="1">
      <alignment horizontal="center" vertical="center"/>
    </xf>
    <xf numFmtId="3" fontId="165" fillId="0" borderId="36" xfId="0" applyNumberFormat="1" applyFont="1" applyFill="1" applyBorder="1" applyAlignment="1">
      <alignment horizontal="center" vertical="center"/>
    </xf>
    <xf numFmtId="3" fontId="165" fillId="0" borderId="37" xfId="0" applyNumberFormat="1" applyFont="1" applyFill="1" applyBorder="1" applyAlignment="1">
      <alignment horizontal="center" vertical="center"/>
    </xf>
    <xf numFmtId="0" fontId="165" fillId="0" borderId="0" xfId="0" applyFont="1" applyFill="1" applyAlignment="1">
      <alignment horizontal="center" vertical="center"/>
    </xf>
    <xf numFmtId="3" fontId="115" fillId="0" borderId="48" xfId="0" applyNumberFormat="1" applyFont="1" applyFill="1" applyBorder="1" applyAlignment="1">
      <alignment horizontal="center" vertical="center"/>
    </xf>
    <xf numFmtId="3" fontId="132" fillId="0" borderId="0" xfId="0" applyNumberFormat="1" applyFont="1" applyFill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3" fontId="132" fillId="0" borderId="15" xfId="0" applyNumberFormat="1" applyFont="1" applyFill="1" applyBorder="1" applyAlignment="1">
      <alignment horizontal="center" vertical="center"/>
    </xf>
    <xf numFmtId="0" fontId="132" fillId="0" borderId="0" xfId="0" applyFont="1" applyFill="1" applyAlignment="1">
      <alignment horizontal="center" vertical="center"/>
    </xf>
    <xf numFmtId="3" fontId="61" fillId="0" borderId="15" xfId="0" applyNumberFormat="1" applyFont="1" applyFill="1" applyBorder="1" applyAlignment="1">
      <alignment horizontal="left" vertical="center" wrapText="1"/>
    </xf>
    <xf numFmtId="3" fontId="51" fillId="0" borderId="29" xfId="58940" applyNumberFormat="1" applyFont="1" applyFill="1" applyBorder="1" applyAlignment="1">
      <alignment horizontal="center" vertical="center"/>
    </xf>
    <xf numFmtId="3" fontId="51" fillId="0" borderId="29" xfId="0" applyNumberFormat="1" applyFont="1" applyFill="1" applyBorder="1" applyAlignment="1">
      <alignment horizontal="center" vertical="center"/>
    </xf>
    <xf numFmtId="3" fontId="51" fillId="0" borderId="51" xfId="0" applyNumberFormat="1" applyFont="1" applyFill="1" applyBorder="1" applyAlignment="1">
      <alignment horizontal="center" vertical="center"/>
    </xf>
    <xf numFmtId="3" fontId="132" fillId="0" borderId="48" xfId="0" applyNumberFormat="1" applyFont="1" applyFill="1" applyBorder="1" applyAlignment="1">
      <alignment horizontal="center" vertical="center"/>
    </xf>
    <xf numFmtId="0" fontId="59" fillId="0" borderId="11" xfId="0" quotePrefix="1" applyFont="1" applyFill="1" applyBorder="1" applyAlignment="1">
      <alignment horizontal="center" vertical="center"/>
    </xf>
    <xf numFmtId="3" fontId="59" fillId="0" borderId="48" xfId="0" applyNumberFormat="1" applyFont="1" applyFill="1" applyBorder="1" applyAlignment="1">
      <alignment horizontal="center" vertical="center"/>
    </xf>
    <xf numFmtId="0" fontId="59" fillId="74" borderId="11" xfId="59012" applyFont="1" applyFill="1" applyBorder="1" applyAlignment="1">
      <alignment horizontal="center" vertical="center"/>
    </xf>
    <xf numFmtId="0" fontId="61" fillId="74" borderId="11" xfId="58940" applyFont="1" applyFill="1" applyBorder="1" applyAlignment="1">
      <alignment horizontal="left" vertical="center" wrapText="1"/>
    </xf>
    <xf numFmtId="0" fontId="51" fillId="74" borderId="11" xfId="58940" applyFont="1" applyFill="1" applyBorder="1" applyAlignment="1">
      <alignment horizontal="center" vertical="center" wrapText="1"/>
    </xf>
    <xf numFmtId="49" fontId="51" fillId="74" borderId="11" xfId="58940" applyNumberFormat="1" applyFont="1" applyFill="1" applyBorder="1" applyAlignment="1">
      <alignment horizontal="center" vertical="center"/>
    </xf>
    <xf numFmtId="49" fontId="59" fillId="74" borderId="11" xfId="58940" applyNumberFormat="1" applyFont="1" applyFill="1" applyBorder="1" applyAlignment="1">
      <alignment horizontal="center" vertical="center" wrapText="1"/>
    </xf>
    <xf numFmtId="0" fontId="59" fillId="74" borderId="11" xfId="4" applyFont="1" applyFill="1" applyBorder="1" applyAlignment="1">
      <alignment horizontal="center" vertical="center"/>
    </xf>
    <xf numFmtId="49" fontId="51" fillId="74" borderId="11" xfId="59012" applyNumberFormat="1" applyFont="1" applyFill="1" applyBorder="1" applyAlignment="1">
      <alignment horizontal="center" vertical="center" wrapText="1"/>
    </xf>
    <xf numFmtId="0" fontId="61" fillId="74" borderId="11" xfId="59012" applyFont="1" applyFill="1" applyBorder="1" applyAlignment="1">
      <alignment horizontal="left" vertical="center" wrapText="1"/>
    </xf>
    <xf numFmtId="49" fontId="59" fillId="74" borderId="11" xfId="58940" applyNumberFormat="1" applyFont="1" applyFill="1" applyBorder="1" applyAlignment="1">
      <alignment horizontal="center" vertical="center"/>
    </xf>
    <xf numFmtId="49" fontId="51" fillId="74" borderId="11" xfId="59012" applyNumberFormat="1" applyFont="1" applyFill="1" applyBorder="1" applyAlignment="1">
      <alignment horizontal="center" vertical="center"/>
    </xf>
    <xf numFmtId="0" fontId="51" fillId="74" borderId="11" xfId="59012" applyFont="1" applyFill="1" applyBorder="1" applyAlignment="1">
      <alignment horizontal="left" vertical="center" wrapText="1"/>
    </xf>
    <xf numFmtId="49" fontId="51" fillId="74" borderId="11" xfId="58940" applyNumberFormat="1" applyFont="1" applyFill="1" applyBorder="1" applyAlignment="1">
      <alignment horizontal="left" vertical="center" wrapText="1"/>
    </xf>
    <xf numFmtId="3" fontId="59" fillId="74" borderId="11" xfId="58921" applyNumberFormat="1" applyFont="1" applyFill="1" applyBorder="1" applyAlignment="1">
      <alignment horizontal="center" vertical="center"/>
    </xf>
    <xf numFmtId="3" fontId="61" fillId="74" borderId="11" xfId="59012" applyNumberFormat="1" applyFont="1" applyFill="1" applyBorder="1" applyAlignment="1">
      <alignment horizontal="left" vertical="center" wrapText="1"/>
    </xf>
    <xf numFmtId="170" fontId="59" fillId="74" borderId="11" xfId="58921" applyNumberFormat="1" applyFont="1" applyFill="1" applyBorder="1" applyAlignment="1">
      <alignment horizontal="center" vertical="center"/>
    </xf>
    <xf numFmtId="3" fontId="59" fillId="74" borderId="11" xfId="59012" applyNumberFormat="1" applyFont="1" applyFill="1" applyBorder="1" applyAlignment="1">
      <alignment horizontal="left" vertical="center" wrapText="1"/>
    </xf>
    <xf numFmtId="3" fontId="59" fillId="74" borderId="29" xfId="58921" applyNumberFormat="1" applyFont="1" applyFill="1" applyBorder="1" applyAlignment="1">
      <alignment horizontal="center" vertical="center"/>
    </xf>
    <xf numFmtId="3" fontId="61" fillId="74" borderId="29" xfId="59012" applyNumberFormat="1" applyFont="1" applyFill="1" applyBorder="1" applyAlignment="1">
      <alignment horizontal="left" vertical="center" wrapText="1"/>
    </xf>
    <xf numFmtId="0" fontId="59" fillId="74" borderId="11" xfId="59012" applyFont="1" applyFill="1" applyBorder="1" applyAlignment="1">
      <alignment horizontal="left" vertical="center"/>
    </xf>
    <xf numFmtId="0" fontId="53" fillId="0" borderId="11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49" fontId="53" fillId="0" borderId="11" xfId="58940" applyNumberFormat="1" applyFont="1" applyFill="1" applyBorder="1" applyAlignment="1">
      <alignment horizontal="center" vertical="center"/>
    </xf>
    <xf numFmtId="0" fontId="59" fillId="0" borderId="36" xfId="0" applyFont="1" applyFill="1" applyBorder="1" applyAlignment="1">
      <alignment horizontal="center" vertical="center"/>
    </xf>
    <xf numFmtId="49" fontId="59" fillId="0" borderId="11" xfId="58940" applyNumberFormat="1" applyFont="1" applyFill="1" applyBorder="1" applyAlignment="1">
      <alignment horizontal="center" vertical="center"/>
    </xf>
    <xf numFmtId="3" fontId="53" fillId="0" borderId="36" xfId="58940" applyNumberFormat="1" applyFont="1" applyFill="1" applyBorder="1" applyAlignment="1">
      <alignment horizontal="center" vertical="center" wrapText="1"/>
    </xf>
    <xf numFmtId="3" fontId="53" fillId="0" borderId="11" xfId="58940" applyNumberFormat="1" applyFont="1" applyFill="1" applyBorder="1" applyAlignment="1">
      <alignment horizontal="center" vertical="center" wrapText="1"/>
    </xf>
    <xf numFmtId="3" fontId="63" fillId="0" borderId="39" xfId="0" applyNumberFormat="1" applyFont="1" applyFill="1" applyBorder="1" applyAlignment="1">
      <alignment horizontal="center"/>
    </xf>
    <xf numFmtId="0" fontId="53" fillId="0" borderId="15" xfId="0" applyFont="1" applyFill="1" applyBorder="1" applyAlignment="1">
      <alignment horizontal="left" vertical="center"/>
    </xf>
    <xf numFmtId="3" fontId="53" fillId="0" borderId="11" xfId="0" quotePrefix="1" applyNumberFormat="1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left" vertical="center"/>
    </xf>
    <xf numFmtId="3" fontId="53" fillId="0" borderId="51" xfId="0" applyNumberFormat="1" applyFont="1" applyFill="1" applyBorder="1" applyAlignment="1">
      <alignment horizontal="center" vertical="center"/>
    </xf>
    <xf numFmtId="3" fontId="53" fillId="0" borderId="48" xfId="0" quotePrefix="1" applyNumberFormat="1" applyFont="1" applyFill="1" applyBorder="1" applyAlignment="1">
      <alignment horizontal="center" vertical="center"/>
    </xf>
    <xf numFmtId="3" fontId="53" fillId="0" borderId="52" xfId="0" applyNumberFormat="1" applyFont="1" applyFill="1" applyBorder="1" applyAlignment="1">
      <alignment horizontal="left" vertical="center"/>
    </xf>
    <xf numFmtId="3" fontId="53" fillId="0" borderId="0" xfId="0" applyNumberFormat="1" applyFont="1" applyFill="1" applyAlignment="1">
      <alignment horizontal="center" vertical="center"/>
    </xf>
    <xf numFmtId="3" fontId="59" fillId="0" borderId="48" xfId="58940" applyNumberFormat="1" applyFont="1" applyFill="1" applyBorder="1" applyAlignment="1">
      <alignment horizontal="center" vertical="center" wrapText="1"/>
    </xf>
    <xf numFmtId="3" fontId="115" fillId="0" borderId="43" xfId="0" applyNumberFormat="1" applyFont="1" applyFill="1" applyBorder="1" applyAlignment="1">
      <alignment horizontal="center" vertical="center"/>
    </xf>
    <xf numFmtId="3" fontId="115" fillId="0" borderId="45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3" fontId="129" fillId="0" borderId="37" xfId="0" applyNumberFormat="1" applyFont="1" applyFill="1" applyBorder="1" applyAlignment="1">
      <alignment horizontal="center" vertical="center"/>
    </xf>
    <xf numFmtId="3" fontId="119" fillId="0" borderId="37" xfId="58940" applyNumberFormat="1" applyFont="1" applyFill="1" applyBorder="1" applyAlignment="1">
      <alignment horizontal="left" vertical="center" wrapText="1"/>
    </xf>
    <xf numFmtId="3" fontId="63" fillId="0" borderId="37" xfId="58940" applyNumberFormat="1" applyFont="1" applyFill="1" applyBorder="1" applyAlignment="1">
      <alignment horizontal="left" vertical="center" wrapText="1"/>
    </xf>
    <xf numFmtId="3" fontId="53" fillId="0" borderId="37" xfId="58940" applyNumberFormat="1" applyFont="1" applyFill="1" applyBorder="1" applyAlignment="1">
      <alignment horizontal="left" vertical="center" wrapText="1"/>
    </xf>
    <xf numFmtId="0" fontId="119" fillId="0" borderId="37" xfId="58940" applyFont="1" applyFill="1" applyBorder="1" applyAlignment="1">
      <alignment horizontal="left" vertical="center" wrapText="1"/>
    </xf>
    <xf numFmtId="0" fontId="63" fillId="0" borderId="37" xfId="58940" applyFont="1" applyFill="1" applyBorder="1" applyAlignment="1">
      <alignment horizontal="left" vertical="center" wrapText="1"/>
    </xf>
    <xf numFmtId="3" fontId="119" fillId="0" borderId="37" xfId="0" applyNumberFormat="1" applyFont="1" applyFill="1" applyBorder="1" applyAlignment="1">
      <alignment horizontal="left" vertical="center" wrapText="1"/>
    </xf>
    <xf numFmtId="0" fontId="53" fillId="0" borderId="37" xfId="58940" applyFont="1" applyFill="1" applyBorder="1" applyAlignment="1">
      <alignment horizontal="left" vertical="center" wrapText="1"/>
    </xf>
    <xf numFmtId="0" fontId="129" fillId="0" borderId="37" xfId="58940" applyFont="1" applyFill="1" applyBorder="1" applyAlignment="1">
      <alignment horizontal="left" vertical="center" wrapText="1"/>
    </xf>
    <xf numFmtId="4" fontId="53" fillId="0" borderId="37" xfId="58975" applyNumberFormat="1" applyFont="1" applyFill="1" applyBorder="1" applyAlignment="1">
      <alignment horizontal="left" vertical="center" wrapText="1"/>
    </xf>
    <xf numFmtId="3" fontId="63" fillId="0" borderId="37" xfId="0" applyNumberFormat="1" applyFont="1" applyFill="1" applyBorder="1" applyAlignment="1">
      <alignment horizontal="left" vertical="center" wrapText="1"/>
    </xf>
    <xf numFmtId="3" fontId="53" fillId="0" borderId="37" xfId="0" applyNumberFormat="1" applyFont="1" applyFill="1" applyBorder="1" applyAlignment="1">
      <alignment horizontal="left" vertical="center" wrapText="1"/>
    </xf>
    <xf numFmtId="3" fontId="53" fillId="0" borderId="59" xfId="58940" applyNumberFormat="1" applyFont="1" applyFill="1" applyBorder="1" applyAlignment="1">
      <alignment horizontal="center" vertical="center"/>
    </xf>
    <xf numFmtId="3" fontId="53" fillId="0" borderId="60" xfId="58940" applyNumberFormat="1" applyFont="1" applyFill="1" applyBorder="1" applyAlignment="1">
      <alignment horizontal="center" vertical="center"/>
    </xf>
    <xf numFmtId="3" fontId="63" fillId="0" borderId="0" xfId="0" applyNumberFormat="1" applyFont="1" applyFill="1" applyAlignment="1">
      <alignment horizontal="left" vertical="center"/>
    </xf>
    <xf numFmtId="3" fontId="63" fillId="0" borderId="57" xfId="0" applyNumberFormat="1" applyFont="1" applyFill="1" applyBorder="1" applyAlignment="1">
      <alignment horizontal="center" vertical="center"/>
    </xf>
    <xf numFmtId="3" fontId="63" fillId="0" borderId="29" xfId="0" applyNumberFormat="1" applyFont="1" applyFill="1" applyBorder="1" applyAlignment="1">
      <alignment horizontal="center" vertical="center"/>
    </xf>
    <xf numFmtId="0" fontId="53" fillId="0" borderId="37" xfId="0" applyFont="1" applyFill="1" applyBorder="1" applyAlignment="1">
      <alignment horizontal="left" vertical="center"/>
    </xf>
    <xf numFmtId="3" fontId="59" fillId="0" borderId="11" xfId="0" quotePrefix="1" applyNumberFormat="1" applyFont="1" applyFill="1" applyBorder="1" applyAlignment="1">
      <alignment horizontal="center" vertical="center"/>
    </xf>
    <xf numFmtId="3" fontId="59" fillId="0" borderId="37" xfId="0" applyNumberFormat="1" applyFont="1" applyFill="1" applyBorder="1" applyAlignment="1">
      <alignment horizontal="left" vertical="center"/>
    </xf>
    <xf numFmtId="3" fontId="59" fillId="0" borderId="48" xfId="0" quotePrefix="1" applyNumberFormat="1" applyFont="1" applyFill="1" applyBorder="1" applyAlignment="1">
      <alignment horizontal="center" vertical="center"/>
    </xf>
    <xf numFmtId="3" fontId="59" fillId="0" borderId="59" xfId="0" applyNumberFormat="1" applyFont="1" applyFill="1" applyBorder="1" applyAlignment="1">
      <alignment horizontal="left" vertical="center"/>
    </xf>
    <xf numFmtId="3" fontId="115" fillId="0" borderId="52" xfId="0" applyNumberFormat="1" applyFont="1" applyFill="1" applyBorder="1" applyAlignment="1">
      <alignment horizontal="center" vertical="center"/>
    </xf>
    <xf numFmtId="3" fontId="58" fillId="0" borderId="37" xfId="0" applyNumberFormat="1" applyFont="1" applyFill="1" applyBorder="1" applyAlignment="1">
      <alignment horizontal="center" vertical="center" wrapText="1"/>
    </xf>
    <xf numFmtId="0" fontId="118" fillId="0" borderId="57" xfId="0" applyFont="1" applyFill="1" applyBorder="1" applyAlignment="1">
      <alignment horizontal="center" vertical="center" wrapText="1"/>
    </xf>
    <xf numFmtId="0" fontId="118" fillId="0" borderId="29" xfId="0" applyFont="1" applyFill="1" applyBorder="1" applyAlignment="1">
      <alignment horizontal="center" vertical="center" wrapText="1"/>
    </xf>
    <xf numFmtId="0" fontId="118" fillId="0" borderId="58" xfId="0" applyFont="1" applyFill="1" applyBorder="1" applyAlignment="1">
      <alignment horizontal="center" vertical="center" wrapText="1"/>
    </xf>
    <xf numFmtId="3" fontId="118" fillId="0" borderId="57" xfId="0" applyNumberFormat="1" applyFont="1" applyFill="1" applyBorder="1" applyAlignment="1">
      <alignment horizontal="center" vertical="center"/>
    </xf>
    <xf numFmtId="3" fontId="118" fillId="0" borderId="35" xfId="0" applyNumberFormat="1" applyFont="1" applyFill="1" applyBorder="1" applyAlignment="1">
      <alignment horizontal="center" vertical="center"/>
    </xf>
    <xf numFmtId="3" fontId="55" fillId="0" borderId="54" xfId="0" applyNumberFormat="1" applyFont="1" applyFill="1" applyBorder="1" applyAlignment="1">
      <alignment horizontal="center" vertical="center"/>
    </xf>
    <xf numFmtId="3" fontId="55" fillId="0" borderId="29" xfId="0" applyNumberFormat="1" applyFont="1" applyFill="1" applyBorder="1" applyAlignment="1">
      <alignment horizontal="center" vertical="center"/>
    </xf>
    <xf numFmtId="3" fontId="55" fillId="0" borderId="35" xfId="0" applyNumberFormat="1" applyFont="1" applyFill="1" applyBorder="1" applyAlignment="1">
      <alignment horizontal="center" vertical="center"/>
    </xf>
    <xf numFmtId="3" fontId="56" fillId="0" borderId="43" xfId="0" applyNumberFormat="1" applyFont="1" applyFill="1" applyBorder="1" applyAlignment="1">
      <alignment horizontal="center" vertical="center"/>
    </xf>
    <xf numFmtId="3" fontId="56" fillId="0" borderId="42" xfId="0" applyNumberFormat="1" applyFont="1" applyFill="1" applyBorder="1" applyAlignment="1">
      <alignment horizontal="center" vertical="center"/>
    </xf>
    <xf numFmtId="3" fontId="56" fillId="0" borderId="45" xfId="0" applyNumberFormat="1" applyFont="1" applyFill="1" applyBorder="1" applyAlignment="1">
      <alignment horizontal="center" vertical="center"/>
    </xf>
    <xf numFmtId="3" fontId="56" fillId="0" borderId="56" xfId="0" applyNumberFormat="1" applyFont="1" applyFill="1" applyBorder="1" applyAlignment="1">
      <alignment horizontal="center" vertical="center"/>
    </xf>
    <xf numFmtId="3" fontId="132" fillId="0" borderId="65" xfId="0" applyNumberFormat="1" applyFont="1" applyFill="1" applyBorder="1" applyAlignment="1">
      <alignment horizontal="center" vertical="center"/>
    </xf>
    <xf numFmtId="3" fontId="51" fillId="0" borderId="15" xfId="58940" applyNumberFormat="1" applyFont="1" applyFill="1" applyBorder="1" applyAlignment="1">
      <alignment horizontal="left" vertical="center" wrapText="1"/>
    </xf>
    <xf numFmtId="3" fontId="61" fillId="0" borderId="15" xfId="58940" applyNumberFormat="1" applyFont="1" applyFill="1" applyBorder="1" applyAlignment="1">
      <alignment horizontal="left" vertical="center" wrapText="1"/>
    </xf>
    <xf numFmtId="0" fontId="61" fillId="0" borderId="15" xfId="58940" applyFont="1" applyFill="1" applyBorder="1" applyAlignment="1">
      <alignment horizontal="left" vertical="center" wrapText="1"/>
    </xf>
    <xf numFmtId="0" fontId="51" fillId="0" borderId="15" xfId="58940" applyFont="1" applyFill="1" applyBorder="1" applyAlignment="1">
      <alignment horizontal="left" vertical="center" wrapText="1"/>
    </xf>
    <xf numFmtId="3" fontId="51" fillId="0" borderId="15" xfId="0" applyNumberFormat="1" applyFont="1" applyFill="1" applyBorder="1" applyAlignment="1">
      <alignment horizontal="left" vertical="center" wrapText="1"/>
    </xf>
    <xf numFmtId="3" fontId="51" fillId="0" borderId="58" xfId="58940" applyNumberFormat="1" applyFont="1" applyFill="1" applyBorder="1" applyAlignment="1">
      <alignment horizontal="left" vertical="center" wrapText="1"/>
    </xf>
    <xf numFmtId="3" fontId="61" fillId="0" borderId="58" xfId="0" applyNumberFormat="1" applyFont="1" applyFill="1" applyBorder="1" applyAlignment="1">
      <alignment horizontal="left" vertical="center" wrapText="1"/>
    </xf>
    <xf numFmtId="0" fontId="59" fillId="0" borderId="11" xfId="0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left" vertical="center"/>
    </xf>
    <xf numFmtId="3" fontId="132" fillId="0" borderId="59" xfId="0" applyNumberFormat="1" applyFont="1" applyFill="1" applyBorder="1" applyAlignment="1">
      <alignment horizontal="center" vertical="center"/>
    </xf>
    <xf numFmtId="3" fontId="118" fillId="74" borderId="44" xfId="0" applyNumberFormat="1" applyFont="1" applyFill="1" applyBorder="1" applyAlignment="1">
      <alignment horizontal="center" vertical="center" wrapText="1"/>
    </xf>
    <xf numFmtId="3" fontId="56" fillId="74" borderId="39" xfId="58923" applyNumberFormat="1" applyFont="1" applyFill="1" applyBorder="1" applyAlignment="1">
      <alignment horizontal="center" vertical="center" wrapText="1"/>
    </xf>
    <xf numFmtId="3" fontId="63" fillId="74" borderId="39" xfId="58923" applyNumberFormat="1" applyFont="1" applyFill="1" applyBorder="1" applyAlignment="1">
      <alignment horizontal="center" vertical="center" wrapText="1"/>
    </xf>
    <xf numFmtId="0" fontId="59" fillId="0" borderId="11" xfId="59012" applyFont="1" applyFill="1" applyBorder="1" applyAlignment="1">
      <alignment horizontal="center" vertical="center"/>
    </xf>
    <xf numFmtId="49" fontId="51" fillId="0" borderId="11" xfId="58921" applyNumberFormat="1" applyFont="1" applyFill="1" applyBorder="1" applyAlignment="1">
      <alignment horizontal="center" vertical="center" wrapText="1"/>
    </xf>
    <xf numFmtId="0" fontId="61" fillId="0" borderId="11" xfId="58921" applyFont="1" applyFill="1" applyBorder="1" applyAlignment="1">
      <alignment horizontal="left" vertical="center" wrapText="1"/>
    </xf>
    <xf numFmtId="0" fontId="51" fillId="0" borderId="11" xfId="58921" applyFont="1" applyFill="1" applyBorder="1" applyAlignment="1">
      <alignment horizontal="center" vertical="center" wrapText="1"/>
    </xf>
    <xf numFmtId="49" fontId="51" fillId="0" borderId="11" xfId="58921" applyNumberFormat="1" applyFont="1" applyFill="1" applyBorder="1" applyAlignment="1">
      <alignment horizontal="center" vertical="center"/>
    </xf>
    <xf numFmtId="0" fontId="51" fillId="0" borderId="11" xfId="58921" applyFont="1" applyFill="1" applyBorder="1" applyAlignment="1">
      <alignment horizontal="left" vertical="center" wrapText="1"/>
    </xf>
    <xf numFmtId="49" fontId="59" fillId="0" borderId="11" xfId="58921" applyNumberFormat="1" applyFont="1" applyFill="1" applyBorder="1" applyAlignment="1">
      <alignment horizontal="center" vertical="center" wrapText="1"/>
    </xf>
    <xf numFmtId="0" fontId="59" fillId="0" borderId="11" xfId="4" applyFont="1" applyFill="1" applyBorder="1" applyAlignment="1">
      <alignment horizontal="center" vertical="center"/>
    </xf>
    <xf numFmtId="49" fontId="51" fillId="0" borderId="11" xfId="59012" applyNumberFormat="1" applyFont="1" applyFill="1" applyBorder="1" applyAlignment="1">
      <alignment horizontal="center" vertical="center" wrapText="1"/>
    </xf>
    <xf numFmtId="0" fontId="61" fillId="0" borderId="11" xfId="59012" applyFont="1" applyFill="1" applyBorder="1" applyAlignment="1">
      <alignment horizontal="left" vertical="center" wrapText="1"/>
    </xf>
    <xf numFmtId="49" fontId="59" fillId="0" borderId="11" xfId="58921" applyNumberFormat="1" applyFont="1" applyFill="1" applyBorder="1" applyAlignment="1">
      <alignment horizontal="center" vertical="center"/>
    </xf>
    <xf numFmtId="49" fontId="51" fillId="0" borderId="11" xfId="59012" applyNumberFormat="1" applyFont="1" applyFill="1" applyBorder="1" applyAlignment="1">
      <alignment horizontal="center" vertical="center"/>
    </xf>
    <xf numFmtId="0" fontId="51" fillId="0" borderId="11" xfId="59012" applyFont="1" applyFill="1" applyBorder="1" applyAlignment="1">
      <alignment horizontal="left" vertical="center" wrapText="1"/>
    </xf>
    <xf numFmtId="49" fontId="51" fillId="0" borderId="11" xfId="58921" applyNumberFormat="1" applyFont="1" applyFill="1" applyBorder="1" applyAlignment="1">
      <alignment horizontal="left" vertical="center" wrapText="1"/>
    </xf>
    <xf numFmtId="49" fontId="63" fillId="0" borderId="11" xfId="58921" applyNumberFormat="1" applyFont="1" applyFill="1" applyBorder="1" applyAlignment="1">
      <alignment horizontal="center" vertical="center"/>
    </xf>
    <xf numFmtId="0" fontId="63" fillId="0" borderId="11" xfId="58921" applyFont="1" applyFill="1" applyBorder="1" applyAlignment="1">
      <alignment horizontal="left" vertical="center" wrapText="1"/>
    </xf>
    <xf numFmtId="3" fontId="61" fillId="0" borderId="11" xfId="59012" applyNumberFormat="1" applyFont="1" applyFill="1" applyBorder="1" applyAlignment="1">
      <alignment horizontal="left" vertical="center" wrapText="1"/>
    </xf>
    <xf numFmtId="3" fontId="59" fillId="0" borderId="11" xfId="59012" applyNumberFormat="1" applyFont="1" applyFill="1" applyBorder="1" applyAlignment="1">
      <alignment horizontal="left" vertical="center" wrapText="1"/>
    </xf>
    <xf numFmtId="3" fontId="61" fillId="0" borderId="29" xfId="59012" applyNumberFormat="1" applyFont="1" applyFill="1" applyBorder="1" applyAlignment="1">
      <alignment horizontal="left" vertical="center" wrapText="1"/>
    </xf>
    <xf numFmtId="0" fontId="59" fillId="0" borderId="11" xfId="59012" applyFont="1" applyFill="1" applyBorder="1" applyAlignment="1">
      <alignment horizontal="left" vertical="center"/>
    </xf>
    <xf numFmtId="0" fontId="122" fillId="0" borderId="0" xfId="57801" applyFont="1" applyFill="1"/>
    <xf numFmtId="3" fontId="122" fillId="0" borderId="0" xfId="57801" applyNumberFormat="1" applyFont="1" applyFill="1"/>
    <xf numFmtId="0" fontId="118" fillId="0" borderId="11" xfId="58585" applyFont="1" applyFill="1" applyBorder="1" applyAlignment="1">
      <alignment horizontal="center" vertical="center" wrapText="1"/>
    </xf>
    <xf numFmtId="0" fontId="55" fillId="0" borderId="11" xfId="57801" applyFont="1" applyFill="1" applyBorder="1" applyAlignment="1">
      <alignment horizontal="center" wrapText="1"/>
    </xf>
    <xf numFmtId="0" fontId="55" fillId="0" borderId="11" xfId="57801" applyFont="1" applyFill="1" applyBorder="1" applyAlignment="1">
      <alignment horizontal="center" vertical="center" wrapText="1"/>
    </xf>
    <xf numFmtId="0" fontId="55" fillId="0" borderId="0" xfId="57801" applyFont="1" applyFill="1"/>
    <xf numFmtId="3" fontId="127" fillId="0" borderId="11" xfId="57801" applyNumberFormat="1" applyFont="1" applyFill="1" applyBorder="1" applyAlignment="1">
      <alignment horizontal="center" vertical="center" wrapText="1"/>
    </xf>
    <xf numFmtId="3" fontId="55" fillId="0" borderId="0" xfId="57801" applyNumberFormat="1" applyFont="1" applyFill="1"/>
    <xf numFmtId="3" fontId="122" fillId="0" borderId="11" xfId="57801" applyNumberFormat="1" applyFont="1" applyFill="1" applyBorder="1" applyAlignment="1">
      <alignment horizontal="center" vertical="center" wrapText="1"/>
    </xf>
    <xf numFmtId="3" fontId="122" fillId="0" borderId="0" xfId="57801" applyNumberFormat="1" applyFont="1" applyFill="1" applyAlignment="1">
      <alignment horizontal="center" vertical="center"/>
    </xf>
    <xf numFmtId="0" fontId="59" fillId="0" borderId="11" xfId="58585" applyFont="1" applyFill="1" applyBorder="1" applyAlignment="1">
      <alignment horizontal="center" vertical="center"/>
    </xf>
    <xf numFmtId="49" fontId="51" fillId="0" borderId="11" xfId="3" applyNumberFormat="1" applyFont="1" applyFill="1" applyBorder="1" applyAlignment="1">
      <alignment horizontal="center" vertical="center" wrapText="1"/>
    </xf>
    <xf numFmtId="0" fontId="61" fillId="0" borderId="11" xfId="3" applyFont="1" applyFill="1" applyBorder="1" applyAlignment="1">
      <alignment horizontal="left" vertical="center" wrapText="1"/>
    </xf>
    <xf numFmtId="0" fontId="51" fillId="0" borderId="11" xfId="3" applyFont="1" applyFill="1" applyBorder="1" applyAlignment="1">
      <alignment horizontal="center" vertical="center" wrapText="1"/>
    </xf>
    <xf numFmtId="49" fontId="51" fillId="0" borderId="11" xfId="3" applyNumberFormat="1" applyFont="1" applyFill="1" applyBorder="1" applyAlignment="1">
      <alignment horizontal="center" vertical="center"/>
    </xf>
    <xf numFmtId="49" fontId="59" fillId="0" borderId="11" xfId="3" applyNumberFormat="1" applyFont="1" applyFill="1" applyBorder="1" applyAlignment="1">
      <alignment horizontal="center" vertical="center" wrapText="1"/>
    </xf>
    <xf numFmtId="49" fontId="51" fillId="0" borderId="11" xfId="58585" applyNumberFormat="1" applyFont="1" applyFill="1" applyBorder="1" applyAlignment="1">
      <alignment horizontal="center" vertical="center" wrapText="1"/>
    </xf>
    <xf numFmtId="0" fontId="61" fillId="0" borderId="11" xfId="58585" applyFont="1" applyFill="1" applyBorder="1" applyAlignment="1">
      <alignment horizontal="left" vertical="center" wrapText="1"/>
    </xf>
    <xf numFmtId="49" fontId="51" fillId="0" borderId="11" xfId="58585" applyNumberFormat="1" applyFont="1" applyFill="1" applyBorder="1" applyAlignment="1">
      <alignment horizontal="center" vertical="center"/>
    </xf>
    <xf numFmtId="0" fontId="51" fillId="0" borderId="11" xfId="58585" applyFont="1" applyFill="1" applyBorder="1" applyAlignment="1">
      <alignment horizontal="left" vertical="center" wrapText="1"/>
    </xf>
    <xf numFmtId="49" fontId="51" fillId="0" borderId="11" xfId="3" applyNumberFormat="1" applyFont="1" applyFill="1" applyBorder="1" applyAlignment="1">
      <alignment horizontal="left" vertical="center" wrapText="1"/>
    </xf>
    <xf numFmtId="0" fontId="59" fillId="0" borderId="0" xfId="58585" applyFont="1" applyFill="1" applyAlignment="1">
      <alignment horizontal="left" vertical="center"/>
    </xf>
    <xf numFmtId="4" fontId="127" fillId="0" borderId="0" xfId="0" applyNumberFormat="1" applyFont="1" applyFill="1"/>
    <xf numFmtId="0" fontId="118" fillId="74" borderId="72" xfId="61320" applyFont="1" applyFill="1" applyBorder="1" applyAlignment="1">
      <alignment vertical="center"/>
    </xf>
    <xf numFmtId="0" fontId="118" fillId="74" borderId="73" xfId="61320" applyFont="1" applyFill="1" applyBorder="1" applyAlignment="1">
      <alignment vertical="center"/>
    </xf>
    <xf numFmtId="3" fontId="118" fillId="74" borderId="59" xfId="61320" applyNumberFormat="1" applyFont="1" applyFill="1" applyBorder="1" applyAlignment="1">
      <alignment horizontal="center" vertical="center"/>
    </xf>
    <xf numFmtId="0" fontId="118" fillId="74" borderId="72" xfId="6132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49" fontId="53" fillId="0" borderId="11" xfId="58940" applyNumberFormat="1" applyFont="1" applyFill="1" applyBorder="1" applyAlignment="1">
      <alignment horizontal="center" vertical="center"/>
    </xf>
    <xf numFmtId="3" fontId="53" fillId="0" borderId="36" xfId="58940" applyNumberFormat="1" applyFont="1" applyFill="1" applyBorder="1" applyAlignment="1">
      <alignment horizontal="center" vertical="center" wrapText="1"/>
    </xf>
    <xf numFmtId="3" fontId="53" fillId="0" borderId="11" xfId="58940" applyNumberFormat="1" applyFont="1" applyFill="1" applyBorder="1" applyAlignment="1">
      <alignment horizontal="center" vertical="center" wrapText="1"/>
    </xf>
    <xf numFmtId="3" fontId="59" fillId="0" borderId="52" xfId="58940" applyNumberFormat="1" applyFont="1" applyFill="1" applyBorder="1" applyAlignment="1">
      <alignment horizontal="center" vertical="center" wrapText="1"/>
    </xf>
    <xf numFmtId="3" fontId="59" fillId="0" borderId="51" xfId="0" applyNumberFormat="1" applyFont="1" applyFill="1" applyBorder="1" applyAlignment="1">
      <alignment horizontal="center" vertical="center" wrapText="1"/>
    </xf>
    <xf numFmtId="3" fontId="59" fillId="0" borderId="69" xfId="0" applyNumberFormat="1" applyFont="1" applyFill="1" applyBorder="1" applyAlignment="1">
      <alignment horizontal="center" vertical="center"/>
    </xf>
    <xf numFmtId="3" fontId="56" fillId="0" borderId="68" xfId="0" applyNumberFormat="1" applyFont="1" applyFill="1" applyBorder="1" applyAlignment="1">
      <alignment horizontal="center" vertical="center"/>
    </xf>
    <xf numFmtId="3" fontId="56" fillId="0" borderId="69" xfId="0" applyNumberFormat="1" applyFont="1" applyFill="1" applyBorder="1" applyAlignment="1">
      <alignment horizontal="center" vertical="center"/>
    </xf>
    <xf numFmtId="3" fontId="51" fillId="0" borderId="36" xfId="0" applyNumberFormat="1" applyFont="1" applyFill="1" applyBorder="1" applyAlignment="1">
      <alignment horizontal="center"/>
    </xf>
    <xf numFmtId="3" fontId="59" fillId="0" borderId="69" xfId="0" applyNumberFormat="1" applyFont="1" applyFill="1" applyBorder="1" applyAlignment="1">
      <alignment horizontal="center"/>
    </xf>
    <xf numFmtId="3" fontId="59" fillId="0" borderId="37" xfId="0" applyNumberFormat="1" applyFont="1" applyFill="1" applyBorder="1" applyAlignment="1">
      <alignment horizontal="center"/>
    </xf>
    <xf numFmtId="3" fontId="51" fillId="0" borderId="49" xfId="0" applyNumberFormat="1" applyFont="1" applyFill="1" applyBorder="1" applyAlignment="1">
      <alignment horizontal="center"/>
    </xf>
    <xf numFmtId="3" fontId="59" fillId="0" borderId="15" xfId="0" applyNumberFormat="1" applyFont="1" applyFill="1" applyBorder="1" applyAlignment="1">
      <alignment horizontal="left" vertical="center"/>
    </xf>
    <xf numFmtId="3" fontId="59" fillId="0" borderId="52" xfId="0" applyNumberFormat="1" applyFont="1" applyFill="1" applyBorder="1" applyAlignment="1">
      <alignment horizontal="left" vertical="center"/>
    </xf>
    <xf numFmtId="0" fontId="63" fillId="0" borderId="69" xfId="0" applyFont="1" applyFill="1" applyBorder="1" applyAlignment="1">
      <alignment horizontal="center" vertical="center" wrapText="1"/>
    </xf>
    <xf numFmtId="3" fontId="63" fillId="0" borderId="69" xfId="0" applyNumberFormat="1" applyFont="1" applyFill="1" applyBorder="1" applyAlignment="1">
      <alignment horizontal="center" vertical="center"/>
    </xf>
    <xf numFmtId="3" fontId="115" fillId="0" borderId="69" xfId="0" applyNumberFormat="1" applyFont="1" applyFill="1" applyBorder="1" applyAlignment="1">
      <alignment horizontal="center" vertical="center"/>
    </xf>
    <xf numFmtId="3" fontId="165" fillId="0" borderId="69" xfId="0" applyNumberFormat="1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49" fontId="53" fillId="0" borderId="11" xfId="58940" applyNumberFormat="1" applyFont="1" applyFill="1" applyBorder="1" applyAlignment="1">
      <alignment horizontal="center" vertical="center"/>
    </xf>
    <xf numFmtId="3" fontId="53" fillId="0" borderId="11" xfId="58940" applyNumberFormat="1" applyFont="1" applyFill="1" applyBorder="1" applyAlignment="1">
      <alignment horizontal="center" vertical="center" wrapText="1"/>
    </xf>
    <xf numFmtId="3" fontId="51" fillId="0" borderId="69" xfId="0" applyNumberFormat="1" applyFont="1" applyFill="1" applyBorder="1" applyAlignment="1">
      <alignment horizontal="center" vertical="center"/>
    </xf>
    <xf numFmtId="3" fontId="132" fillId="0" borderId="69" xfId="0" applyNumberFormat="1" applyFont="1" applyFill="1" applyBorder="1" applyAlignment="1">
      <alignment horizontal="center" vertical="center"/>
    </xf>
    <xf numFmtId="3" fontId="132" fillId="0" borderId="68" xfId="0" applyNumberFormat="1" applyFont="1" applyFill="1" applyBorder="1" applyAlignment="1">
      <alignment horizontal="center" vertical="center"/>
    </xf>
    <xf numFmtId="3" fontId="55" fillId="0" borderId="36" xfId="0" applyNumberFormat="1" applyFont="1" applyFill="1" applyBorder="1" applyAlignment="1">
      <alignment horizontal="center" vertical="center" wrapText="1"/>
    </xf>
    <xf numFmtId="3" fontId="55" fillId="0" borderId="11" xfId="0" applyNumberFormat="1" applyFont="1" applyFill="1" applyBorder="1" applyAlignment="1">
      <alignment horizontal="center" vertical="center" wrapText="1"/>
    </xf>
    <xf numFmtId="3" fontId="58" fillId="0" borderId="11" xfId="0" applyNumberFormat="1" applyFont="1" applyFill="1" applyBorder="1" applyAlignment="1">
      <alignment horizontal="center" vertical="center" wrapText="1"/>
    </xf>
    <xf numFmtId="3" fontId="55" fillId="0" borderId="69" xfId="0" applyNumberFormat="1" applyFont="1" applyFill="1" applyBorder="1" applyAlignment="1">
      <alignment horizontal="center" vertical="center" wrapText="1"/>
    </xf>
    <xf numFmtId="3" fontId="115" fillId="0" borderId="44" xfId="0" applyNumberFormat="1" applyFont="1" applyFill="1" applyBorder="1" applyAlignment="1">
      <alignment horizontal="center" vertical="center"/>
    </xf>
    <xf numFmtId="3" fontId="129" fillId="0" borderId="43" xfId="0" applyNumberFormat="1" applyFont="1" applyFill="1" applyBorder="1" applyAlignment="1">
      <alignment horizontal="center" vertical="center"/>
    </xf>
    <xf numFmtId="3" fontId="129" fillId="0" borderId="45" xfId="0" applyNumberFormat="1" applyFont="1" applyFill="1" applyBorder="1" applyAlignment="1">
      <alignment horizontal="center" vertical="center"/>
    </xf>
    <xf numFmtId="3" fontId="115" fillId="0" borderId="56" xfId="0" applyNumberFormat="1" applyFont="1" applyFill="1" applyBorder="1" applyAlignment="1">
      <alignment horizontal="center" vertical="center"/>
    </xf>
    <xf numFmtId="3" fontId="129" fillId="0" borderId="36" xfId="0" applyNumberFormat="1" applyFont="1" applyFill="1" applyBorder="1" applyAlignment="1">
      <alignment horizontal="center" vertical="center"/>
    </xf>
    <xf numFmtId="3" fontId="53" fillId="0" borderId="49" xfId="0" applyNumberFormat="1" applyFont="1" applyFill="1" applyBorder="1" applyAlignment="1">
      <alignment horizontal="center" vertical="center"/>
    </xf>
    <xf numFmtId="3" fontId="53" fillId="0" borderId="69" xfId="58940" applyNumberFormat="1" applyFont="1" applyFill="1" applyBorder="1" applyAlignment="1">
      <alignment horizontal="center" vertical="center"/>
    </xf>
    <xf numFmtId="3" fontId="63" fillId="0" borderId="53" xfId="0" applyNumberFormat="1" applyFont="1" applyFill="1" applyBorder="1" applyAlignment="1">
      <alignment horizontal="center" vertical="center"/>
    </xf>
    <xf numFmtId="3" fontId="59" fillId="0" borderId="36" xfId="58940" applyNumberFormat="1" applyFont="1" applyFill="1" applyBorder="1" applyAlignment="1">
      <alignment horizontal="center" vertical="center"/>
    </xf>
    <xf numFmtId="3" fontId="118" fillId="74" borderId="0" xfId="61320" applyNumberFormat="1" applyFont="1" applyFill="1" applyAlignment="1">
      <alignment vertical="center"/>
    </xf>
    <xf numFmtId="3" fontId="55" fillId="0" borderId="11" xfId="0" applyNumberFormat="1" applyFont="1" applyFill="1" applyBorder="1" applyAlignment="1">
      <alignment horizontal="center" vertical="center" wrapText="1"/>
    </xf>
    <xf numFmtId="3" fontId="159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0" xfId="0" applyFont="1" applyFill="1" applyAlignment="1">
      <alignment horizontal="center" vertical="center"/>
    </xf>
    <xf numFmtId="0" fontId="122" fillId="0" borderId="11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/>
    </xf>
    <xf numFmtId="0" fontId="118" fillId="0" borderId="11" xfId="0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center" vertical="center" wrapText="1"/>
    </xf>
    <xf numFmtId="0" fontId="136" fillId="0" borderId="0" xfId="0" applyFont="1" applyFill="1" applyAlignment="1">
      <alignment horizontal="left" vertical="center"/>
    </xf>
    <xf numFmtId="0" fontId="43" fillId="0" borderId="0" xfId="59012" applyFill="1"/>
    <xf numFmtId="3" fontId="43" fillId="0" borderId="0" xfId="59012" applyNumberFormat="1" applyFill="1"/>
    <xf numFmtId="0" fontId="117" fillId="0" borderId="0" xfId="61416" applyFont="1" applyFill="1" applyAlignment="1">
      <alignment vertical="center" wrapText="1"/>
    </xf>
    <xf numFmtId="0" fontId="63" fillId="0" borderId="11" xfId="61416" applyFont="1" applyFill="1" applyBorder="1" applyAlignment="1">
      <alignment horizontal="center" vertical="center" wrapText="1"/>
    </xf>
    <xf numFmtId="0" fontId="55" fillId="0" borderId="54" xfId="61416" applyFont="1" applyFill="1" applyBorder="1" applyAlignment="1">
      <alignment horizontal="center" vertical="center" wrapText="1"/>
    </xf>
    <xf numFmtId="0" fontId="55" fillId="0" borderId="29" xfId="61416" applyFont="1" applyFill="1" applyBorder="1" applyAlignment="1">
      <alignment horizontal="center" vertical="center" wrapText="1"/>
    </xf>
    <xf numFmtId="0" fontId="55" fillId="0" borderId="11" xfId="61416" applyFont="1" applyFill="1" applyBorder="1" applyAlignment="1">
      <alignment horizontal="center" vertical="center" wrapText="1"/>
    </xf>
    <xf numFmtId="3" fontId="115" fillId="0" borderId="11" xfId="61416" applyNumberFormat="1" applyFont="1" applyFill="1" applyBorder="1" applyAlignment="1">
      <alignment horizontal="center" vertical="center" wrapText="1"/>
    </xf>
    <xf numFmtId="3" fontId="115" fillId="0" borderId="0" xfId="0" applyNumberFormat="1" applyFont="1" applyFill="1"/>
    <xf numFmtId="4" fontId="115" fillId="0" borderId="0" xfId="0" applyNumberFormat="1" applyFont="1" applyFill="1"/>
    <xf numFmtId="4" fontId="124" fillId="0" borderId="11" xfId="61423" applyNumberFormat="1" applyFont="1" applyFill="1" applyBorder="1" applyAlignment="1">
      <alignment vertical="center" wrapText="1"/>
    </xf>
    <xf numFmtId="4" fontId="124" fillId="0" borderId="11" xfId="61423" applyNumberFormat="1" applyFont="1" applyFill="1" applyBorder="1" applyAlignment="1">
      <alignment horizontal="left" vertical="center" wrapText="1"/>
    </xf>
    <xf numFmtId="0" fontId="124" fillId="0" borderId="29" xfId="0" applyFont="1" applyFill="1" applyBorder="1" applyAlignment="1">
      <alignment horizontal="center" vertical="center"/>
    </xf>
    <xf numFmtId="0" fontId="122" fillId="0" borderId="11" xfId="0" applyFont="1" applyFill="1" applyBorder="1" applyAlignment="1">
      <alignment horizontal="center" vertical="center" wrapText="1"/>
    </xf>
    <xf numFmtId="0" fontId="122" fillId="0" borderId="0" xfId="61428" applyFont="1" applyFill="1" applyAlignment="1">
      <alignment vertical="center" wrapText="1"/>
    </xf>
    <xf numFmtId="0" fontId="122" fillId="0" borderId="11" xfId="61428" applyFont="1" applyFill="1" applyBorder="1" applyAlignment="1">
      <alignment horizontal="center" vertical="center" wrapText="1"/>
    </xf>
    <xf numFmtId="0" fontId="122" fillId="0" borderId="54" xfId="61428" applyFont="1" applyFill="1" applyBorder="1" applyAlignment="1">
      <alignment horizontal="center" vertical="center" wrapText="1"/>
    </xf>
    <xf numFmtId="0" fontId="122" fillId="0" borderId="29" xfId="61428" applyFont="1" applyFill="1" applyBorder="1" applyAlignment="1">
      <alignment horizontal="center" vertical="center" wrapText="1"/>
    </xf>
    <xf numFmtId="3" fontId="127" fillId="0" borderId="11" xfId="61428" applyNumberFormat="1" applyFont="1" applyFill="1" applyBorder="1" applyAlignment="1">
      <alignment horizontal="center" vertical="center" wrapText="1"/>
    </xf>
    <xf numFmtId="0" fontId="116" fillId="74" borderId="0" xfId="61435" applyFont="1" applyFill="1" applyAlignment="1">
      <alignment horizontal="center" vertical="center" wrapText="1"/>
    </xf>
    <xf numFmtId="0" fontId="5" fillId="74" borderId="0" xfId="61435" applyFill="1"/>
    <xf numFmtId="0" fontId="134" fillId="74" borderId="11" xfId="61435" applyFont="1" applyFill="1" applyBorder="1" applyAlignment="1">
      <alignment horizontal="center" vertical="center" wrapText="1"/>
    </xf>
    <xf numFmtId="0" fontId="134" fillId="74" borderId="15" xfId="61435" applyFont="1" applyFill="1" applyBorder="1" applyAlignment="1">
      <alignment horizontal="center" vertical="center" wrapText="1"/>
    </xf>
    <xf numFmtId="0" fontId="54" fillId="74" borderId="11" xfId="61435" applyFont="1" applyFill="1" applyBorder="1" applyAlignment="1">
      <alignment horizontal="center" vertical="center" wrapText="1"/>
    </xf>
    <xf numFmtId="0" fontId="54" fillId="74" borderId="11" xfId="61435" applyFont="1" applyFill="1" applyBorder="1" applyAlignment="1">
      <alignment horizontal="center" vertical="center"/>
    </xf>
    <xf numFmtId="0" fontId="54" fillId="74" borderId="15" xfId="61435" applyFont="1" applyFill="1" applyBorder="1" applyAlignment="1">
      <alignment horizontal="center" vertical="center" wrapText="1"/>
    </xf>
    <xf numFmtId="49" fontId="135" fillId="74" borderId="11" xfId="61435" applyNumberFormat="1" applyFont="1" applyFill="1" applyBorder="1" applyAlignment="1">
      <alignment horizontal="center" vertical="center" wrapText="1"/>
    </xf>
    <xf numFmtId="0" fontId="54" fillId="74" borderId="11" xfId="61435" applyFont="1" applyFill="1" applyBorder="1" applyAlignment="1">
      <alignment vertical="center" wrapText="1"/>
    </xf>
    <xf numFmtId="3" fontId="54" fillId="74" borderId="11" xfId="61435" applyNumberFormat="1" applyFont="1" applyFill="1" applyBorder="1" applyAlignment="1">
      <alignment horizontal="right" vertical="center" wrapText="1"/>
    </xf>
    <xf numFmtId="0" fontId="54" fillId="74" borderId="11" xfId="61435" applyFont="1" applyFill="1" applyBorder="1" applyAlignment="1">
      <alignment horizontal="right" vertical="center"/>
    </xf>
    <xf numFmtId="0" fontId="54" fillId="74" borderId="11" xfId="61435" applyFont="1" applyFill="1" applyBorder="1" applyAlignment="1">
      <alignment horizontal="right" vertical="center" wrapText="1"/>
    </xf>
    <xf numFmtId="3" fontId="5" fillId="74" borderId="0" xfId="61435" applyNumberFormat="1" applyFill="1"/>
    <xf numFmtId="49" fontId="51" fillId="74" borderId="11" xfId="61390" applyNumberFormat="1" applyFont="1" applyFill="1" applyBorder="1" applyAlignment="1">
      <alignment horizontal="center" vertical="center" wrapText="1"/>
    </xf>
    <xf numFmtId="0" fontId="61" fillId="74" borderId="11" xfId="61390" applyFont="1" applyFill="1" applyBorder="1" applyAlignment="1">
      <alignment horizontal="left" vertical="center" wrapText="1"/>
    </xf>
    <xf numFmtId="0" fontId="51" fillId="74" borderId="11" xfId="61390" applyFont="1" applyFill="1" applyBorder="1" applyAlignment="1">
      <alignment horizontal="center" vertical="center" wrapText="1"/>
    </xf>
    <xf numFmtId="0" fontId="57" fillId="74" borderId="11" xfId="61435" applyFont="1" applyFill="1" applyBorder="1" applyAlignment="1">
      <alignment horizontal="center" vertical="center"/>
    </xf>
    <xf numFmtId="0" fontId="57" fillId="74" borderId="11" xfId="61435" applyFont="1" applyFill="1" applyBorder="1" applyAlignment="1">
      <alignment vertical="center" wrapText="1"/>
    </xf>
    <xf numFmtId="3" fontId="57" fillId="74" borderId="11" xfId="61435" applyNumberFormat="1" applyFont="1" applyFill="1" applyBorder="1" applyAlignment="1">
      <alignment horizontal="right" vertical="center" wrapText="1"/>
    </xf>
    <xf numFmtId="0" fontId="3" fillId="74" borderId="0" xfId="61438" applyFill="1"/>
    <xf numFmtId="0" fontId="3" fillId="0" borderId="0" xfId="61438" applyFill="1"/>
    <xf numFmtId="0" fontId="116" fillId="74" borderId="0" xfId="61438" applyFont="1" applyFill="1" applyAlignment="1"/>
    <xf numFmtId="0" fontId="51" fillId="74" borderId="11" xfId="61439" applyFont="1" applyFill="1" applyBorder="1" applyAlignment="1">
      <alignment horizontal="center" vertical="center" wrapText="1"/>
    </xf>
    <xf numFmtId="0" fontId="52" fillId="74" borderId="11" xfId="61438" applyFont="1" applyFill="1" applyBorder="1" applyAlignment="1">
      <alignment horizontal="center" vertical="center" wrapText="1"/>
    </xf>
    <xf numFmtId="0" fontId="51" fillId="74" borderId="11" xfId="61438" applyFont="1" applyFill="1" applyBorder="1" applyAlignment="1">
      <alignment horizontal="center" vertical="center" wrapText="1"/>
    </xf>
    <xf numFmtId="0" fontId="51" fillId="74" borderId="11" xfId="61438" applyFont="1" applyFill="1" applyBorder="1" applyAlignment="1">
      <alignment horizontal="center" vertical="center"/>
    </xf>
    <xf numFmtId="0" fontId="51" fillId="74" borderId="11" xfId="61438" applyFont="1" applyFill="1" applyBorder="1" applyAlignment="1">
      <alignment vertical="center" wrapText="1"/>
    </xf>
    <xf numFmtId="3" fontId="52" fillId="74" borderId="11" xfId="61438" applyNumberFormat="1" applyFont="1" applyFill="1" applyBorder="1" applyAlignment="1">
      <alignment horizontal="center" vertical="center" wrapText="1"/>
    </xf>
    <xf numFmtId="0" fontId="132" fillId="74" borderId="11" xfId="61438" applyFont="1" applyFill="1" applyBorder="1" applyAlignment="1">
      <alignment vertical="center" wrapText="1"/>
    </xf>
    <xf numFmtId="0" fontId="51" fillId="0" borderId="11" xfId="61438" applyFont="1" applyFill="1" applyBorder="1" applyAlignment="1">
      <alignment horizontal="center" vertical="center"/>
    </xf>
    <xf numFmtId="0" fontId="51" fillId="0" borderId="11" xfId="61438" applyFont="1" applyFill="1" applyBorder="1" applyAlignment="1">
      <alignment vertical="center" wrapText="1"/>
    </xf>
    <xf numFmtId="0" fontId="51" fillId="0" borderId="11" xfId="61438" applyFont="1" applyFill="1" applyBorder="1" applyAlignment="1">
      <alignment vertical="center"/>
    </xf>
    <xf numFmtId="3" fontId="133" fillId="0" borderId="11" xfId="61438" applyNumberFormat="1" applyFont="1" applyFill="1" applyBorder="1" applyAlignment="1">
      <alignment horizontal="center" vertical="center"/>
    </xf>
    <xf numFmtId="3" fontId="51" fillId="74" borderId="0" xfId="61440" applyNumberFormat="1" applyFont="1" applyFill="1"/>
    <xf numFmtId="3" fontId="51" fillId="74" borderId="29" xfId="61440" applyNumberFormat="1" applyFont="1" applyFill="1" applyBorder="1" applyAlignment="1">
      <alignment horizontal="center" vertical="center" wrapText="1"/>
    </xf>
    <xf numFmtId="3" fontId="52" fillId="74" borderId="29" xfId="61440" applyNumberFormat="1" applyFont="1" applyFill="1" applyBorder="1" applyAlignment="1">
      <alignment horizontal="center" vertical="center" wrapText="1"/>
    </xf>
    <xf numFmtId="3" fontId="52" fillId="74" borderId="14" xfId="61441" applyNumberFormat="1" applyFont="1" applyFill="1" applyBorder="1" applyAlignment="1">
      <alignment horizontal="center" vertical="center" wrapText="1"/>
    </xf>
    <xf numFmtId="0" fontId="51" fillId="74" borderId="0" xfId="61442" applyFont="1" applyFill="1" applyAlignment="1">
      <alignment horizontal="center" vertical="center" wrapText="1"/>
    </xf>
    <xf numFmtId="3" fontId="51" fillId="74" borderId="0" xfId="61440" applyNumberFormat="1" applyFont="1" applyFill="1" applyAlignment="1">
      <alignment horizontal="center"/>
    </xf>
    <xf numFmtId="3" fontId="54" fillId="74" borderId="11" xfId="61440" applyNumberFormat="1" applyFont="1" applyFill="1" applyBorder="1" applyAlignment="1">
      <alignment horizontal="center" vertical="center" wrapText="1"/>
    </xf>
    <xf numFmtId="3" fontId="54" fillId="74" borderId="11" xfId="61440" applyNumberFormat="1" applyFont="1" applyFill="1" applyBorder="1" applyAlignment="1">
      <alignment horizontal="center" vertical="center"/>
    </xf>
    <xf numFmtId="3" fontId="55" fillId="74" borderId="11" xfId="61440" applyNumberFormat="1" applyFont="1" applyFill="1" applyBorder="1" applyAlignment="1">
      <alignment horizontal="center"/>
    </xf>
    <xf numFmtId="3" fontId="55" fillId="74" borderId="0" xfId="61440" applyNumberFormat="1" applyFont="1" applyFill="1"/>
    <xf numFmtId="3" fontId="57" fillId="74" borderId="11" xfId="61440" applyNumberFormat="1" applyFont="1" applyFill="1" applyBorder="1" applyAlignment="1">
      <alignment horizontal="center" vertical="center"/>
    </xf>
    <xf numFmtId="3" fontId="57" fillId="74" borderId="11" xfId="61440" applyNumberFormat="1" applyFont="1" applyFill="1" applyBorder="1" applyAlignment="1">
      <alignment horizontal="center" vertical="center" wrapText="1"/>
    </xf>
    <xf numFmtId="3" fontId="58" fillId="74" borderId="11" xfId="61440" applyNumberFormat="1" applyFont="1" applyFill="1" applyBorder="1" applyAlignment="1">
      <alignment horizontal="center" vertical="center"/>
    </xf>
    <xf numFmtId="171" fontId="55" fillId="74" borderId="0" xfId="61440" applyNumberFormat="1" applyFont="1" applyFill="1"/>
    <xf numFmtId="172" fontId="55" fillId="74" borderId="0" xfId="61440" applyNumberFormat="1" applyFont="1" applyFill="1"/>
    <xf numFmtId="4" fontId="55" fillId="74" borderId="0" xfId="61440" applyNumberFormat="1" applyFont="1" applyFill="1"/>
    <xf numFmtId="3" fontId="55" fillId="74" borderId="11" xfId="61440" applyNumberFormat="1" applyFont="1" applyFill="1" applyBorder="1" applyAlignment="1">
      <alignment horizontal="center" vertical="center"/>
    </xf>
    <xf numFmtId="3" fontId="52" fillId="74" borderId="11" xfId="61440" applyNumberFormat="1" applyFont="1" applyFill="1" applyBorder="1" applyAlignment="1">
      <alignment horizontal="center" vertical="center"/>
    </xf>
    <xf numFmtId="3" fontId="51" fillId="74" borderId="11" xfId="61440" applyNumberFormat="1" applyFont="1" applyFill="1" applyBorder="1" applyAlignment="1">
      <alignment horizontal="center" vertical="center"/>
    </xf>
    <xf numFmtId="4" fontId="51" fillId="74" borderId="0" xfId="61440" applyNumberFormat="1" applyFont="1" applyFill="1"/>
    <xf numFmtId="3" fontId="51" fillId="74" borderId="11" xfId="61440" applyNumberFormat="1" applyFont="1" applyFill="1" applyBorder="1" applyAlignment="1">
      <alignment horizontal="center" vertical="center" wrapText="1"/>
    </xf>
    <xf numFmtId="3" fontId="51" fillId="74" borderId="11" xfId="61440" applyNumberFormat="1" applyFont="1" applyFill="1" applyBorder="1" applyAlignment="1">
      <alignment horizontal="center"/>
    </xf>
    <xf numFmtId="0" fontId="2" fillId="0" borderId="0" xfId="61443" applyFill="1"/>
    <xf numFmtId="3" fontId="2" fillId="0" borderId="0" xfId="61443" applyNumberFormat="1" applyFill="1"/>
    <xf numFmtId="0" fontId="52" fillId="0" borderId="11" xfId="61444" applyFont="1" applyFill="1" applyBorder="1" applyAlignment="1">
      <alignment horizontal="center" vertical="center" wrapText="1"/>
    </xf>
    <xf numFmtId="0" fontId="51" fillId="0" borderId="11" xfId="61444" applyFont="1" applyFill="1" applyBorder="1" applyAlignment="1">
      <alignment horizontal="center" vertical="center" wrapText="1"/>
    </xf>
    <xf numFmtId="0" fontId="54" fillId="0" borderId="11" xfId="61443" applyFont="1" applyFill="1" applyBorder="1" applyAlignment="1">
      <alignment horizontal="center" vertical="center" wrapText="1"/>
    </xf>
    <xf numFmtId="3" fontId="52" fillId="0" borderId="11" xfId="61443" applyNumberFormat="1" applyFont="1" applyFill="1" applyBorder="1" applyAlignment="1">
      <alignment horizontal="center" vertical="center"/>
    </xf>
    <xf numFmtId="3" fontId="133" fillId="0" borderId="11" xfId="61443" applyNumberFormat="1" applyFont="1" applyFill="1" applyBorder="1" applyAlignment="1">
      <alignment horizontal="center" vertical="center"/>
    </xf>
    <xf numFmtId="0" fontId="161" fillId="0" borderId="0" xfId="61443" applyFont="1" applyFill="1"/>
    <xf numFmtId="3" fontId="161" fillId="0" borderId="0" xfId="61443" applyNumberFormat="1" applyFont="1" applyFill="1"/>
    <xf numFmtId="4" fontId="161" fillId="0" borderId="0" xfId="61443" applyNumberFormat="1" applyFont="1" applyFill="1"/>
    <xf numFmtId="0" fontId="51" fillId="0" borderId="0" xfId="61445" applyFont="1" applyFill="1"/>
    <xf numFmtId="3" fontId="51" fillId="0" borderId="0" xfId="61445" applyNumberFormat="1" applyFont="1" applyFill="1"/>
    <xf numFmtId="0" fontId="54" fillId="0" borderId="11" xfId="61445" applyFont="1" applyFill="1" applyBorder="1" applyAlignment="1">
      <alignment horizontal="center" vertical="center" wrapText="1"/>
    </xf>
    <xf numFmtId="0" fontId="54" fillId="0" borderId="11" xfId="61445" applyFont="1" applyFill="1" applyBorder="1" applyAlignment="1">
      <alignment horizontal="center" vertical="center"/>
    </xf>
    <xf numFmtId="3" fontId="54" fillId="0" borderId="11" xfId="61445" applyNumberFormat="1" applyFont="1" applyFill="1" applyBorder="1" applyAlignment="1">
      <alignment horizontal="center" vertical="center"/>
    </xf>
    <xf numFmtId="0" fontId="55" fillId="0" borderId="0" xfId="61445" applyFont="1" applyFill="1"/>
    <xf numFmtId="3" fontId="57" fillId="0" borderId="11" xfId="61445" applyNumberFormat="1" applyFont="1" applyFill="1" applyBorder="1" applyAlignment="1">
      <alignment horizontal="center" vertical="center"/>
    </xf>
    <xf numFmtId="3" fontId="58" fillId="0" borderId="0" xfId="61445" applyNumberFormat="1" applyFont="1" applyFill="1"/>
    <xf numFmtId="3" fontId="55" fillId="0" borderId="0" xfId="61445" applyNumberFormat="1" applyFont="1" applyFill="1"/>
    <xf numFmtId="3" fontId="52" fillId="0" borderId="11" xfId="61445" applyNumberFormat="1" applyFont="1" applyFill="1" applyBorder="1" applyAlignment="1">
      <alignment horizontal="center" vertical="center"/>
    </xf>
    <xf numFmtId="3" fontId="51" fillId="0" borderId="11" xfId="61445" applyNumberFormat="1" applyFont="1" applyFill="1" applyBorder="1" applyAlignment="1">
      <alignment horizontal="center" vertical="center"/>
    </xf>
    <xf numFmtId="0" fontId="51" fillId="0" borderId="11" xfId="61445" applyFont="1" applyFill="1" applyBorder="1" applyAlignment="1">
      <alignment horizontal="center"/>
    </xf>
    <xf numFmtId="3" fontId="51" fillId="0" borderId="11" xfId="61445" applyNumberFormat="1" applyFont="1" applyFill="1" applyBorder="1" applyAlignment="1">
      <alignment horizontal="center"/>
    </xf>
    <xf numFmtId="0" fontId="51" fillId="0" borderId="0" xfId="61447" applyFont="1" applyFill="1"/>
    <xf numFmtId="0" fontId="52" fillId="0" borderId="15" xfId="61447" applyFont="1" applyFill="1" applyBorder="1" applyAlignment="1">
      <alignment horizontal="center" vertical="center" wrapText="1"/>
    </xf>
    <xf numFmtId="0" fontId="51" fillId="0" borderId="11" xfId="61447" applyFont="1" applyFill="1" applyBorder="1" applyAlignment="1">
      <alignment horizontal="center" vertical="center" wrapText="1"/>
    </xf>
    <xf numFmtId="0" fontId="54" fillId="0" borderId="11" xfId="61447" applyFont="1" applyFill="1" applyBorder="1" applyAlignment="1">
      <alignment horizontal="center" vertical="center" wrapText="1"/>
    </xf>
    <xf numFmtId="0" fontId="54" fillId="0" borderId="11" xfId="61447" applyFont="1" applyFill="1" applyBorder="1" applyAlignment="1">
      <alignment horizontal="center" vertical="center"/>
    </xf>
    <xf numFmtId="3" fontId="54" fillId="0" borderId="11" xfId="61447" applyNumberFormat="1" applyFont="1" applyFill="1" applyBorder="1" applyAlignment="1">
      <alignment horizontal="center" vertical="center"/>
    </xf>
    <xf numFmtId="0" fontId="55" fillId="0" borderId="11" xfId="61447" applyFont="1" applyFill="1" applyBorder="1" applyAlignment="1">
      <alignment horizontal="center"/>
    </xf>
    <xf numFmtId="0" fontId="55" fillId="0" borderId="0" xfId="61447" applyFont="1" applyFill="1"/>
    <xf numFmtId="3" fontId="57" fillId="0" borderId="11" xfId="61447" applyNumberFormat="1" applyFont="1" applyFill="1" applyBorder="1" applyAlignment="1">
      <alignment horizontal="center" vertical="center"/>
    </xf>
    <xf numFmtId="3" fontId="52" fillId="0" borderId="11" xfId="61447" applyNumberFormat="1" applyFont="1" applyFill="1" applyBorder="1" applyAlignment="1">
      <alignment horizontal="center" vertical="center"/>
    </xf>
    <xf numFmtId="0" fontId="51" fillId="0" borderId="11" xfId="61447" applyFont="1" applyFill="1" applyBorder="1" applyAlignment="1">
      <alignment horizontal="center"/>
    </xf>
    <xf numFmtId="0" fontId="52" fillId="0" borderId="29" xfId="61443" applyFont="1" applyFill="1" applyBorder="1" applyAlignment="1">
      <alignment horizontal="center" vertical="center" wrapText="1"/>
    </xf>
    <xf numFmtId="0" fontId="52" fillId="0" borderId="15" xfId="61443" applyFont="1" applyFill="1" applyBorder="1" applyAlignment="1">
      <alignment horizontal="center" vertical="center" wrapText="1"/>
    </xf>
    <xf numFmtId="0" fontId="51" fillId="0" borderId="11" xfId="61443" applyFont="1" applyFill="1" applyBorder="1" applyAlignment="1">
      <alignment horizontal="center" vertical="center" wrapText="1"/>
    </xf>
    <xf numFmtId="0" fontId="54" fillId="0" borderId="11" xfId="61443" applyFont="1" applyFill="1" applyBorder="1" applyAlignment="1">
      <alignment horizontal="center" vertical="center"/>
    </xf>
    <xf numFmtId="3" fontId="54" fillId="0" borderId="11" xfId="61443" applyNumberFormat="1" applyFont="1" applyFill="1" applyBorder="1" applyAlignment="1">
      <alignment horizontal="center" vertical="center"/>
    </xf>
    <xf numFmtId="3" fontId="57" fillId="0" borderId="11" xfId="61443" applyNumberFormat="1" applyFont="1" applyFill="1" applyBorder="1" applyAlignment="1">
      <alignment horizontal="center" vertical="center"/>
    </xf>
    <xf numFmtId="0" fontId="103" fillId="0" borderId="0" xfId="61293" applyFill="1" applyAlignment="1">
      <alignment horizontal="center" vertical="center"/>
    </xf>
    <xf numFmtId="0" fontId="103" fillId="0" borderId="0" xfId="61293" applyFill="1" applyAlignment="1">
      <alignment horizontal="center"/>
    </xf>
    <xf numFmtId="0" fontId="103" fillId="0" borderId="0" xfId="61293" applyFill="1"/>
    <xf numFmtId="0" fontId="125" fillId="0" borderId="11" xfId="61293" applyFont="1" applyFill="1" applyBorder="1" applyAlignment="1">
      <alignment horizontal="center" vertical="center"/>
    </xf>
    <xf numFmtId="0" fontId="125" fillId="0" borderId="11" xfId="61293" applyFont="1" applyFill="1" applyBorder="1" applyAlignment="1">
      <alignment horizontal="center"/>
    </xf>
    <xf numFmtId="0" fontId="125" fillId="0" borderId="11" xfId="61293" applyFont="1" applyFill="1" applyBorder="1" applyAlignment="1">
      <alignment horizontal="center" vertical="center" wrapText="1"/>
    </xf>
    <xf numFmtId="0" fontId="125" fillId="0" borderId="0" xfId="61293" applyFont="1" applyFill="1"/>
    <xf numFmtId="3" fontId="125" fillId="0" borderId="11" xfId="61293" applyNumberFormat="1" applyFont="1" applyFill="1" applyBorder="1" applyAlignment="1">
      <alignment horizontal="center" vertical="center"/>
    </xf>
    <xf numFmtId="3" fontId="125" fillId="0" borderId="0" xfId="61293" applyNumberFormat="1" applyFont="1" applyFill="1"/>
    <xf numFmtId="0" fontId="103" fillId="0" borderId="11" xfId="61293" applyFill="1" applyBorder="1" applyAlignment="1">
      <alignment horizontal="center" vertical="center"/>
    </xf>
    <xf numFmtId="49" fontId="103" fillId="0" borderId="11" xfId="61293" applyNumberFormat="1" applyFill="1" applyBorder="1" applyAlignment="1">
      <alignment horizontal="center"/>
    </xf>
    <xf numFmtId="0" fontId="63" fillId="0" borderId="11" xfId="61293" applyFont="1" applyFill="1" applyBorder="1" applyAlignment="1">
      <alignment vertical="center" wrapText="1"/>
    </xf>
    <xf numFmtId="3" fontId="103" fillId="0" borderId="11" xfId="61293" applyNumberFormat="1" applyFill="1" applyBorder="1" applyAlignment="1">
      <alignment horizontal="center" vertical="center"/>
    </xf>
    <xf numFmtId="3" fontId="103" fillId="0" borderId="0" xfId="61293" applyNumberFormat="1" applyFill="1"/>
    <xf numFmtId="0" fontId="53" fillId="74" borderId="0" xfId="61448" applyFont="1" applyFill="1" applyAlignment="1">
      <alignment vertical="center"/>
    </xf>
    <xf numFmtId="0" fontId="53" fillId="74" borderId="0" xfId="61448" applyFont="1" applyFill="1" applyAlignment="1">
      <alignment horizontal="center" vertical="center"/>
    </xf>
    <xf numFmtId="49" fontId="53" fillId="74" borderId="0" xfId="61448" applyNumberFormat="1" applyFont="1" applyFill="1" applyAlignment="1">
      <alignment horizontal="center" vertical="center"/>
    </xf>
    <xf numFmtId="3" fontId="53" fillId="74" borderId="0" xfId="61448" applyNumberFormat="1" applyFont="1" applyFill="1" applyAlignment="1">
      <alignment horizontal="center" vertical="center"/>
    </xf>
    <xf numFmtId="3" fontId="53" fillId="74" borderId="32" xfId="61448" applyNumberFormat="1" applyFont="1" applyFill="1" applyBorder="1" applyAlignment="1">
      <alignment horizontal="center" vertical="center"/>
    </xf>
    <xf numFmtId="2" fontId="124" fillId="74" borderId="33" xfId="61448" applyNumberFormat="1" applyFont="1" applyFill="1" applyBorder="1" applyAlignment="1">
      <alignment vertical="center"/>
    </xf>
    <xf numFmtId="2" fontId="171" fillId="74" borderId="33" xfId="61448" applyNumberFormat="1" applyFont="1" applyFill="1" applyBorder="1" applyAlignment="1">
      <alignment vertical="center"/>
    </xf>
    <xf numFmtId="2" fontId="171" fillId="74" borderId="34" xfId="61448" applyNumberFormat="1" applyFont="1" applyFill="1" applyBorder="1" applyAlignment="1">
      <alignment vertical="center"/>
    </xf>
    <xf numFmtId="3" fontId="53" fillId="74" borderId="33" xfId="61448" applyNumberFormat="1" applyFont="1" applyFill="1" applyBorder="1" applyAlignment="1">
      <alignment horizontal="left" vertical="center"/>
    </xf>
    <xf numFmtId="3" fontId="53" fillId="74" borderId="33" xfId="61448" applyNumberFormat="1" applyFont="1" applyFill="1" applyBorder="1" applyAlignment="1">
      <alignment vertical="center"/>
    </xf>
    <xf numFmtId="3" fontId="53" fillId="74" borderId="34" xfId="61448" applyNumberFormat="1" applyFont="1" applyFill="1" applyBorder="1" applyAlignment="1">
      <alignment vertical="center"/>
    </xf>
    <xf numFmtId="0" fontId="53" fillId="74" borderId="36" xfId="61448" applyFont="1" applyFill="1" applyBorder="1" applyAlignment="1">
      <alignment horizontal="center" vertical="center" wrapText="1"/>
    </xf>
    <xf numFmtId="3" fontId="53" fillId="74" borderId="11" xfId="61448" applyNumberFormat="1" applyFont="1" applyFill="1" applyBorder="1" applyAlignment="1">
      <alignment horizontal="center" vertical="center"/>
    </xf>
    <xf numFmtId="3" fontId="53" fillId="74" borderId="11" xfId="61448" applyNumberFormat="1" applyFont="1" applyFill="1" applyBorder="1" applyAlignment="1">
      <alignment horizontal="center" vertical="center" wrapText="1"/>
    </xf>
    <xf numFmtId="3" fontId="53" fillId="74" borderId="37" xfId="61448" applyNumberFormat="1" applyFont="1" applyFill="1" applyBorder="1" applyAlignment="1">
      <alignment horizontal="center" vertical="center" wrapText="1"/>
    </xf>
    <xf numFmtId="3" fontId="53" fillId="74" borderId="36" xfId="61448" applyNumberFormat="1" applyFont="1" applyFill="1" applyBorder="1" applyAlignment="1">
      <alignment horizontal="center" vertical="center"/>
    </xf>
    <xf numFmtId="0" fontId="53" fillId="74" borderId="11" xfId="61448" applyFont="1" applyFill="1" applyBorder="1" applyAlignment="1">
      <alignment horizontal="center" vertical="center" wrapText="1"/>
    </xf>
    <xf numFmtId="49" fontId="53" fillId="74" borderId="14" xfId="61448" applyNumberFormat="1" applyFont="1" applyFill="1" applyBorder="1" applyAlignment="1">
      <alignment horizontal="center" vertical="center" wrapText="1"/>
    </xf>
    <xf numFmtId="0" fontId="129" fillId="74" borderId="15" xfId="61448" applyFont="1" applyFill="1" applyBorder="1" applyAlignment="1">
      <alignment vertical="center"/>
    </xf>
    <xf numFmtId="3" fontId="129" fillId="74" borderId="36" xfId="61448" applyNumberFormat="1" applyFont="1" applyFill="1" applyBorder="1" applyAlignment="1">
      <alignment horizontal="center" vertical="center" wrapText="1"/>
    </xf>
    <xf numFmtId="3" fontId="129" fillId="74" borderId="11" xfId="61448" applyNumberFormat="1" applyFont="1" applyFill="1" applyBorder="1" applyAlignment="1">
      <alignment horizontal="center" vertical="center"/>
    </xf>
    <xf numFmtId="3" fontId="129" fillId="74" borderId="11" xfId="61448" applyNumberFormat="1" applyFont="1" applyFill="1" applyBorder="1" applyAlignment="1">
      <alignment horizontal="center" vertical="center" wrapText="1"/>
    </xf>
    <xf numFmtId="3" fontId="129" fillId="74" borderId="37" xfId="61448" applyNumberFormat="1" applyFont="1" applyFill="1" applyBorder="1" applyAlignment="1">
      <alignment horizontal="center" vertical="center" wrapText="1"/>
    </xf>
    <xf numFmtId="3" fontId="129" fillId="74" borderId="36" xfId="61448" applyNumberFormat="1" applyFont="1" applyFill="1" applyBorder="1" applyAlignment="1">
      <alignment horizontal="center" vertical="center"/>
    </xf>
    <xf numFmtId="4" fontId="56" fillId="74" borderId="77" xfId="61448" applyNumberFormat="1" applyFont="1" applyFill="1" applyBorder="1" applyAlignment="1">
      <alignment vertical="center" wrapText="1"/>
    </xf>
    <xf numFmtId="3" fontId="53" fillId="74" borderId="36" xfId="61449" applyNumberFormat="1" applyFont="1" applyFill="1" applyBorder="1" applyAlignment="1">
      <alignment horizontal="center" vertical="center" wrapText="1"/>
    </xf>
    <xf numFmtId="3" fontId="53" fillId="74" borderId="11" xfId="61449" applyNumberFormat="1" applyFont="1" applyFill="1" applyBorder="1" applyAlignment="1">
      <alignment horizontal="center" vertical="center" wrapText="1"/>
    </xf>
    <xf numFmtId="3" fontId="53" fillId="74" borderId="37" xfId="61448" applyNumberFormat="1" applyFont="1" applyFill="1" applyBorder="1" applyAlignment="1">
      <alignment horizontal="center" vertical="center"/>
    </xf>
    <xf numFmtId="0" fontId="53" fillId="74" borderId="11" xfId="61448" applyFont="1" applyFill="1" applyBorder="1" applyAlignment="1">
      <alignment horizontal="center" vertical="center"/>
    </xf>
    <xf numFmtId="0" fontId="59" fillId="74" borderId="15" xfId="58975" applyFont="1" applyFill="1" applyBorder="1" applyAlignment="1">
      <alignment horizontal="left" vertical="center" wrapText="1"/>
    </xf>
    <xf numFmtId="3" fontId="53" fillId="74" borderId="37" xfId="61449" applyNumberFormat="1" applyFont="1" applyFill="1" applyBorder="1" applyAlignment="1">
      <alignment horizontal="center" vertical="center" wrapText="1"/>
    </xf>
    <xf numFmtId="49" fontId="53" fillId="74" borderId="11" xfId="58975" applyNumberFormat="1" applyFont="1" applyFill="1" applyBorder="1" applyAlignment="1">
      <alignment horizontal="center" vertical="center"/>
    </xf>
    <xf numFmtId="3" fontId="53" fillId="74" borderId="15" xfId="61319" applyNumberFormat="1" applyFont="1" applyFill="1" applyBorder="1" applyAlignment="1">
      <alignment horizontal="left" vertical="center" wrapText="1"/>
    </xf>
    <xf numFmtId="49" fontId="53" fillId="74" borderId="11" xfId="61448" applyNumberFormat="1" applyFont="1" applyFill="1" applyBorder="1" applyAlignment="1">
      <alignment horizontal="center" vertical="center"/>
    </xf>
    <xf numFmtId="3" fontId="129" fillId="74" borderId="51" xfId="61448" applyNumberFormat="1" applyFont="1" applyFill="1" applyBorder="1" applyAlignment="1">
      <alignment horizontal="center" vertical="center"/>
    </xf>
    <xf numFmtId="3" fontId="129" fillId="74" borderId="48" xfId="61448" applyNumberFormat="1" applyFont="1" applyFill="1" applyBorder="1" applyAlignment="1">
      <alignment horizontal="center" vertical="center"/>
    </xf>
    <xf numFmtId="3" fontId="129" fillId="74" borderId="59" xfId="61448" applyNumberFormat="1" applyFont="1" applyFill="1" applyBorder="1" applyAlignment="1">
      <alignment horizontal="center" vertical="center"/>
    </xf>
    <xf numFmtId="3" fontId="53" fillId="74" borderId="0" xfId="61448" applyNumberFormat="1" applyFont="1" applyFill="1" applyBorder="1" applyAlignment="1">
      <alignment horizontal="left" vertical="center"/>
    </xf>
    <xf numFmtId="49" fontId="53" fillId="74" borderId="0" xfId="61448" applyNumberFormat="1" applyFont="1" applyFill="1" applyBorder="1" applyAlignment="1">
      <alignment horizontal="left" vertical="center"/>
    </xf>
    <xf numFmtId="3" fontId="53" fillId="74" borderId="0" xfId="61448" applyNumberFormat="1" applyFont="1" applyFill="1" applyBorder="1" applyAlignment="1">
      <alignment horizontal="right" vertical="center"/>
    </xf>
    <xf numFmtId="3" fontId="53" fillId="74" borderId="0" xfId="61448" applyNumberFormat="1" applyFont="1" applyFill="1" applyBorder="1" applyAlignment="1">
      <alignment horizontal="center" vertical="center"/>
    </xf>
    <xf numFmtId="3" fontId="53" fillId="74" borderId="0" xfId="61448" applyNumberFormat="1" applyFont="1" applyFill="1" applyBorder="1" applyAlignment="1">
      <alignment vertical="center"/>
    </xf>
    <xf numFmtId="0" fontId="53" fillId="74" borderId="0" xfId="61448" applyFont="1" applyFill="1" applyBorder="1" applyAlignment="1">
      <alignment horizontal="center" vertical="center"/>
    </xf>
    <xf numFmtId="49" fontId="53" fillId="74" borderId="0" xfId="61448" applyNumberFormat="1" applyFont="1" applyFill="1" applyBorder="1" applyAlignment="1">
      <alignment horizontal="center" vertical="center"/>
    </xf>
    <xf numFmtId="0" fontId="53" fillId="74" borderId="0" xfId="61448" applyFont="1" applyFill="1" applyBorder="1" applyAlignment="1">
      <alignment horizontal="right" vertical="center"/>
    </xf>
    <xf numFmtId="0" fontId="53" fillId="74" borderId="0" xfId="61448" applyFont="1" applyFill="1" applyBorder="1" applyAlignment="1">
      <alignment vertical="center"/>
    </xf>
    <xf numFmtId="3" fontId="53" fillId="74" borderId="0" xfId="61448" applyNumberFormat="1" applyFont="1" applyFill="1" applyAlignment="1">
      <alignment vertical="center"/>
    </xf>
    <xf numFmtId="0" fontId="53" fillId="79" borderId="0" xfId="61448" applyFont="1" applyFill="1" applyAlignment="1">
      <alignment horizontal="right" vertical="center"/>
    </xf>
    <xf numFmtId="0" fontId="53" fillId="79" borderId="0" xfId="61448" applyFont="1" applyFill="1" applyAlignment="1">
      <alignment vertical="center"/>
    </xf>
    <xf numFmtId="3" fontId="53" fillId="79" borderId="0" xfId="61448" applyNumberFormat="1" applyFont="1" applyFill="1" applyAlignment="1">
      <alignment horizontal="center" vertical="center"/>
    </xf>
    <xf numFmtId="3" fontId="53" fillId="74" borderId="0" xfId="61448" applyNumberFormat="1" applyFont="1" applyFill="1" applyAlignment="1">
      <alignment horizontal="left" vertical="center"/>
    </xf>
    <xf numFmtId="3" fontId="53" fillId="74" borderId="42" xfId="61448" applyNumberFormat="1" applyFont="1" applyFill="1" applyBorder="1" applyAlignment="1">
      <alignment horizontal="left" vertical="center"/>
    </xf>
    <xf numFmtId="3" fontId="53" fillId="74" borderId="42" xfId="61448" applyNumberFormat="1" applyFont="1" applyFill="1" applyBorder="1" applyAlignment="1">
      <alignment vertical="center"/>
    </xf>
    <xf numFmtId="3" fontId="53" fillId="74" borderId="45" xfId="61448" applyNumberFormat="1" applyFont="1" applyFill="1" applyBorder="1" applyAlignment="1">
      <alignment vertical="center"/>
    </xf>
    <xf numFmtId="3" fontId="53" fillId="74" borderId="36" xfId="61448" applyNumberFormat="1" applyFont="1" applyFill="1" applyBorder="1" applyAlignment="1">
      <alignment horizontal="center" vertical="center" wrapText="1"/>
    </xf>
    <xf numFmtId="0" fontId="144" fillId="74" borderId="11" xfId="61448" applyFont="1" applyFill="1" applyBorder="1" applyAlignment="1">
      <alignment horizontal="center" vertical="center" wrapText="1"/>
    </xf>
    <xf numFmtId="0" fontId="129" fillId="74" borderId="11" xfId="61448" applyFont="1" applyFill="1" applyBorder="1" applyAlignment="1">
      <alignment vertical="center"/>
    </xf>
    <xf numFmtId="4" fontId="129" fillId="74" borderId="11" xfId="61448" applyNumberFormat="1" applyFont="1" applyFill="1" applyBorder="1" applyAlignment="1">
      <alignment vertical="center" wrapText="1"/>
    </xf>
    <xf numFmtId="3" fontId="129" fillId="74" borderId="37" xfId="61448" applyNumberFormat="1" applyFont="1" applyFill="1" applyBorder="1" applyAlignment="1">
      <alignment horizontal="center" vertical="center"/>
    </xf>
    <xf numFmtId="4" fontId="53" fillId="74" borderId="11" xfId="61448" applyNumberFormat="1" applyFont="1" applyFill="1" applyBorder="1" applyAlignment="1">
      <alignment vertical="center" wrapText="1"/>
    </xf>
    <xf numFmtId="0" fontId="53" fillId="74" borderId="11" xfId="58975" applyFont="1" applyFill="1" applyBorder="1" applyAlignment="1">
      <alignment horizontal="left" vertical="center" wrapText="1"/>
    </xf>
    <xf numFmtId="3" fontId="53" fillId="74" borderId="11" xfId="61448" applyNumberFormat="1" applyFont="1" applyFill="1" applyBorder="1" applyAlignment="1">
      <alignment horizontal="left" vertical="center"/>
    </xf>
    <xf numFmtId="3" fontId="63" fillId="74" borderId="11" xfId="61448" applyNumberFormat="1" applyFont="1" applyFill="1" applyBorder="1" applyAlignment="1">
      <alignment horizontal="center" vertical="center"/>
    </xf>
    <xf numFmtId="3" fontId="63" fillId="74" borderId="11" xfId="61448" applyNumberFormat="1" applyFont="1" applyFill="1" applyBorder="1" applyAlignment="1">
      <alignment horizontal="left" vertical="center"/>
    </xf>
    <xf numFmtId="49" fontId="53" fillId="74" borderId="11" xfId="58975" applyNumberFormat="1" applyFont="1" applyFill="1" applyBorder="1" applyAlignment="1">
      <alignment horizontal="center" vertical="center" wrapText="1"/>
    </xf>
    <xf numFmtId="0" fontId="53" fillId="74" borderId="51" xfId="61448" applyFont="1" applyFill="1" applyBorder="1" applyAlignment="1">
      <alignment horizontal="center" vertical="center"/>
    </xf>
    <xf numFmtId="0" fontId="53" fillId="74" borderId="48" xfId="61448" applyFont="1" applyFill="1" applyBorder="1" applyAlignment="1">
      <alignment horizontal="center" vertical="center"/>
    </xf>
    <xf numFmtId="3" fontId="129" fillId="74" borderId="48" xfId="61448" applyNumberFormat="1" applyFont="1" applyFill="1" applyBorder="1" applyAlignment="1">
      <alignment horizontal="left" vertical="center" wrapText="1"/>
    </xf>
    <xf numFmtId="3" fontId="53" fillId="74" borderId="0" xfId="61448" applyNumberFormat="1" applyFont="1" applyFill="1" applyAlignment="1">
      <alignment horizontal="right" vertical="center"/>
    </xf>
    <xf numFmtId="3" fontId="165" fillId="74" borderId="0" xfId="61448" applyNumberFormat="1" applyFont="1" applyFill="1" applyAlignment="1">
      <alignment horizontal="center" vertical="center"/>
    </xf>
    <xf numFmtId="3" fontId="63" fillId="74" borderId="11" xfId="61448" applyNumberFormat="1" applyFont="1" applyFill="1" applyBorder="1" applyAlignment="1">
      <alignment horizontal="center" vertical="center" wrapText="1"/>
    </xf>
    <xf numFmtId="0" fontId="115" fillId="74" borderId="32" xfId="58923" applyFont="1" applyFill="1" applyBorder="1" applyAlignment="1">
      <alignment horizontal="left" vertical="center"/>
    </xf>
    <xf numFmtId="3" fontId="148" fillId="74" borderId="31" xfId="58923" applyNumberFormat="1" applyFont="1" applyFill="1" applyBorder="1" applyAlignment="1">
      <alignment horizontal="center" vertical="center" wrapText="1"/>
    </xf>
    <xf numFmtId="3" fontId="129" fillId="74" borderId="39" xfId="58923" applyNumberFormat="1" applyFont="1" applyFill="1" applyBorder="1" applyAlignment="1">
      <alignment horizontal="center" vertical="center" wrapText="1"/>
    </xf>
    <xf numFmtId="3" fontId="132" fillId="74" borderId="77" xfId="58923" applyNumberFormat="1" applyFont="1" applyFill="1" applyBorder="1" applyAlignment="1">
      <alignment vertical="center" wrapText="1"/>
    </xf>
    <xf numFmtId="49" fontId="148" fillId="74" borderId="31" xfId="58923" applyNumberFormat="1" applyFont="1" applyFill="1" applyBorder="1" applyAlignment="1">
      <alignment horizontal="left" vertical="center" wrapText="1"/>
    </xf>
    <xf numFmtId="0" fontId="149" fillId="74" borderId="51" xfId="58923" applyFont="1" applyFill="1" applyBorder="1" applyAlignment="1">
      <alignment horizontal="left" vertical="center"/>
    </xf>
    <xf numFmtId="0" fontId="149" fillId="74" borderId="79" xfId="58923" applyFont="1" applyFill="1" applyBorder="1" applyAlignment="1">
      <alignment horizontal="left" vertical="center"/>
    </xf>
    <xf numFmtId="0" fontId="149" fillId="74" borderId="52" xfId="58923" applyFont="1" applyFill="1" applyBorder="1" applyAlignment="1">
      <alignment horizontal="left" vertical="center"/>
    </xf>
    <xf numFmtId="3" fontId="149" fillId="74" borderId="51" xfId="58923" applyNumberFormat="1" applyFont="1" applyFill="1" applyBorder="1" applyAlignment="1">
      <alignment horizontal="center" vertical="center"/>
    </xf>
    <xf numFmtId="3" fontId="149" fillId="74" borderId="48" xfId="58923" applyNumberFormat="1" applyFont="1" applyFill="1" applyBorder="1" applyAlignment="1">
      <alignment horizontal="center" vertical="center"/>
    </xf>
    <xf numFmtId="3" fontId="155" fillId="74" borderId="48" xfId="58923" applyNumberFormat="1" applyFont="1" applyFill="1" applyBorder="1" applyAlignment="1">
      <alignment horizontal="center" vertical="center"/>
    </xf>
    <xf numFmtId="3" fontId="149" fillId="74" borderId="59" xfId="58923" applyNumberFormat="1" applyFont="1" applyFill="1" applyBorder="1" applyAlignment="1">
      <alignment horizontal="center" vertical="center"/>
    </xf>
    <xf numFmtId="0" fontId="63" fillId="74" borderId="0" xfId="61448" applyFont="1" applyFill="1" applyAlignment="1">
      <alignment horizontal="center" vertical="center"/>
    </xf>
    <xf numFmtId="0" fontId="63" fillId="74" borderId="14" xfId="61448" applyFont="1" applyFill="1" applyBorder="1" applyAlignment="1">
      <alignment horizontal="center" vertical="center" wrapText="1"/>
    </xf>
    <xf numFmtId="0" fontId="115" fillId="74" borderId="14" xfId="61450" applyFont="1" applyFill="1" applyBorder="1" applyAlignment="1">
      <alignment horizontal="left" vertical="center" wrapText="1"/>
    </xf>
    <xf numFmtId="3" fontId="115" fillId="74" borderId="14" xfId="61448" applyNumberFormat="1" applyFont="1" applyFill="1" applyBorder="1" applyAlignment="1">
      <alignment horizontal="center" vertical="center" wrapText="1"/>
    </xf>
    <xf numFmtId="0" fontId="115" fillId="74" borderId="14" xfId="61448" applyFont="1" applyFill="1" applyBorder="1" applyAlignment="1">
      <alignment horizontal="center" vertical="center" wrapText="1"/>
    </xf>
    <xf numFmtId="0" fontId="63" fillId="74" borderId="14" xfId="61450" applyFont="1" applyFill="1" applyBorder="1" applyAlignment="1">
      <alignment horizontal="left" vertical="center" wrapText="1"/>
    </xf>
    <xf numFmtId="3" fontId="63" fillId="74" borderId="0" xfId="61448" applyNumberFormat="1" applyFont="1" applyFill="1" applyAlignment="1">
      <alignment horizontal="center" vertical="center"/>
    </xf>
    <xf numFmtId="3" fontId="63" fillId="74" borderId="14" xfId="61448" applyNumberFormat="1" applyFont="1" applyFill="1" applyBorder="1" applyAlignment="1">
      <alignment horizontal="center" vertical="center" wrapText="1"/>
    </xf>
    <xf numFmtId="0" fontId="53" fillId="0" borderId="78" xfId="61321" applyFont="1" applyFill="1" applyBorder="1" applyAlignment="1">
      <alignment horizontal="left" wrapText="1"/>
    </xf>
    <xf numFmtId="0" fontId="63" fillId="74" borderId="36" xfId="61450" applyFont="1" applyFill="1" applyBorder="1" applyAlignment="1">
      <alignment horizontal="left" vertical="center" wrapText="1"/>
    </xf>
    <xf numFmtId="0" fontId="63" fillId="74" borderId="11" xfId="61448" applyFont="1" applyFill="1" applyBorder="1" applyAlignment="1">
      <alignment horizontal="center" vertical="center"/>
    </xf>
    <xf numFmtId="0" fontId="121" fillId="74" borderId="11" xfId="61448" applyFont="1" applyFill="1" applyBorder="1" applyAlignment="1">
      <alignment horizontal="left" vertical="center"/>
    </xf>
    <xf numFmtId="3" fontId="121" fillId="74" borderId="11" xfId="61448" applyNumberFormat="1" applyFont="1" applyFill="1" applyBorder="1" applyAlignment="1">
      <alignment horizontal="center" vertical="center" wrapText="1"/>
    </xf>
    <xf numFmtId="0" fontId="63" fillId="74" borderId="0" xfId="61448" applyFont="1" applyFill="1" applyAlignment="1">
      <alignment horizontal="right" vertical="center"/>
    </xf>
    <xf numFmtId="0" fontId="63" fillId="74" borderId="0" xfId="61448" applyFont="1" applyFill="1" applyAlignment="1">
      <alignment horizontal="left" vertical="center"/>
    </xf>
    <xf numFmtId="0" fontId="63" fillId="74" borderId="0" xfId="61451" applyFont="1" applyFill="1" applyAlignment="1">
      <alignment horizontal="center" vertical="center"/>
    </xf>
    <xf numFmtId="0" fontId="63" fillId="74" borderId="11" xfId="61451" applyFont="1" applyFill="1" applyBorder="1" applyAlignment="1">
      <alignment horizontal="center" vertical="center"/>
    </xf>
    <xf numFmtId="0" fontId="115" fillId="74" borderId="11" xfId="61451" applyFont="1" applyFill="1" applyBorder="1" applyAlignment="1">
      <alignment horizontal="center" vertical="center"/>
    </xf>
    <xf numFmtId="0" fontId="63" fillId="74" borderId="11" xfId="61451" applyFont="1" applyFill="1" applyBorder="1" applyAlignment="1">
      <alignment horizontal="center" vertical="center" wrapText="1"/>
    </xf>
    <xf numFmtId="0" fontId="115" fillId="74" borderId="11" xfId="61452" applyFont="1" applyFill="1" applyBorder="1" applyAlignment="1">
      <alignment horizontal="left" vertical="center" wrapText="1"/>
    </xf>
    <xf numFmtId="3" fontId="115" fillId="74" borderId="11" xfId="61451" applyNumberFormat="1" applyFont="1" applyFill="1" applyBorder="1" applyAlignment="1">
      <alignment horizontal="center" vertical="center" wrapText="1"/>
    </xf>
    <xf numFmtId="3" fontId="115" fillId="74" borderId="11" xfId="61451" applyNumberFormat="1" applyFont="1" applyFill="1" applyBorder="1" applyAlignment="1">
      <alignment horizontal="center" vertical="center"/>
    </xf>
    <xf numFmtId="0" fontId="115" fillId="74" borderId="11" xfId="61451" applyFont="1" applyFill="1" applyBorder="1" applyAlignment="1">
      <alignment horizontal="center" vertical="center" wrapText="1"/>
    </xf>
    <xf numFmtId="0" fontId="63" fillId="74" borderId="11" xfId="61452" applyFont="1" applyFill="1" applyBorder="1" applyAlignment="1">
      <alignment horizontal="left" vertical="center" wrapText="1"/>
    </xf>
    <xf numFmtId="3" fontId="63" fillId="74" borderId="11" xfId="61451" applyNumberFormat="1" applyFont="1" applyFill="1" applyBorder="1" applyAlignment="1">
      <alignment horizontal="center" vertical="center" wrapText="1"/>
    </xf>
    <xf numFmtId="3" fontId="63" fillId="74" borderId="11" xfId="61451" applyNumberFormat="1" applyFont="1" applyFill="1" applyBorder="1" applyAlignment="1">
      <alignment horizontal="center" vertical="center"/>
    </xf>
    <xf numFmtId="0" fontId="63" fillId="74" borderId="0" xfId="61451" applyFont="1" applyFill="1" applyAlignment="1">
      <alignment horizontal="right" vertical="center"/>
    </xf>
    <xf numFmtId="3" fontId="63" fillId="74" borderId="0" xfId="61451" applyNumberFormat="1" applyFont="1" applyFill="1" applyAlignment="1">
      <alignment horizontal="center" vertical="center"/>
    </xf>
    <xf numFmtId="0" fontId="63" fillId="74" borderId="0" xfId="61451" applyFont="1" applyFill="1" applyAlignment="1">
      <alignment horizontal="left" vertical="center"/>
    </xf>
    <xf numFmtId="0" fontId="120" fillId="0" borderId="0" xfId="61453" applyFont="1"/>
    <xf numFmtId="0" fontId="120" fillId="74" borderId="0" xfId="61453" applyFont="1" applyFill="1"/>
    <xf numFmtId="0" fontId="116" fillId="0" borderId="10" xfId="61453" applyFont="1" applyBorder="1" applyAlignment="1">
      <alignment horizontal="center" wrapText="1"/>
    </xf>
    <xf numFmtId="0" fontId="116" fillId="74" borderId="10" xfId="61453" applyFont="1" applyFill="1" applyBorder="1" applyAlignment="1">
      <alignment horizontal="center" wrapText="1"/>
    </xf>
    <xf numFmtId="0" fontId="55" fillId="0" borderId="11" xfId="61453" applyFont="1" applyBorder="1" applyAlignment="1">
      <alignment horizontal="center" vertical="center" wrapText="1"/>
    </xf>
    <xf numFmtId="0" fontId="55" fillId="0" borderId="11" xfId="61453" applyFont="1" applyBorder="1" applyAlignment="1">
      <alignment horizontal="center" wrapText="1"/>
    </xf>
    <xf numFmtId="0" fontId="55" fillId="74" borderId="11" xfId="61453" applyFont="1" applyFill="1" applyBorder="1" applyAlignment="1">
      <alignment horizontal="center"/>
    </xf>
    <xf numFmtId="0" fontId="55" fillId="0" borderId="11" xfId="61453" applyFont="1" applyBorder="1" applyAlignment="1">
      <alignment horizontal="center"/>
    </xf>
    <xf numFmtId="49" fontId="55" fillId="0" borderId="11" xfId="61453" applyNumberFormat="1" applyFont="1" applyBorder="1" applyAlignment="1">
      <alignment horizontal="center" vertical="center" wrapText="1"/>
    </xf>
    <xf numFmtId="0" fontId="55" fillId="0" borderId="11" xfId="61453" applyFont="1" applyBorder="1" applyAlignment="1">
      <alignment horizontal="left" vertical="center" wrapText="1"/>
    </xf>
    <xf numFmtId="3" fontId="55" fillId="74" borderId="11" xfId="61453" applyNumberFormat="1" applyFont="1" applyFill="1" applyBorder="1" applyAlignment="1">
      <alignment horizontal="center" vertical="center"/>
    </xf>
    <xf numFmtId="0" fontId="55" fillId="74" borderId="11" xfId="61453" applyFont="1" applyFill="1" applyBorder="1" applyAlignment="1">
      <alignment horizontal="center" vertical="center"/>
    </xf>
    <xf numFmtId="3" fontId="120" fillId="0" borderId="0" xfId="61453" applyNumberFormat="1" applyFont="1"/>
    <xf numFmtId="0" fontId="58" fillId="0" borderId="11" xfId="61453" applyFont="1" applyBorder="1" applyAlignment="1">
      <alignment horizontal="center" vertical="center" wrapText="1"/>
    </xf>
    <xf numFmtId="0" fontId="58" fillId="0" borderId="11" xfId="61453" applyFont="1" applyBorder="1" applyAlignment="1">
      <alignment horizontal="left" vertical="center" wrapText="1"/>
    </xf>
    <xf numFmtId="3" fontId="58" fillId="74" borderId="11" xfId="61453" applyNumberFormat="1" applyFont="1" applyFill="1" applyBorder="1" applyAlignment="1">
      <alignment horizontal="center" vertical="center"/>
    </xf>
    <xf numFmtId="0" fontId="129" fillId="0" borderId="10" xfId="59012" applyFont="1" applyBorder="1" applyAlignment="1">
      <alignment horizontal="center" vertical="center" wrapText="1"/>
    </xf>
    <xf numFmtId="0" fontId="53" fillId="74" borderId="0" xfId="61310" applyFont="1" applyFill="1" applyAlignment="1">
      <alignment horizontal="right"/>
    </xf>
    <xf numFmtId="4" fontId="53" fillId="0" borderId="0" xfId="59012" applyNumberFormat="1" applyFont="1"/>
    <xf numFmtId="3" fontId="53" fillId="0" borderId="0" xfId="59012" applyNumberFormat="1" applyFont="1"/>
    <xf numFmtId="3" fontId="53" fillId="0" borderId="0" xfId="59012" applyNumberFormat="1" applyFont="1" applyAlignment="1">
      <alignment horizontal="center"/>
    </xf>
    <xf numFmtId="3" fontId="172" fillId="74" borderId="0" xfId="59012" applyNumberFormat="1" applyFont="1" applyFill="1" applyAlignment="1">
      <alignment horizontal="center"/>
    </xf>
    <xf numFmtId="0" fontId="172" fillId="74" borderId="0" xfId="59012" applyFont="1" applyFill="1" applyAlignment="1">
      <alignment horizontal="center"/>
    </xf>
    <xf numFmtId="0" fontId="172" fillId="74" borderId="0" xfId="59012" applyFont="1" applyFill="1"/>
    <xf numFmtId="0" fontId="172" fillId="0" borderId="0" xfId="59012" applyFont="1"/>
    <xf numFmtId="0" fontId="172" fillId="74" borderId="0" xfId="59012" applyFont="1" applyFill="1" applyAlignment="1">
      <alignment horizontal="center" vertical="center"/>
    </xf>
    <xf numFmtId="0" fontId="172" fillId="0" borderId="0" xfId="59012" applyFont="1" applyAlignment="1">
      <alignment horizontal="center"/>
    </xf>
    <xf numFmtId="3" fontId="53" fillId="0" borderId="0" xfId="59012" applyNumberFormat="1" applyFont="1" applyAlignment="1">
      <alignment horizontal="center" vertical="center"/>
    </xf>
    <xf numFmtId="3" fontId="129" fillId="74" borderId="0" xfId="59012" applyNumberFormat="1" applyFont="1" applyFill="1"/>
    <xf numFmtId="3" fontId="118" fillId="74" borderId="0" xfId="59012" applyNumberFormat="1" applyFont="1" applyFill="1" applyAlignment="1">
      <alignment horizontal="center"/>
    </xf>
    <xf numFmtId="3" fontId="118" fillId="74" borderId="0" xfId="59012" applyNumberFormat="1" applyFont="1" applyFill="1"/>
    <xf numFmtId="3" fontId="118" fillId="0" borderId="0" xfId="59012" applyNumberFormat="1" applyFont="1"/>
    <xf numFmtId="3" fontId="118" fillId="74" borderId="0" xfId="59012" applyNumberFormat="1" applyFont="1" applyFill="1" applyAlignment="1">
      <alignment horizontal="center" vertical="center"/>
    </xf>
    <xf numFmtId="3" fontId="118" fillId="0" borderId="0" xfId="59012" applyNumberFormat="1" applyFont="1" applyAlignment="1">
      <alignment horizontal="center"/>
    </xf>
    <xf numFmtId="3" fontId="130" fillId="74" borderId="0" xfId="59012" applyNumberFormat="1" applyFont="1" applyFill="1" applyAlignment="1"/>
    <xf numFmtId="3" fontId="162" fillId="74" borderId="0" xfId="59012" applyNumberFormat="1" applyFont="1" applyFill="1" applyAlignment="1">
      <alignment horizontal="center"/>
    </xf>
    <xf numFmtId="3" fontId="162" fillId="74" borderId="0" xfId="59012" applyNumberFormat="1" applyFont="1" applyFill="1"/>
    <xf numFmtId="3" fontId="173" fillId="74" borderId="0" xfId="59012" applyNumberFormat="1" applyFont="1" applyFill="1" applyAlignment="1">
      <alignment horizontal="center"/>
    </xf>
    <xf numFmtId="3" fontId="173" fillId="74" borderId="0" xfId="59012" applyNumberFormat="1" applyFont="1" applyFill="1"/>
    <xf numFmtId="3" fontId="173" fillId="74" borderId="0" xfId="59012" applyNumberFormat="1" applyFont="1" applyFill="1" applyAlignment="1">
      <alignment horizontal="center" vertical="center"/>
    </xf>
    <xf numFmtId="4" fontId="173" fillId="74" borderId="0" xfId="59012" applyNumberFormat="1" applyFont="1" applyFill="1"/>
    <xf numFmtId="3" fontId="130" fillId="74" borderId="0" xfId="59012" applyNumberFormat="1" applyFont="1" applyFill="1"/>
    <xf numFmtId="0" fontId="138" fillId="74" borderId="15" xfId="59012" applyFont="1" applyFill="1" applyBorder="1" applyAlignment="1" applyProtection="1">
      <alignment horizontal="center" vertical="center" wrapText="1"/>
      <protection locked="0"/>
    </xf>
    <xf numFmtId="0" fontId="138" fillId="74" borderId="11" xfId="59012" applyFont="1" applyFill="1" applyBorder="1" applyAlignment="1" applyProtection="1">
      <alignment horizontal="center" vertical="center" wrapText="1"/>
      <protection locked="0"/>
    </xf>
    <xf numFmtId="3" fontId="174" fillId="74" borderId="11" xfId="58923" applyNumberFormat="1" applyFont="1" applyFill="1" applyBorder="1" applyAlignment="1">
      <alignment horizontal="center" vertical="center"/>
    </xf>
    <xf numFmtId="3" fontId="148" fillId="80" borderId="39" xfId="58923" applyNumberFormat="1" applyFont="1" applyFill="1" applyBorder="1" applyAlignment="1">
      <alignment horizontal="center" vertical="center" wrapText="1"/>
    </xf>
    <xf numFmtId="3" fontId="148" fillId="80" borderId="14" xfId="58923" applyNumberFormat="1" applyFont="1" applyFill="1" applyBorder="1" applyAlignment="1">
      <alignment horizontal="center" vertical="center" wrapText="1"/>
    </xf>
    <xf numFmtId="3" fontId="59" fillId="74" borderId="29" xfId="60150" applyNumberFormat="1" applyFont="1" applyFill="1" applyBorder="1" applyAlignment="1">
      <alignment horizontal="center" vertical="center" wrapText="1"/>
    </xf>
    <xf numFmtId="3" fontId="59" fillId="74" borderId="12" xfId="60150" applyNumberFormat="1" applyFont="1" applyFill="1" applyBorder="1" applyAlignment="1">
      <alignment horizontal="center" vertical="center" wrapText="1"/>
    </xf>
    <xf numFmtId="3" fontId="59" fillId="74" borderId="14" xfId="60150" applyNumberFormat="1" applyFont="1" applyFill="1" applyBorder="1" applyAlignment="1">
      <alignment horizontal="center" vertical="center" wrapText="1"/>
    </xf>
    <xf numFmtId="3" fontId="59" fillId="74" borderId="11" xfId="60150" applyNumberFormat="1" applyFont="1" applyFill="1" applyBorder="1" applyAlignment="1">
      <alignment horizontal="center" vertical="center" wrapText="1"/>
    </xf>
    <xf numFmtId="0" fontId="53" fillId="74" borderId="11" xfId="60150" applyFont="1" applyFill="1" applyBorder="1" applyAlignment="1">
      <alignment horizontal="center" vertical="center"/>
    </xf>
    <xf numFmtId="0" fontId="53" fillId="74" borderId="11" xfId="60150" applyFont="1" applyFill="1" applyBorder="1" applyAlignment="1">
      <alignment horizontal="center" vertical="center" wrapText="1"/>
    </xf>
    <xf numFmtId="0" fontId="59" fillId="74" borderId="11" xfId="60150" applyFont="1" applyFill="1" applyBorder="1" applyAlignment="1">
      <alignment horizontal="center" vertical="center" wrapText="1"/>
    </xf>
    <xf numFmtId="0" fontId="130" fillId="74" borderId="0" xfId="60150" applyFont="1" applyFill="1" applyBorder="1" applyAlignment="1">
      <alignment horizontal="center" vertical="center" wrapText="1"/>
    </xf>
    <xf numFmtId="3" fontId="59" fillId="74" borderId="15" xfId="60150" applyNumberFormat="1" applyFont="1" applyFill="1" applyBorder="1" applyAlignment="1">
      <alignment horizontal="center" vertical="center" wrapText="1"/>
    </xf>
    <xf numFmtId="3" fontId="59" fillId="74" borderId="61" xfId="60150" applyNumberFormat="1" applyFont="1" applyFill="1" applyBorder="1" applyAlignment="1">
      <alignment horizontal="center" vertical="center" wrapText="1"/>
    </xf>
    <xf numFmtId="3" fontId="59" fillId="0" borderId="11" xfId="60150" applyNumberFormat="1" applyFont="1" applyFill="1" applyBorder="1" applyAlignment="1">
      <alignment horizontal="center" vertical="center" wrapText="1"/>
    </xf>
    <xf numFmtId="0" fontId="56" fillId="75" borderId="15" xfId="59012" applyFont="1" applyFill="1" applyBorder="1" applyAlignment="1" applyProtection="1">
      <alignment horizontal="center" vertical="center" wrapText="1"/>
      <protection locked="0"/>
    </xf>
    <xf numFmtId="0" fontId="56" fillId="75" borderId="78" xfId="59012" applyFont="1" applyFill="1" applyBorder="1" applyAlignment="1" applyProtection="1">
      <alignment horizontal="center" vertical="center" wrapText="1"/>
      <protection locked="0"/>
    </xf>
    <xf numFmtId="0" fontId="129" fillId="0" borderId="10" xfId="59012" applyFont="1" applyBorder="1" applyAlignment="1">
      <alignment horizontal="center" vertical="center" wrapText="1"/>
    </xf>
    <xf numFmtId="0" fontId="56" fillId="74" borderId="29" xfId="59012" applyFont="1" applyFill="1" applyBorder="1" applyAlignment="1" applyProtection="1">
      <alignment horizontal="center" vertical="center" wrapText="1"/>
      <protection locked="0"/>
    </xf>
    <xf numFmtId="0" fontId="56" fillId="74" borderId="12" xfId="59012" applyFont="1" applyFill="1" applyBorder="1" applyAlignment="1" applyProtection="1">
      <alignment horizontal="center" vertical="center" wrapText="1"/>
      <protection locked="0"/>
    </xf>
    <xf numFmtId="0" fontId="56" fillId="79" borderId="15" xfId="59012" applyFont="1" applyFill="1" applyBorder="1" applyAlignment="1" applyProtection="1">
      <alignment horizontal="center" vertical="center" wrapText="1"/>
      <protection locked="0"/>
    </xf>
    <xf numFmtId="0" fontId="56" fillId="79" borderId="78" xfId="59012" applyFont="1" applyFill="1" applyBorder="1" applyAlignment="1" applyProtection="1">
      <alignment horizontal="center" vertical="center" wrapText="1"/>
      <protection locked="0"/>
    </xf>
    <xf numFmtId="3" fontId="118" fillId="74" borderId="29" xfId="59591" applyNumberFormat="1" applyFont="1" applyFill="1" applyBorder="1" applyAlignment="1">
      <alignment horizontal="center" vertical="center" wrapText="1"/>
    </xf>
    <xf numFmtId="3" fontId="118" fillId="74" borderId="14" xfId="59591" applyNumberFormat="1" applyFont="1" applyFill="1" applyBorder="1" applyAlignment="1">
      <alignment horizontal="center" vertical="center" wrapText="1"/>
    </xf>
    <xf numFmtId="3" fontId="56" fillId="74" borderId="61" xfId="58867" applyNumberFormat="1" applyFont="1" applyFill="1" applyBorder="1" applyAlignment="1">
      <alignment horizontal="center" vertical="center"/>
    </xf>
    <xf numFmtId="3" fontId="130" fillId="74" borderId="0" xfId="58867" applyNumberFormat="1" applyFont="1" applyFill="1" applyBorder="1" applyAlignment="1">
      <alignment horizontal="center" vertical="center" wrapText="1"/>
    </xf>
    <xf numFmtId="3" fontId="118" fillId="74" borderId="11" xfId="58867" applyNumberFormat="1" applyFont="1" applyFill="1" applyBorder="1" applyAlignment="1">
      <alignment horizontal="center" vertical="center" wrapText="1"/>
    </xf>
    <xf numFmtId="3" fontId="59" fillId="74" borderId="11" xfId="58867" applyNumberFormat="1" applyFont="1" applyFill="1" applyBorder="1" applyAlignment="1">
      <alignment horizontal="center" vertical="center"/>
    </xf>
    <xf numFmtId="3" fontId="118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59" fillId="74" borderId="11" xfId="59591" applyNumberFormat="1" applyFont="1" applyFill="1" applyBorder="1" applyAlignment="1">
      <alignment horizontal="center" vertical="center" wrapText="1"/>
    </xf>
    <xf numFmtId="0" fontId="136" fillId="0" borderId="0" xfId="59013" applyFont="1" applyFill="1" applyBorder="1" applyAlignment="1">
      <alignment horizontal="center" vertical="center" wrapText="1"/>
    </xf>
    <xf numFmtId="3" fontId="51" fillId="74" borderId="11" xfId="61440" applyNumberFormat="1" applyFont="1" applyFill="1" applyBorder="1" applyAlignment="1">
      <alignment horizontal="center"/>
    </xf>
    <xf numFmtId="0" fontId="56" fillId="74" borderId="11" xfId="59012" applyFont="1" applyFill="1" applyBorder="1" applyAlignment="1">
      <alignment horizontal="center" vertical="center"/>
    </xf>
    <xf numFmtId="4" fontId="59" fillId="74" borderId="15" xfId="59012" applyNumberFormat="1" applyFont="1" applyFill="1" applyBorder="1" applyAlignment="1">
      <alignment horizontal="center" vertical="center" wrapText="1"/>
    </xf>
    <xf numFmtId="4" fontId="59" fillId="74" borderId="77" xfId="59012" applyNumberFormat="1" applyFont="1" applyFill="1" applyBorder="1" applyAlignment="1">
      <alignment horizontal="center" vertical="center" wrapText="1"/>
    </xf>
    <xf numFmtId="4" fontId="59" fillId="74" borderId="78" xfId="59012" applyNumberFormat="1" applyFont="1" applyFill="1" applyBorder="1" applyAlignment="1">
      <alignment horizontal="center" vertical="center" wrapText="1"/>
    </xf>
    <xf numFmtId="4" fontId="56" fillId="74" borderId="15" xfId="59012" applyNumberFormat="1" applyFont="1" applyFill="1" applyBorder="1" applyAlignment="1">
      <alignment horizontal="center" vertical="center" wrapText="1"/>
    </xf>
    <xf numFmtId="4" fontId="56" fillId="74" borderId="77" xfId="59012" applyNumberFormat="1" applyFont="1" applyFill="1" applyBorder="1" applyAlignment="1">
      <alignment horizontal="center" vertical="center" wrapText="1"/>
    </xf>
    <xf numFmtId="4" fontId="56" fillId="74" borderId="78" xfId="59012" applyNumberFormat="1" applyFont="1" applyFill="1" applyBorder="1" applyAlignment="1">
      <alignment horizontal="center" vertical="center" wrapText="1"/>
    </xf>
    <xf numFmtId="0" fontId="59" fillId="74" borderId="29" xfId="59012" applyFont="1" applyFill="1" applyBorder="1" applyAlignment="1">
      <alignment horizontal="center" vertical="center"/>
    </xf>
    <xf numFmtId="0" fontId="59" fillId="74" borderId="12" xfId="59012" applyFont="1" applyFill="1" applyBorder="1" applyAlignment="1">
      <alignment horizontal="center" vertical="center"/>
    </xf>
    <xf numFmtId="0" fontId="59" fillId="74" borderId="14" xfId="59012" applyFont="1" applyFill="1" applyBorder="1" applyAlignment="1">
      <alignment horizontal="center" vertical="center"/>
    </xf>
    <xf numFmtId="49" fontId="51" fillId="74" borderId="29" xfId="58940" applyNumberFormat="1" applyFont="1" applyFill="1" applyBorder="1" applyAlignment="1">
      <alignment horizontal="center" vertical="center"/>
    </xf>
    <xf numFmtId="49" fontId="51" fillId="74" borderId="12" xfId="58940" applyNumberFormat="1" applyFont="1" applyFill="1" applyBorder="1" applyAlignment="1">
      <alignment horizontal="center" vertical="center"/>
    </xf>
    <xf numFmtId="49" fontId="51" fillId="74" borderId="14" xfId="58940" applyNumberFormat="1" applyFont="1" applyFill="1" applyBorder="1" applyAlignment="1">
      <alignment horizontal="center" vertical="center"/>
    </xf>
    <xf numFmtId="3" fontId="50" fillId="74" borderId="10" xfId="61440" applyNumberFormat="1" applyFont="1" applyFill="1" applyBorder="1" applyAlignment="1">
      <alignment horizontal="center" vertical="center" wrapText="1"/>
    </xf>
    <xf numFmtId="3" fontId="52" fillId="74" borderId="11" xfId="61440" applyNumberFormat="1" applyFont="1" applyFill="1" applyBorder="1" applyAlignment="1">
      <alignment horizontal="center" vertical="center" wrapText="1"/>
    </xf>
    <xf numFmtId="3" fontId="53" fillId="74" borderId="29" xfId="61440" applyNumberFormat="1" applyFont="1" applyFill="1" applyBorder="1" applyAlignment="1">
      <alignment horizontal="center" vertical="center" wrapText="1"/>
    </xf>
    <xf numFmtId="3" fontId="53" fillId="74" borderId="12" xfId="61440" applyNumberFormat="1" applyFont="1" applyFill="1" applyBorder="1" applyAlignment="1">
      <alignment horizontal="center" vertical="center" wrapText="1"/>
    </xf>
    <xf numFmtId="3" fontId="53" fillId="74" borderId="14" xfId="61440" applyNumberFormat="1" applyFont="1" applyFill="1" applyBorder="1" applyAlignment="1">
      <alignment horizontal="center" vertical="center" wrapText="1"/>
    </xf>
    <xf numFmtId="3" fontId="51" fillId="74" borderId="29" xfId="61440" applyNumberFormat="1" applyFont="1" applyFill="1" applyBorder="1" applyAlignment="1">
      <alignment horizontal="center" vertical="center" wrapText="1"/>
    </xf>
    <xf numFmtId="3" fontId="51" fillId="74" borderId="12" xfId="61440" applyNumberFormat="1" applyFont="1" applyFill="1" applyBorder="1" applyAlignment="1">
      <alignment horizontal="center" vertical="center" wrapText="1"/>
    </xf>
    <xf numFmtId="3" fontId="51" fillId="74" borderId="14" xfId="61440" applyNumberFormat="1" applyFont="1" applyFill="1" applyBorder="1" applyAlignment="1">
      <alignment horizontal="center" vertical="center" wrapText="1"/>
    </xf>
    <xf numFmtId="3" fontId="52" fillId="74" borderId="12" xfId="61440" applyNumberFormat="1" applyFont="1" applyFill="1" applyBorder="1" applyAlignment="1">
      <alignment horizontal="center" vertical="center" wrapText="1"/>
    </xf>
    <xf numFmtId="3" fontId="52" fillId="74" borderId="14" xfId="61440" applyNumberFormat="1" applyFont="1" applyFill="1" applyBorder="1" applyAlignment="1">
      <alignment horizontal="center" vertical="center" wrapText="1"/>
    </xf>
    <xf numFmtId="3" fontId="52" fillId="74" borderId="13" xfId="61440" applyNumberFormat="1" applyFont="1" applyFill="1" applyBorder="1" applyAlignment="1">
      <alignment horizontal="center" vertical="center" wrapText="1"/>
    </xf>
    <xf numFmtId="3" fontId="52" fillId="74" borderId="10" xfId="61440" applyNumberFormat="1" applyFont="1" applyFill="1" applyBorder="1" applyAlignment="1">
      <alignment horizontal="center" vertical="center" wrapText="1"/>
    </xf>
    <xf numFmtId="3" fontId="52" fillId="74" borderId="15" xfId="61440" applyNumberFormat="1" applyFont="1" applyFill="1" applyBorder="1" applyAlignment="1">
      <alignment horizontal="center" vertical="center" wrapText="1"/>
    </xf>
    <xf numFmtId="3" fontId="52" fillId="74" borderId="78" xfId="61440" applyNumberFormat="1" applyFont="1" applyFill="1" applyBorder="1" applyAlignment="1">
      <alignment horizontal="center" vertical="center" wrapText="1"/>
    </xf>
    <xf numFmtId="0" fontId="59" fillId="0" borderId="29" xfId="59012" applyFont="1" applyFill="1" applyBorder="1" applyAlignment="1">
      <alignment horizontal="center" vertical="center"/>
    </xf>
    <xf numFmtId="0" fontId="59" fillId="0" borderId="12" xfId="59012" applyFont="1" applyFill="1" applyBorder="1" applyAlignment="1">
      <alignment horizontal="center" vertical="center"/>
    </xf>
    <xf numFmtId="0" fontId="59" fillId="0" borderId="14" xfId="59012" applyFont="1" applyFill="1" applyBorder="1" applyAlignment="1">
      <alignment horizontal="center" vertical="center"/>
    </xf>
    <xf numFmtId="49" fontId="51" fillId="0" borderId="29" xfId="58921" applyNumberFormat="1" applyFont="1" applyFill="1" applyBorder="1" applyAlignment="1">
      <alignment horizontal="center" vertical="center"/>
    </xf>
    <xf numFmtId="49" fontId="51" fillId="0" borderId="12" xfId="58921" applyNumberFormat="1" applyFont="1" applyFill="1" applyBorder="1" applyAlignment="1">
      <alignment horizontal="center" vertical="center"/>
    </xf>
    <xf numFmtId="49" fontId="51" fillId="0" borderId="14" xfId="58921" applyNumberFormat="1" applyFont="1" applyFill="1" applyBorder="1" applyAlignment="1">
      <alignment horizontal="center" vertical="center"/>
    </xf>
    <xf numFmtId="0" fontId="51" fillId="0" borderId="11" xfId="61444" applyFont="1" applyFill="1" applyBorder="1" applyAlignment="1">
      <alignment horizontal="center" vertical="center" wrapText="1"/>
    </xf>
    <xf numFmtId="0" fontId="56" fillId="0" borderId="11" xfId="59012" applyFont="1" applyFill="1" applyBorder="1" applyAlignment="1">
      <alignment horizontal="center" vertical="center"/>
    </xf>
    <xf numFmtId="4" fontId="56" fillId="0" borderId="15" xfId="59012" applyNumberFormat="1" applyFont="1" applyFill="1" applyBorder="1" applyAlignment="1">
      <alignment horizontal="center" vertical="center" wrapText="1"/>
    </xf>
    <xf numFmtId="4" fontId="56" fillId="0" borderId="77" xfId="59012" applyNumberFormat="1" applyFont="1" applyFill="1" applyBorder="1" applyAlignment="1">
      <alignment horizontal="center" vertical="center" wrapText="1"/>
    </xf>
    <xf numFmtId="4" fontId="56" fillId="0" borderId="78" xfId="59012" applyNumberFormat="1" applyFont="1" applyFill="1" applyBorder="1" applyAlignment="1">
      <alignment horizontal="center" vertical="center" wrapText="1"/>
    </xf>
    <xf numFmtId="0" fontId="50" fillId="0" borderId="0" xfId="61443" applyFont="1" applyFill="1" applyBorder="1" applyAlignment="1">
      <alignment horizontal="center" vertical="center" wrapText="1"/>
    </xf>
    <xf numFmtId="0" fontId="52" fillId="0" borderId="11" xfId="61443" applyFont="1" applyFill="1" applyBorder="1" applyAlignment="1">
      <alignment horizontal="center" vertical="center" wrapText="1"/>
    </xf>
    <xf numFmtId="0" fontId="53" fillId="0" borderId="29" xfId="61443" applyFont="1" applyFill="1" applyBorder="1" applyAlignment="1">
      <alignment horizontal="center" vertical="center" wrapText="1"/>
    </xf>
    <xf numFmtId="0" fontId="53" fillId="0" borderId="12" xfId="61443" applyFont="1" applyFill="1" applyBorder="1" applyAlignment="1">
      <alignment horizontal="center" vertical="center" wrapText="1"/>
    </xf>
    <xf numFmtId="0" fontId="53" fillId="0" borderId="14" xfId="61443" applyFont="1" applyFill="1" applyBorder="1" applyAlignment="1">
      <alignment horizontal="center" vertical="center" wrapText="1"/>
    </xf>
    <xf numFmtId="0" fontId="52" fillId="0" borderId="11" xfId="61444" applyFont="1" applyFill="1" applyBorder="1" applyAlignment="1">
      <alignment horizontal="center" vertical="center" wrapText="1"/>
    </xf>
    <xf numFmtId="0" fontId="51" fillId="0" borderId="11" xfId="61443" applyFont="1" applyFill="1" applyBorder="1" applyAlignment="1">
      <alignment horizontal="center" vertical="center" wrapText="1"/>
    </xf>
    <xf numFmtId="0" fontId="51" fillId="0" borderId="11" xfId="61443" applyFont="1" applyFill="1" applyBorder="1" applyAlignment="1">
      <alignment horizontal="center" wrapText="1"/>
    </xf>
    <xf numFmtId="0" fontId="51" fillId="0" borderId="11" xfId="61443" applyFont="1" applyFill="1" applyBorder="1" applyAlignment="1">
      <alignment horizontal="center" vertical="center"/>
    </xf>
    <xf numFmtId="0" fontId="51" fillId="0" borderId="11" xfId="61445" applyFont="1" applyFill="1" applyBorder="1" applyAlignment="1">
      <alignment horizontal="center" vertical="center" wrapText="1"/>
    </xf>
    <xf numFmtId="0" fontId="52" fillId="0" borderId="29" xfId="61445" applyFont="1" applyFill="1" applyBorder="1" applyAlignment="1">
      <alignment horizontal="center" vertical="center" wrapText="1"/>
    </xf>
    <xf numFmtId="0" fontId="52" fillId="0" borderId="14" xfId="61445" applyFont="1" applyFill="1" applyBorder="1" applyAlignment="1">
      <alignment horizontal="center" vertical="center" wrapText="1"/>
    </xf>
    <xf numFmtId="0" fontId="54" fillId="0" borderId="29" xfId="61445" applyFont="1" applyFill="1" applyBorder="1" applyAlignment="1">
      <alignment horizontal="center" vertical="center" wrapText="1"/>
    </xf>
    <xf numFmtId="0" fontId="54" fillId="0" borderId="14" xfId="61445" applyFont="1" applyFill="1" applyBorder="1" applyAlignment="1">
      <alignment horizontal="center" vertical="center" wrapText="1"/>
    </xf>
    <xf numFmtId="0" fontId="50" fillId="0" borderId="10" xfId="61445" applyFont="1" applyFill="1" applyBorder="1" applyAlignment="1">
      <alignment horizontal="center" vertical="center" wrapText="1"/>
    </xf>
    <xf numFmtId="0" fontId="50" fillId="0" borderId="0" xfId="61445" applyFont="1" applyFill="1" applyBorder="1" applyAlignment="1">
      <alignment horizontal="center" vertical="center" wrapText="1"/>
    </xf>
    <xf numFmtId="0" fontId="52" fillId="0" borderId="11" xfId="61445" applyFont="1" applyFill="1" applyBorder="1" applyAlignment="1">
      <alignment horizontal="center" vertical="center" wrapText="1"/>
    </xf>
    <xf numFmtId="0" fontId="53" fillId="0" borderId="29" xfId="61445" applyFont="1" applyFill="1" applyBorder="1" applyAlignment="1">
      <alignment horizontal="center" vertical="center" wrapText="1"/>
    </xf>
    <xf numFmtId="0" fontId="53" fillId="0" borderId="12" xfId="61445" applyFont="1" applyFill="1" applyBorder="1" applyAlignment="1">
      <alignment horizontal="center" vertical="center" wrapText="1"/>
    </xf>
    <xf numFmtId="0" fontId="53" fillId="0" borderId="14" xfId="61445" applyFont="1" applyFill="1" applyBorder="1" applyAlignment="1">
      <alignment horizontal="center" vertical="center" wrapText="1"/>
    </xf>
    <xf numFmtId="0" fontId="52" fillId="0" borderId="11" xfId="61445" applyFont="1" applyFill="1" applyBorder="1" applyAlignment="1">
      <alignment horizontal="center" vertical="top" wrapText="1"/>
    </xf>
    <xf numFmtId="0" fontId="52" fillId="0" borderId="12" xfId="61445" applyFont="1" applyFill="1" applyBorder="1" applyAlignment="1">
      <alignment horizontal="center" vertical="center" wrapText="1"/>
    </xf>
    <xf numFmtId="0" fontId="51" fillId="0" borderId="77" xfId="61445" applyFont="1" applyFill="1" applyBorder="1" applyAlignment="1">
      <alignment horizontal="center" vertical="center" wrapText="1"/>
    </xf>
    <xf numFmtId="0" fontId="51" fillId="0" borderId="78" xfId="61445" applyFont="1" applyFill="1" applyBorder="1" applyAlignment="1">
      <alignment horizontal="center" vertical="center" wrapText="1"/>
    </xf>
    <xf numFmtId="0" fontId="51" fillId="0" borderId="15" xfId="61445" applyFont="1" applyFill="1" applyBorder="1" applyAlignment="1">
      <alignment horizontal="center" vertical="center" wrapText="1"/>
    </xf>
    <xf numFmtId="0" fontId="51" fillId="0" borderId="29" xfId="61445" applyFont="1" applyFill="1" applyBorder="1" applyAlignment="1">
      <alignment horizontal="center" vertical="center" wrapText="1"/>
    </xf>
    <xf numFmtId="0" fontId="51" fillId="0" borderId="14" xfId="61445" applyFont="1" applyFill="1" applyBorder="1" applyAlignment="1">
      <alignment horizontal="center" vertical="center" wrapText="1"/>
    </xf>
    <xf numFmtId="0" fontId="55" fillId="0" borderId="29" xfId="61445" applyFont="1" applyFill="1" applyBorder="1" applyAlignment="1">
      <alignment horizontal="center" vertical="center" wrapText="1"/>
    </xf>
    <xf numFmtId="0" fontId="55" fillId="0" borderId="14" xfId="61445" applyFont="1" applyFill="1" applyBorder="1" applyAlignment="1">
      <alignment horizontal="center" vertical="center" wrapText="1"/>
    </xf>
    <xf numFmtId="0" fontId="50" fillId="0" borderId="10" xfId="61446" applyFont="1" applyFill="1" applyBorder="1" applyAlignment="1">
      <alignment horizontal="center" vertical="center" wrapText="1"/>
    </xf>
    <xf numFmtId="0" fontId="52" fillId="0" borderId="29" xfId="61447" applyFont="1" applyFill="1" applyBorder="1" applyAlignment="1">
      <alignment horizontal="center" vertical="center" wrapText="1"/>
    </xf>
    <xf numFmtId="0" fontId="52" fillId="0" borderId="12" xfId="61447" applyFont="1" applyFill="1" applyBorder="1" applyAlignment="1">
      <alignment horizontal="center" vertical="center" wrapText="1"/>
    </xf>
    <xf numFmtId="0" fontId="52" fillId="0" borderId="14" xfId="61447" applyFont="1" applyFill="1" applyBorder="1" applyAlignment="1">
      <alignment horizontal="center" vertical="center" wrapText="1"/>
    </xf>
    <xf numFmtId="0" fontId="53" fillId="0" borderId="29" xfId="61447" applyFont="1" applyFill="1" applyBorder="1" applyAlignment="1">
      <alignment horizontal="center" vertical="center" wrapText="1"/>
    </xf>
    <xf numFmtId="0" fontId="53" fillId="0" borderId="12" xfId="61447" applyFont="1" applyFill="1" applyBorder="1" applyAlignment="1">
      <alignment horizontal="center" vertical="center" wrapText="1"/>
    </xf>
    <xf numFmtId="0" fontId="53" fillId="0" borderId="14" xfId="61447" applyFont="1" applyFill="1" applyBorder="1" applyAlignment="1">
      <alignment horizontal="center" vertical="center" wrapText="1"/>
    </xf>
    <xf numFmtId="0" fontId="52" fillId="0" borderId="11" xfId="61447" applyFont="1" applyFill="1" applyBorder="1" applyAlignment="1">
      <alignment horizontal="center" vertical="center" wrapText="1"/>
    </xf>
    <xf numFmtId="0" fontId="52" fillId="0" borderId="15" xfId="61447" applyFont="1" applyFill="1" applyBorder="1" applyAlignment="1">
      <alignment horizontal="center" vertical="center" wrapText="1"/>
    </xf>
    <xf numFmtId="0" fontId="52" fillId="0" borderId="77" xfId="61447" applyFont="1" applyFill="1" applyBorder="1" applyAlignment="1">
      <alignment horizontal="center" vertical="center" wrapText="1"/>
    </xf>
    <xf numFmtId="0" fontId="52" fillId="0" borderId="78" xfId="61447" applyFont="1" applyFill="1" applyBorder="1" applyAlignment="1">
      <alignment horizontal="center" vertical="center" wrapText="1"/>
    </xf>
    <xf numFmtId="0" fontId="51" fillId="0" borderId="12" xfId="61447" applyFont="1" applyFill="1" applyBorder="1" applyAlignment="1">
      <alignment horizontal="center" vertical="center" wrapText="1"/>
    </xf>
    <xf numFmtId="0" fontId="51" fillId="0" borderId="14" xfId="61447" applyFont="1" applyFill="1" applyBorder="1" applyAlignment="1">
      <alignment horizontal="center" vertical="center" wrapText="1"/>
    </xf>
    <xf numFmtId="0" fontId="51" fillId="0" borderId="13" xfId="61447" applyFont="1" applyFill="1" applyBorder="1" applyAlignment="1">
      <alignment horizontal="center" vertical="center" wrapText="1"/>
    </xf>
    <xf numFmtId="0" fontId="51" fillId="0" borderId="31" xfId="61447" applyFont="1" applyFill="1" applyBorder="1" applyAlignment="1">
      <alignment horizontal="center" vertical="center" wrapText="1"/>
    </xf>
    <xf numFmtId="0" fontId="51" fillId="0" borderId="29" xfId="61447" applyFont="1" applyFill="1" applyBorder="1" applyAlignment="1">
      <alignment horizontal="center" vertical="center" wrapText="1"/>
    </xf>
    <xf numFmtId="0" fontId="50" fillId="0" borderId="10" xfId="61443" applyFont="1" applyFill="1" applyBorder="1" applyAlignment="1">
      <alignment horizontal="center" vertical="center" wrapText="1"/>
    </xf>
    <xf numFmtId="0" fontId="52" fillId="0" borderId="15" xfId="61443" applyFont="1" applyFill="1" applyBorder="1" applyAlignment="1">
      <alignment horizontal="center" vertical="center" wrapText="1"/>
    </xf>
    <xf numFmtId="0" fontId="52" fillId="0" borderId="77" xfId="61443" applyFont="1" applyFill="1" applyBorder="1" applyAlignment="1">
      <alignment horizontal="center" vertical="center" wrapText="1"/>
    </xf>
    <xf numFmtId="0" fontId="52" fillId="0" borderId="78" xfId="61443" applyFont="1" applyFill="1" applyBorder="1" applyAlignment="1">
      <alignment horizontal="center" vertical="center" wrapText="1"/>
    </xf>
    <xf numFmtId="0" fontId="52" fillId="0" borderId="12" xfId="61443" applyFont="1" applyFill="1" applyBorder="1" applyAlignment="1">
      <alignment horizontal="center" vertical="center" wrapText="1"/>
    </xf>
    <xf numFmtId="0" fontId="51" fillId="0" borderId="29" xfId="61443" applyFont="1" applyFill="1" applyBorder="1" applyAlignment="1">
      <alignment horizontal="center" vertical="center" wrapText="1"/>
    </xf>
    <xf numFmtId="0" fontId="51" fillId="0" borderId="12" xfId="61443" applyFont="1" applyFill="1" applyBorder="1" applyAlignment="1">
      <alignment horizontal="center" vertical="center" wrapText="1"/>
    </xf>
    <xf numFmtId="0" fontId="163" fillId="0" borderId="11" xfId="0" applyFont="1" applyFill="1" applyBorder="1" applyAlignment="1">
      <alignment horizontal="center" vertical="center"/>
    </xf>
    <xf numFmtId="0" fontId="124" fillId="0" borderId="29" xfId="0" applyFont="1" applyFill="1" applyBorder="1" applyAlignment="1">
      <alignment horizontal="center" vertical="center"/>
    </xf>
    <xf numFmtId="0" fontId="124" fillId="0" borderId="12" xfId="0" applyFont="1" applyFill="1" applyBorder="1" applyAlignment="1">
      <alignment horizontal="center" vertical="center"/>
    </xf>
    <xf numFmtId="0" fontId="124" fillId="0" borderId="14" xfId="0" applyFont="1" applyFill="1" applyBorder="1" applyAlignment="1">
      <alignment horizontal="center" vertical="center"/>
    </xf>
    <xf numFmtId="49" fontId="122" fillId="0" borderId="29" xfId="3" applyNumberFormat="1" applyFont="1" applyFill="1" applyBorder="1" applyAlignment="1">
      <alignment horizontal="center" vertical="center"/>
    </xf>
    <xf numFmtId="49" fontId="122" fillId="0" borderId="12" xfId="3" applyNumberFormat="1" applyFont="1" applyFill="1" applyBorder="1" applyAlignment="1">
      <alignment horizontal="center" vertical="center"/>
    </xf>
    <xf numFmtId="49" fontId="122" fillId="0" borderId="14" xfId="3" applyNumberFormat="1" applyFont="1" applyFill="1" applyBorder="1" applyAlignment="1">
      <alignment horizontal="center" vertical="center"/>
    </xf>
    <xf numFmtId="0" fontId="116" fillId="0" borderId="0" xfId="61428" applyFont="1" applyFill="1" applyAlignment="1">
      <alignment horizontal="center" vertical="center" wrapText="1"/>
    </xf>
    <xf numFmtId="0" fontId="124" fillId="0" borderId="29" xfId="0" applyFont="1" applyFill="1" applyBorder="1" applyAlignment="1">
      <alignment horizontal="center" vertical="center" wrapText="1"/>
    </xf>
    <xf numFmtId="0" fontId="124" fillId="0" borderId="12" xfId="0" applyFont="1" applyFill="1" applyBorder="1" applyAlignment="1">
      <alignment horizontal="center" vertical="center" wrapText="1"/>
    </xf>
    <xf numFmtId="0" fontId="124" fillId="0" borderId="14" xfId="0" applyFont="1" applyFill="1" applyBorder="1" applyAlignment="1">
      <alignment horizontal="center" vertical="center" wrapText="1"/>
    </xf>
    <xf numFmtId="0" fontId="122" fillId="0" borderId="11" xfId="0" applyFont="1" applyFill="1" applyBorder="1" applyAlignment="1">
      <alignment horizontal="center" vertical="center" wrapText="1"/>
    </xf>
    <xf numFmtId="2" fontId="122" fillId="0" borderId="11" xfId="61428" applyNumberFormat="1" applyFont="1" applyFill="1" applyBorder="1" applyAlignment="1">
      <alignment horizontal="center" vertical="center" wrapText="1"/>
    </xf>
    <xf numFmtId="0" fontId="122" fillId="0" borderId="29" xfId="61428" applyFont="1" applyFill="1" applyBorder="1" applyAlignment="1">
      <alignment horizontal="center" vertical="center" wrapText="1"/>
    </xf>
    <xf numFmtId="0" fontId="122" fillId="0" borderId="14" xfId="61428" applyFont="1" applyFill="1" applyBorder="1" applyAlignment="1">
      <alignment horizontal="center" vertical="center" wrapText="1"/>
    </xf>
    <xf numFmtId="0" fontId="122" fillId="0" borderId="11" xfId="61434" applyFont="1" applyFill="1" applyBorder="1" applyAlignment="1">
      <alignment horizontal="center" vertical="center" wrapText="1"/>
    </xf>
    <xf numFmtId="0" fontId="56" fillId="0" borderId="15" xfId="58585" applyFont="1" applyFill="1" applyBorder="1" applyAlignment="1">
      <alignment horizontal="center" vertical="center" wrapText="1"/>
    </xf>
    <xf numFmtId="0" fontId="56" fillId="0" borderId="68" xfId="58585" applyFont="1" applyFill="1" applyBorder="1" applyAlignment="1">
      <alignment horizontal="center" vertical="center" wrapText="1"/>
    </xf>
    <xf numFmtId="0" fontId="56" fillId="0" borderId="69" xfId="58585" applyFont="1" applyFill="1" applyBorder="1" applyAlignment="1">
      <alignment horizontal="center" vertical="center" wrapText="1"/>
    </xf>
    <xf numFmtId="0" fontId="59" fillId="0" borderId="29" xfId="58585" applyFont="1" applyFill="1" applyBorder="1" applyAlignment="1">
      <alignment horizontal="center" vertical="center"/>
    </xf>
    <xf numFmtId="0" fontId="59" fillId="0" borderId="12" xfId="58585" applyFont="1" applyFill="1" applyBorder="1" applyAlignment="1">
      <alignment horizontal="center" vertical="center"/>
    </xf>
    <xf numFmtId="0" fontId="59" fillId="0" borderId="14" xfId="58585" applyFont="1" applyFill="1" applyBorder="1" applyAlignment="1">
      <alignment horizontal="center" vertical="center"/>
    </xf>
    <xf numFmtId="49" fontId="51" fillId="0" borderId="29" xfId="3" applyNumberFormat="1" applyFont="1" applyFill="1" applyBorder="1" applyAlignment="1">
      <alignment horizontal="center" vertical="center"/>
    </xf>
    <xf numFmtId="49" fontId="51" fillId="0" borderId="12" xfId="3" applyNumberFormat="1" applyFont="1" applyFill="1" applyBorder="1" applyAlignment="1">
      <alignment horizontal="center" vertical="center"/>
    </xf>
    <xf numFmtId="49" fontId="51" fillId="0" borderId="14" xfId="3" applyNumberFormat="1" applyFont="1" applyFill="1" applyBorder="1" applyAlignment="1">
      <alignment horizontal="center" vertical="center"/>
    </xf>
    <xf numFmtId="0" fontId="51" fillId="0" borderId="29" xfId="57801" applyFont="1" applyFill="1" applyBorder="1" applyAlignment="1">
      <alignment horizontal="center" vertical="center" wrapText="1"/>
    </xf>
    <xf numFmtId="0" fontId="51" fillId="0" borderId="14" xfId="57801" applyFont="1" applyFill="1" applyBorder="1" applyAlignment="1">
      <alignment horizontal="center" vertical="center" wrapText="1"/>
    </xf>
    <xf numFmtId="0" fontId="120" fillId="0" borderId="0" xfId="57801" applyFont="1" applyFill="1" applyAlignment="1">
      <alignment horizontal="center"/>
    </xf>
    <xf numFmtId="0" fontId="59" fillId="0" borderId="29" xfId="58585" applyFont="1" applyFill="1" applyBorder="1" applyAlignment="1">
      <alignment horizontal="center" vertical="center" wrapText="1"/>
    </xf>
    <xf numFmtId="0" fontId="59" fillId="0" borderId="12" xfId="58585" applyFont="1" applyFill="1" applyBorder="1" applyAlignment="1">
      <alignment horizontal="center" vertical="center" wrapText="1"/>
    </xf>
    <xf numFmtId="0" fontId="59" fillId="0" borderId="14" xfId="58585" applyFont="1" applyFill="1" applyBorder="1" applyAlignment="1">
      <alignment horizontal="center" vertical="center" wrapText="1"/>
    </xf>
    <xf numFmtId="0" fontId="51" fillId="0" borderId="29" xfId="57801" applyFont="1" applyFill="1" applyBorder="1" applyAlignment="1">
      <alignment horizontal="center" wrapText="1"/>
    </xf>
    <xf numFmtId="0" fontId="51" fillId="0" borderId="12" xfId="57801" applyFont="1" applyFill="1" applyBorder="1" applyAlignment="1">
      <alignment horizontal="center" wrapText="1"/>
    </xf>
    <xf numFmtId="0" fontId="51" fillId="0" borderId="14" xfId="57801" applyFont="1" applyFill="1" applyBorder="1" applyAlignment="1">
      <alignment horizontal="center" wrapText="1"/>
    </xf>
    <xf numFmtId="0" fontId="51" fillId="0" borderId="11" xfId="57801" applyFont="1" applyFill="1" applyBorder="1" applyAlignment="1">
      <alignment horizontal="center" vertical="center" wrapText="1"/>
    </xf>
    <xf numFmtId="0" fontId="129" fillId="0" borderId="11" xfId="0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/>
    </xf>
    <xf numFmtId="0" fontId="53" fillId="0" borderId="14" xfId="0" applyFont="1" applyFill="1" applyBorder="1" applyAlignment="1">
      <alignment horizontal="center" vertical="center"/>
    </xf>
    <xf numFmtId="49" fontId="63" fillId="0" borderId="29" xfId="3" applyNumberFormat="1" applyFont="1" applyFill="1" applyBorder="1" applyAlignment="1">
      <alignment horizontal="center" vertical="center"/>
    </xf>
    <xf numFmtId="49" fontId="63" fillId="0" borderId="12" xfId="3" applyNumberFormat="1" applyFont="1" applyFill="1" applyBorder="1" applyAlignment="1">
      <alignment horizontal="center" vertical="center"/>
    </xf>
    <xf numFmtId="49" fontId="63" fillId="0" borderId="14" xfId="3" applyNumberFormat="1" applyFont="1" applyFill="1" applyBorder="1" applyAlignment="1">
      <alignment horizontal="center" vertical="center"/>
    </xf>
    <xf numFmtId="0" fontId="122" fillId="0" borderId="0" xfId="0" applyFont="1" applyFill="1" applyAlignment="1">
      <alignment horizontal="left" vertical="center" wrapText="1"/>
    </xf>
    <xf numFmtId="0" fontId="116" fillId="0" borderId="0" xfId="61416" applyFont="1" applyFill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63" fillId="0" borderId="29" xfId="0" applyFont="1" applyFill="1" applyBorder="1" applyAlignment="1">
      <alignment horizontal="center" vertical="center" wrapText="1"/>
    </xf>
    <xf numFmtId="0" fontId="63" fillId="0" borderId="12" xfId="0" applyFont="1" applyFill="1" applyBorder="1" applyAlignment="1">
      <alignment horizontal="center" vertical="center" wrapText="1"/>
    </xf>
    <xf numFmtId="2" fontId="63" fillId="0" borderId="15" xfId="61416" applyNumberFormat="1" applyFont="1" applyFill="1" applyBorder="1" applyAlignment="1">
      <alignment horizontal="center" vertical="center" wrapText="1"/>
    </xf>
    <xf numFmtId="2" fontId="63" fillId="0" borderId="68" xfId="61416" applyNumberFormat="1" applyFont="1" applyFill="1" applyBorder="1" applyAlignment="1">
      <alignment horizontal="center" vertical="center" wrapText="1"/>
    </xf>
    <xf numFmtId="2" fontId="63" fillId="0" borderId="74" xfId="61416" applyNumberFormat="1" applyFont="1" applyFill="1" applyBorder="1" applyAlignment="1">
      <alignment horizontal="center" vertical="center" wrapText="1"/>
    </xf>
    <xf numFmtId="0" fontId="63" fillId="0" borderId="74" xfId="61416" applyFont="1" applyFill="1" applyBorder="1" applyAlignment="1">
      <alignment horizontal="center" vertical="center" wrapText="1"/>
    </xf>
    <xf numFmtId="0" fontId="63" fillId="0" borderId="11" xfId="61416" applyFont="1" applyFill="1" applyBorder="1" applyAlignment="1">
      <alignment horizontal="center" vertical="center" wrapText="1"/>
    </xf>
    <xf numFmtId="0" fontId="63" fillId="0" borderId="15" xfId="61416" applyFont="1" applyFill="1" applyBorder="1" applyAlignment="1">
      <alignment horizontal="center" vertical="center"/>
    </xf>
    <xf numFmtId="0" fontId="63" fillId="0" borderId="68" xfId="61416" applyFont="1" applyFill="1" applyBorder="1" applyAlignment="1">
      <alignment horizontal="center" vertical="center"/>
    </xf>
    <xf numFmtId="0" fontId="63" fillId="0" borderId="74" xfId="61416" applyFont="1" applyFill="1" applyBorder="1" applyAlignment="1">
      <alignment horizontal="center" vertical="center"/>
    </xf>
    <xf numFmtId="0" fontId="63" fillId="0" borderId="29" xfId="61416" applyFont="1" applyFill="1" applyBorder="1" applyAlignment="1">
      <alignment horizontal="center" vertical="center" wrapText="1"/>
    </xf>
    <xf numFmtId="0" fontId="63" fillId="0" borderId="14" xfId="61416" applyFont="1" applyFill="1" applyBorder="1" applyAlignment="1">
      <alignment horizontal="center" vertical="center" wrapText="1"/>
    </xf>
    <xf numFmtId="0" fontId="63" fillId="0" borderId="11" xfId="61422" applyFont="1" applyFill="1" applyBorder="1" applyAlignment="1">
      <alignment horizontal="center" vertical="center" wrapText="1"/>
    </xf>
    <xf numFmtId="0" fontId="63" fillId="0" borderId="54" xfId="61416" applyFont="1" applyFill="1" applyBorder="1" applyAlignment="1">
      <alignment horizontal="center" vertical="center" wrapText="1"/>
    </xf>
    <xf numFmtId="0" fontId="51" fillId="0" borderId="11" xfId="61293" applyFont="1" applyFill="1" applyBorder="1" applyAlignment="1">
      <alignment horizontal="center" vertical="center" wrapText="1"/>
    </xf>
    <xf numFmtId="0" fontId="51" fillId="0" borderId="29" xfId="61293" applyFont="1" applyFill="1" applyBorder="1" applyAlignment="1">
      <alignment horizontal="center" vertical="center" wrapText="1"/>
    </xf>
    <xf numFmtId="0" fontId="51" fillId="0" borderId="14" xfId="61293" applyFont="1" applyFill="1" applyBorder="1" applyAlignment="1">
      <alignment horizontal="center" vertical="center" wrapText="1"/>
    </xf>
    <xf numFmtId="0" fontId="120" fillId="0" borderId="0" xfId="61293" applyFont="1" applyFill="1" applyAlignment="1">
      <alignment horizontal="center"/>
    </xf>
    <xf numFmtId="0" fontId="103" fillId="0" borderId="15" xfId="61293" applyFill="1" applyBorder="1" applyAlignment="1">
      <alignment horizontal="center"/>
    </xf>
    <xf numFmtId="0" fontId="103" fillId="0" borderId="77" xfId="61293" applyFill="1" applyBorder="1" applyAlignment="1">
      <alignment horizontal="center"/>
    </xf>
    <xf numFmtId="0" fontId="103" fillId="0" borderId="78" xfId="61293" applyFill="1" applyBorder="1" applyAlignment="1">
      <alignment horizontal="center"/>
    </xf>
    <xf numFmtId="0" fontId="51" fillId="0" borderId="15" xfId="61293" applyFont="1" applyFill="1" applyBorder="1" applyAlignment="1">
      <alignment horizontal="center" vertical="center"/>
    </xf>
    <xf numFmtId="0" fontId="51" fillId="0" borderId="77" xfId="61293" applyFont="1" applyFill="1" applyBorder="1" applyAlignment="1">
      <alignment horizontal="center" vertical="center"/>
    </xf>
    <xf numFmtId="0" fontId="51" fillId="0" borderId="78" xfId="61293" applyFont="1" applyFill="1" applyBorder="1" applyAlignment="1">
      <alignment horizontal="center" vertical="center"/>
    </xf>
    <xf numFmtId="0" fontId="126" fillId="0" borderId="15" xfId="0" applyFont="1" applyFill="1" applyBorder="1" applyAlignment="1">
      <alignment horizontal="center" vertical="center" wrapText="1"/>
    </xf>
    <xf numFmtId="0" fontId="126" fillId="0" borderId="68" xfId="0" applyFont="1" applyFill="1" applyBorder="1" applyAlignment="1">
      <alignment horizontal="center" vertical="center" wrapText="1"/>
    </xf>
    <xf numFmtId="0" fontId="126" fillId="0" borderId="74" xfId="0" applyFont="1" applyFill="1" applyBorder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23" fillId="0" borderId="29" xfId="0" applyFont="1" applyFill="1" applyBorder="1" applyAlignment="1">
      <alignment horizontal="center" vertical="center" wrapText="1"/>
    </xf>
    <xf numFmtId="0" fontId="123" fillId="0" borderId="12" xfId="0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53" fillId="0" borderId="14" xfId="0" applyFont="1" applyFill="1" applyBorder="1" applyAlignment="1">
      <alignment horizontal="center" vertical="center" wrapText="1"/>
    </xf>
    <xf numFmtId="0" fontId="55" fillId="0" borderId="11" xfId="61453" applyFont="1" applyBorder="1" applyAlignment="1">
      <alignment horizontal="center" vertical="center" wrapText="1"/>
    </xf>
    <xf numFmtId="49" fontId="55" fillId="0" borderId="11" xfId="61453" applyNumberFormat="1" applyFont="1" applyBorder="1" applyAlignment="1">
      <alignment horizontal="center" vertical="center" wrapText="1"/>
    </xf>
    <xf numFmtId="0" fontId="116" fillId="0" borderId="0" xfId="61453" applyFont="1" applyBorder="1" applyAlignment="1">
      <alignment horizontal="center" wrapText="1"/>
    </xf>
    <xf numFmtId="0" fontId="55" fillId="0" borderId="11" xfId="61453" applyFont="1" applyBorder="1" applyAlignment="1">
      <alignment vertical="center" wrapText="1"/>
    </xf>
    <xf numFmtId="0" fontId="55" fillId="74" borderId="11" xfId="61453" applyFont="1" applyFill="1" applyBorder="1" applyAlignment="1">
      <alignment horizontal="center" vertical="center" wrapText="1"/>
    </xf>
    <xf numFmtId="0" fontId="51" fillId="74" borderId="11" xfId="61438" applyFont="1" applyFill="1" applyBorder="1" applyAlignment="1">
      <alignment horizontal="center" vertical="center"/>
    </xf>
    <xf numFmtId="0" fontId="132" fillId="0" borderId="11" xfId="61438" applyFont="1" applyFill="1" applyBorder="1" applyAlignment="1">
      <alignment horizontal="center" vertical="center"/>
    </xf>
    <xf numFmtId="0" fontId="51" fillId="74" borderId="11" xfId="61438" applyFont="1" applyFill="1" applyBorder="1" applyAlignment="1">
      <alignment horizontal="center" vertical="center" wrapText="1"/>
    </xf>
    <xf numFmtId="0" fontId="52" fillId="74" borderId="11" xfId="61438" applyFont="1" applyFill="1" applyBorder="1" applyAlignment="1">
      <alignment horizontal="center" vertical="center" wrapText="1"/>
    </xf>
    <xf numFmtId="0" fontId="51" fillId="74" borderId="15" xfId="61438" applyFont="1" applyFill="1" applyBorder="1" applyAlignment="1">
      <alignment horizontal="center" vertical="center" wrapText="1"/>
    </xf>
    <xf numFmtId="0" fontId="51" fillId="74" borderId="77" xfId="61438" applyFont="1" applyFill="1" applyBorder="1" applyAlignment="1">
      <alignment horizontal="center" vertical="center" wrapText="1"/>
    </xf>
    <xf numFmtId="0" fontId="51" fillId="74" borderId="78" xfId="61438" applyFont="1" applyFill="1" applyBorder="1" applyAlignment="1">
      <alignment horizontal="center" vertical="center" wrapText="1"/>
    </xf>
    <xf numFmtId="0" fontId="54" fillId="74" borderId="11" xfId="61435" applyFont="1" applyFill="1" applyBorder="1" applyAlignment="1">
      <alignment horizontal="center" vertical="center" wrapText="1"/>
    </xf>
    <xf numFmtId="0" fontId="54" fillId="74" borderId="15" xfId="61435" applyFont="1" applyFill="1" applyBorder="1" applyAlignment="1">
      <alignment horizontal="center" vertical="center" wrapText="1"/>
    </xf>
    <xf numFmtId="0" fontId="54" fillId="74" borderId="11" xfId="61435" applyFont="1" applyFill="1" applyBorder="1" applyAlignment="1">
      <alignment horizontal="center" vertical="center"/>
    </xf>
    <xf numFmtId="0" fontId="54" fillId="74" borderId="76" xfId="61435" applyFont="1" applyFill="1" applyBorder="1" applyAlignment="1">
      <alignment horizontal="center" vertical="center" wrapText="1"/>
    </xf>
    <xf numFmtId="0" fontId="54" fillId="74" borderId="15" xfId="61435" applyFont="1" applyFill="1" applyBorder="1" applyAlignment="1">
      <alignment horizontal="center" vertical="center"/>
    </xf>
    <xf numFmtId="0" fontId="54" fillId="74" borderId="75" xfId="61435" applyFont="1" applyFill="1" applyBorder="1" applyAlignment="1">
      <alignment horizontal="center" vertical="center"/>
    </xf>
    <xf numFmtId="0" fontId="54" fillId="74" borderId="76" xfId="61435" applyFont="1" applyFill="1" applyBorder="1" applyAlignment="1">
      <alignment horizontal="center" vertical="center"/>
    </xf>
    <xf numFmtId="0" fontId="116" fillId="74" borderId="0" xfId="61435" applyFont="1" applyFill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5" fillId="0" borderId="11" xfId="0" applyFont="1" applyBorder="1" applyAlignment="1">
      <alignment vertical="center" wrapText="1"/>
    </xf>
    <xf numFmtId="0" fontId="63" fillId="0" borderId="11" xfId="0" applyFont="1" applyBorder="1" applyAlignment="1">
      <alignment horizontal="center" vertical="center"/>
    </xf>
    <xf numFmtId="0" fontId="137" fillId="78" borderId="11" xfId="0" applyFont="1" applyFill="1" applyBorder="1" applyAlignment="1">
      <alignment horizontal="center" vertical="center"/>
    </xf>
    <xf numFmtId="0" fontId="129" fillId="0" borderId="39" xfId="0" applyFont="1" applyFill="1" applyBorder="1" applyAlignment="1">
      <alignment horizontal="left" vertical="center"/>
    </xf>
    <xf numFmtId="0" fontId="129" fillId="0" borderId="14" xfId="0" applyFont="1" applyFill="1" applyBorder="1" applyAlignment="1">
      <alignment horizontal="left" vertical="center"/>
    </xf>
    <xf numFmtId="0" fontId="129" fillId="0" borderId="13" xfId="0" applyFont="1" applyFill="1" applyBorder="1" applyAlignment="1">
      <alignment horizontal="left" vertical="center"/>
    </xf>
    <xf numFmtId="4" fontId="129" fillId="0" borderId="36" xfId="0" applyNumberFormat="1" applyFont="1" applyFill="1" applyBorder="1" applyAlignment="1">
      <alignment horizontal="left" vertical="center" wrapText="1"/>
    </xf>
    <xf numFmtId="4" fontId="129" fillId="0" borderId="11" xfId="0" applyNumberFormat="1" applyFont="1" applyFill="1" applyBorder="1" applyAlignment="1">
      <alignment horizontal="left" vertical="center" wrapText="1"/>
    </xf>
    <xf numFmtId="4" fontId="129" fillId="0" borderId="15" xfId="0" applyNumberFormat="1" applyFont="1" applyFill="1" applyBorder="1" applyAlignment="1">
      <alignment horizontal="left" vertical="center" wrapText="1"/>
    </xf>
    <xf numFmtId="0" fontId="53" fillId="0" borderId="36" xfId="0" applyFont="1" applyFill="1" applyBorder="1" applyAlignment="1">
      <alignment horizontal="center" vertical="center"/>
    </xf>
    <xf numFmtId="49" fontId="53" fillId="0" borderId="11" xfId="58940" applyNumberFormat="1" applyFont="1" applyFill="1" applyBorder="1" applyAlignment="1">
      <alignment horizontal="center" vertical="center"/>
    </xf>
    <xf numFmtId="0" fontId="136" fillId="0" borderId="0" xfId="0" applyFont="1" applyFill="1" applyAlignment="1">
      <alignment horizontal="center" vertical="center" wrapText="1"/>
    </xf>
    <xf numFmtId="0" fontId="136" fillId="0" borderId="0" xfId="0" applyFont="1" applyFill="1" applyAlignment="1">
      <alignment wrapText="1"/>
    </xf>
    <xf numFmtId="0" fontId="59" fillId="0" borderId="43" xfId="0" applyFont="1" applyFill="1" applyBorder="1" applyAlignment="1">
      <alignment horizontal="center" vertical="center" wrapText="1"/>
    </xf>
    <xf numFmtId="0" fontId="59" fillId="0" borderId="36" xfId="0" applyFont="1" applyFill="1" applyBorder="1" applyAlignment="1">
      <alignment horizontal="center" vertical="center" wrapText="1"/>
    </xf>
    <xf numFmtId="0" fontId="59" fillId="0" borderId="4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59" fillId="0" borderId="44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3" fontId="59" fillId="0" borderId="43" xfId="58940" applyNumberFormat="1" applyFont="1" applyFill="1" applyBorder="1" applyAlignment="1">
      <alignment horizontal="center" vertical="center" wrapText="1"/>
    </xf>
    <xf numFmtId="3" fontId="59" fillId="0" borderId="45" xfId="0" applyNumberFormat="1" applyFont="1" applyFill="1" applyBorder="1" applyAlignment="1">
      <alignment horizontal="center" vertical="center" wrapText="1"/>
    </xf>
    <xf numFmtId="3" fontId="59" fillId="0" borderId="56" xfId="0" applyNumberFormat="1" applyFont="1" applyFill="1" applyBorder="1" applyAlignment="1">
      <alignment horizontal="center" vertical="center" wrapText="1"/>
    </xf>
    <xf numFmtId="0" fontId="135" fillId="0" borderId="45" xfId="0" applyFont="1" applyFill="1" applyBorder="1" applyAlignment="1">
      <alignment horizontal="center" vertical="center" wrapText="1"/>
    </xf>
    <xf numFmtId="0" fontId="59" fillId="0" borderId="57" xfId="0" applyFont="1" applyFill="1" applyBorder="1" applyAlignment="1">
      <alignment horizontal="center" vertical="center"/>
    </xf>
    <xf numFmtId="0" fontId="59" fillId="0" borderId="46" xfId="0" applyFont="1" applyFill="1" applyBorder="1" applyAlignment="1">
      <alignment horizontal="center" vertical="center"/>
    </xf>
    <xf numFmtId="0" fontId="59" fillId="0" borderId="39" xfId="0" applyFont="1" applyFill="1" applyBorder="1" applyAlignment="1">
      <alignment horizontal="center" vertical="center"/>
    </xf>
    <xf numFmtId="49" fontId="59" fillId="0" borderId="29" xfId="58940" applyNumberFormat="1" applyFont="1" applyFill="1" applyBorder="1" applyAlignment="1">
      <alignment horizontal="center" vertical="center"/>
    </xf>
    <xf numFmtId="49" fontId="59" fillId="0" borderId="12" xfId="58940" applyNumberFormat="1" applyFont="1" applyFill="1" applyBorder="1" applyAlignment="1">
      <alignment horizontal="center" vertical="center"/>
    </xf>
    <xf numFmtId="49" fontId="59" fillId="0" borderId="14" xfId="58940" applyNumberFormat="1" applyFont="1" applyFill="1" applyBorder="1" applyAlignment="1">
      <alignment horizontal="center" vertical="center"/>
    </xf>
    <xf numFmtId="0" fontId="169" fillId="0" borderId="0" xfId="0" applyFont="1" applyFill="1" applyAlignment="1">
      <alignment horizontal="center" vertical="center" wrapText="1"/>
    </xf>
    <xf numFmtId="0" fontId="118" fillId="0" borderId="43" xfId="0" applyFont="1" applyFill="1" applyBorder="1" applyAlignment="1">
      <alignment horizontal="center" vertical="center" wrapText="1"/>
    </xf>
    <xf numFmtId="0" fontId="118" fillId="0" borderId="36" xfId="0" applyFont="1" applyFill="1" applyBorder="1" applyAlignment="1">
      <alignment horizontal="center" vertical="center" wrapText="1"/>
    </xf>
    <xf numFmtId="0" fontId="55" fillId="0" borderId="36" xfId="0" applyFont="1" applyFill="1" applyBorder="1" applyAlignment="1">
      <alignment horizontal="center" vertical="center" wrapText="1"/>
    </xf>
    <xf numFmtId="0" fontId="118" fillId="0" borderId="42" xfId="0" applyFont="1" applyFill="1" applyBorder="1" applyAlignment="1">
      <alignment horizontal="center" vertical="center" wrapText="1"/>
    </xf>
    <xf numFmtId="0" fontId="118" fillId="0" borderId="11" xfId="0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center" vertical="center" wrapText="1"/>
    </xf>
    <xf numFmtId="0" fontId="118" fillId="0" borderId="44" xfId="0" applyFont="1" applyFill="1" applyBorder="1" applyAlignment="1">
      <alignment horizontal="center" vertical="center" wrapText="1"/>
    </xf>
    <xf numFmtId="0" fontId="118" fillId="0" borderId="15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3" fontId="138" fillId="0" borderId="43" xfId="58940" applyNumberFormat="1" applyFont="1" applyFill="1" applyBorder="1" applyAlignment="1">
      <alignment horizontal="center" vertical="center" wrapText="1"/>
    </xf>
    <xf numFmtId="3" fontId="58" fillId="0" borderId="42" xfId="0" applyNumberFormat="1" applyFont="1" applyFill="1" applyBorder="1" applyAlignment="1">
      <alignment horizontal="center" vertical="center" wrapText="1"/>
    </xf>
    <xf numFmtId="3" fontId="168" fillId="0" borderId="45" xfId="0" applyNumberFormat="1" applyFont="1" applyFill="1" applyBorder="1" applyAlignment="1">
      <alignment horizontal="center" vertical="center" wrapText="1"/>
    </xf>
    <xf numFmtId="3" fontId="58" fillId="0" borderId="56" xfId="0" applyNumberFormat="1" applyFont="1" applyFill="1" applyBorder="1" applyAlignment="1">
      <alignment horizontal="center" vertical="center" wrapText="1"/>
    </xf>
    <xf numFmtId="3" fontId="58" fillId="0" borderId="45" xfId="0" applyNumberFormat="1" applyFont="1" applyFill="1" applyBorder="1" applyAlignment="1">
      <alignment horizontal="center" vertical="center" wrapText="1"/>
    </xf>
    <xf numFmtId="3" fontId="55" fillId="0" borderId="36" xfId="0" applyNumberFormat="1" applyFont="1" applyFill="1" applyBorder="1" applyAlignment="1">
      <alignment horizontal="center" vertical="center" wrapText="1"/>
    </xf>
    <xf numFmtId="3" fontId="55" fillId="0" borderId="11" xfId="0" applyNumberFormat="1" applyFont="1" applyFill="1" applyBorder="1" applyAlignment="1">
      <alignment horizontal="center" vertical="center" wrapText="1"/>
    </xf>
    <xf numFmtId="3" fontId="58" fillId="0" borderId="11" xfId="0" applyNumberFormat="1" applyFont="1" applyFill="1" applyBorder="1" applyAlignment="1">
      <alignment horizontal="center" vertical="center" wrapText="1"/>
    </xf>
    <xf numFmtId="0" fontId="168" fillId="0" borderId="37" xfId="0" applyFont="1" applyFill="1" applyBorder="1" applyAlignment="1">
      <alignment horizontal="center" vertical="center" wrapText="1"/>
    </xf>
    <xf numFmtId="3" fontId="55" fillId="0" borderId="69" xfId="0" applyNumberFormat="1" applyFont="1" applyFill="1" applyBorder="1" applyAlignment="1">
      <alignment horizontal="center" vertical="center" wrapText="1"/>
    </xf>
    <xf numFmtId="0" fontId="168" fillId="0" borderId="11" xfId="0" applyFont="1" applyFill="1" applyBorder="1" applyAlignment="1">
      <alignment horizontal="center" vertical="center" wrapText="1"/>
    </xf>
    <xf numFmtId="4" fontId="56" fillId="0" borderId="36" xfId="0" applyNumberFormat="1" applyFont="1" applyFill="1" applyBorder="1" applyAlignment="1">
      <alignment horizontal="center" vertical="center" wrapText="1"/>
    </xf>
    <xf numFmtId="4" fontId="56" fillId="0" borderId="11" xfId="0" applyNumberFormat="1" applyFont="1" applyFill="1" applyBorder="1" applyAlignment="1">
      <alignment horizontal="center" vertical="center" wrapText="1"/>
    </xf>
    <xf numFmtId="4" fontId="56" fillId="0" borderId="37" xfId="0" applyNumberFormat="1" applyFont="1" applyFill="1" applyBorder="1" applyAlignment="1">
      <alignment horizontal="center" vertical="center" wrapText="1"/>
    </xf>
    <xf numFmtId="0" fontId="56" fillId="0" borderId="43" xfId="0" applyFont="1" applyFill="1" applyBorder="1" applyAlignment="1">
      <alignment horizontal="center" vertical="center"/>
    </xf>
    <xf numFmtId="0" fontId="56" fillId="0" borderId="42" xfId="0" applyFont="1" applyFill="1" applyBorder="1" applyAlignment="1">
      <alignment horizontal="center" vertical="center"/>
    </xf>
    <xf numFmtId="0" fontId="56" fillId="0" borderId="44" xfId="0" applyFont="1" applyFill="1" applyBorder="1" applyAlignment="1">
      <alignment horizontal="center" vertical="center"/>
    </xf>
    <xf numFmtId="4" fontId="56" fillId="0" borderId="15" xfId="0" applyNumberFormat="1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left" vertical="center" wrapText="1"/>
    </xf>
    <xf numFmtId="0" fontId="170" fillId="0" borderId="0" xfId="0" applyFont="1" applyFill="1" applyAlignment="1">
      <alignment horizontal="left" vertical="center" wrapText="1"/>
    </xf>
    <xf numFmtId="0" fontId="170" fillId="0" borderId="0" xfId="0" applyFont="1" applyFill="1" applyAlignment="1">
      <alignment vertical="center" wrapText="1"/>
    </xf>
    <xf numFmtId="0" fontId="56" fillId="0" borderId="39" xfId="0" applyFont="1" applyFill="1" applyBorder="1" applyAlignment="1">
      <alignment horizontal="left" vertical="center"/>
    </xf>
    <xf numFmtId="0" fontId="56" fillId="0" borderId="14" xfId="0" applyFont="1" applyFill="1" applyBorder="1" applyAlignment="1">
      <alignment horizontal="left" vertical="center"/>
    </xf>
    <xf numFmtId="0" fontId="56" fillId="0" borderId="13" xfId="0" applyFont="1" applyFill="1" applyBorder="1" applyAlignment="1">
      <alignment horizontal="left" vertical="center"/>
    </xf>
    <xf numFmtId="4" fontId="56" fillId="0" borderId="36" xfId="0" applyNumberFormat="1" applyFont="1" applyFill="1" applyBorder="1" applyAlignment="1">
      <alignment horizontal="left" vertical="center" wrapText="1"/>
    </xf>
    <xf numFmtId="4" fontId="56" fillId="0" borderId="11" xfId="0" applyNumberFormat="1" applyFont="1" applyFill="1" applyBorder="1" applyAlignment="1">
      <alignment horizontal="left" vertical="center" wrapText="1"/>
    </xf>
    <xf numFmtId="4" fontId="56" fillId="0" borderId="15" xfId="0" applyNumberFormat="1" applyFont="1" applyFill="1" applyBorder="1" applyAlignment="1">
      <alignment horizontal="left" vertical="center" wrapText="1"/>
    </xf>
    <xf numFmtId="0" fontId="130" fillId="0" borderId="0" xfId="0" applyFont="1" applyFill="1" applyAlignment="1">
      <alignment horizontal="center" vertical="center" wrapText="1"/>
    </xf>
    <xf numFmtId="0" fontId="139" fillId="0" borderId="0" xfId="0" applyFont="1" applyFill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59" fillId="0" borderId="52" xfId="0" applyFont="1" applyFill="1" applyBorder="1" applyAlignment="1">
      <alignment horizontal="center" vertical="center" wrapText="1"/>
    </xf>
    <xf numFmtId="3" fontId="59" fillId="0" borderId="43" xfId="0" applyNumberFormat="1" applyFont="1" applyFill="1" applyBorder="1" applyAlignment="1">
      <alignment horizontal="center" vertical="center" wrapText="1"/>
    </xf>
    <xf numFmtId="3" fontId="59" fillId="0" borderId="44" xfId="0" applyNumberFormat="1" applyFont="1" applyFill="1" applyBorder="1" applyAlignment="1">
      <alignment horizontal="center" vertical="center" wrapText="1"/>
    </xf>
    <xf numFmtId="0" fontId="170" fillId="0" borderId="45" xfId="0" applyFont="1" applyFill="1" applyBorder="1" applyAlignment="1">
      <alignment horizontal="center" vertical="center" wrapText="1"/>
    </xf>
    <xf numFmtId="3" fontId="119" fillId="0" borderId="0" xfId="0" applyNumberFormat="1" applyFont="1" applyFill="1" applyBorder="1" applyAlignment="1">
      <alignment horizontal="left" vertical="center" wrapText="1"/>
    </xf>
    <xf numFmtId="0" fontId="93" fillId="0" borderId="0" xfId="0" applyFont="1" applyFill="1" applyAlignment="1">
      <alignment horizontal="left" vertical="center" wrapText="1"/>
    </xf>
    <xf numFmtId="0" fontId="93" fillId="0" borderId="0" xfId="0" applyFont="1" applyFill="1" applyAlignment="1">
      <alignment vertical="center" wrapText="1"/>
    </xf>
    <xf numFmtId="0" fontId="116" fillId="0" borderId="0" xfId="0" applyFont="1" applyFill="1" applyAlignment="1">
      <alignment horizontal="center" vertical="center" wrapText="1"/>
    </xf>
    <xf numFmtId="0" fontId="59" fillId="0" borderId="45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3" fontId="51" fillId="0" borderId="56" xfId="0" applyNumberFormat="1" applyFont="1" applyFill="1" applyBorder="1" applyAlignment="1">
      <alignment horizontal="center" vertical="center" wrapText="1"/>
    </xf>
    <xf numFmtId="3" fontId="51" fillId="0" borderId="42" xfId="0" applyNumberFormat="1" applyFont="1" applyFill="1" applyBorder="1" applyAlignment="1">
      <alignment horizontal="center" vertical="center" wrapText="1"/>
    </xf>
    <xf numFmtId="3" fontId="59" fillId="0" borderId="63" xfId="0" applyNumberFormat="1" applyFont="1" applyFill="1" applyBorder="1" applyAlignment="1">
      <alignment horizontal="center" vertical="center" wrapText="1"/>
    </xf>
    <xf numFmtId="0" fontId="59" fillId="0" borderId="64" xfId="0" applyFont="1" applyFill="1" applyBorder="1" applyAlignment="1">
      <alignment horizontal="center" vertical="center" wrapText="1"/>
    </xf>
    <xf numFmtId="3" fontId="51" fillId="0" borderId="63" xfId="0" applyNumberFormat="1" applyFont="1" applyFill="1" applyBorder="1" applyAlignment="1">
      <alignment horizontal="center" vertical="center" wrapText="1"/>
    </xf>
    <xf numFmtId="0" fontId="51" fillId="0" borderId="64" xfId="0" applyFont="1" applyFill="1" applyBorder="1" applyAlignment="1">
      <alignment horizontal="center" vertical="center" wrapText="1"/>
    </xf>
    <xf numFmtId="0" fontId="129" fillId="0" borderId="38" xfId="0" applyFont="1" applyFill="1" applyBorder="1" applyAlignment="1">
      <alignment horizontal="left" vertical="center"/>
    </xf>
    <xf numFmtId="4" fontId="129" fillId="0" borderId="37" xfId="0" applyNumberFormat="1" applyFont="1" applyFill="1" applyBorder="1" applyAlignment="1">
      <alignment horizontal="left" vertical="center" wrapText="1"/>
    </xf>
    <xf numFmtId="0" fontId="129" fillId="0" borderId="39" xfId="0" applyFont="1" applyFill="1" applyBorder="1" applyAlignment="1">
      <alignment horizontal="center" vertical="center"/>
    </xf>
    <xf numFmtId="0" fontId="129" fillId="0" borderId="14" xfId="0" applyFont="1" applyFill="1" applyBorder="1" applyAlignment="1">
      <alignment horizontal="center" vertical="center"/>
    </xf>
    <xf numFmtId="0" fontId="129" fillId="0" borderId="13" xfId="0" applyFont="1" applyFill="1" applyBorder="1" applyAlignment="1">
      <alignment horizontal="center" vertical="center"/>
    </xf>
    <xf numFmtId="4" fontId="129" fillId="0" borderId="36" xfId="0" applyNumberFormat="1" applyFont="1" applyFill="1" applyBorder="1" applyAlignment="1">
      <alignment horizontal="center" vertical="center" wrapText="1"/>
    </xf>
    <xf numFmtId="4" fontId="129" fillId="0" borderId="11" xfId="0" applyNumberFormat="1" applyFont="1" applyFill="1" applyBorder="1" applyAlignment="1">
      <alignment horizontal="center" vertical="center" wrapText="1"/>
    </xf>
    <xf numFmtId="4" fontId="129" fillId="0" borderId="15" xfId="0" applyNumberFormat="1" applyFont="1" applyFill="1" applyBorder="1" applyAlignment="1">
      <alignment horizontal="center" vertical="center" wrapText="1"/>
    </xf>
    <xf numFmtId="0" fontId="53" fillId="0" borderId="43" xfId="0" applyFont="1" applyFill="1" applyBorder="1" applyAlignment="1">
      <alignment horizontal="center" vertical="center" wrapText="1"/>
    </xf>
    <xf numFmtId="0" fontId="53" fillId="0" borderId="36" xfId="0" applyFont="1" applyFill="1" applyBorder="1" applyAlignment="1">
      <alignment horizontal="center" vertical="center" wrapText="1"/>
    </xf>
    <xf numFmtId="0" fontId="53" fillId="0" borderId="4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0" borderId="44" xfId="0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horizontal="center" vertical="center" wrapText="1"/>
    </xf>
    <xf numFmtId="3" fontId="115" fillId="0" borderId="56" xfId="0" applyNumberFormat="1" applyFont="1" applyFill="1" applyBorder="1" applyAlignment="1">
      <alignment horizontal="center" vertical="center" wrapText="1"/>
    </xf>
    <xf numFmtId="0" fontId="115" fillId="0" borderId="44" xfId="0" applyFont="1" applyFill="1" applyBorder="1" applyAlignment="1">
      <alignment horizontal="center" vertical="center" wrapText="1"/>
    </xf>
    <xf numFmtId="0" fontId="115" fillId="0" borderId="69" xfId="0" applyFont="1" applyFill="1" applyBorder="1" applyAlignment="1">
      <alignment horizontal="center" vertical="center" wrapText="1"/>
    </xf>
    <xf numFmtId="0" fontId="115" fillId="0" borderId="15" xfId="0" applyFont="1" applyFill="1" applyBorder="1" applyAlignment="1">
      <alignment horizontal="center" vertical="center" wrapText="1"/>
    </xf>
    <xf numFmtId="3" fontId="115" fillId="0" borderId="43" xfId="0" applyNumberFormat="1" applyFont="1" applyFill="1" applyBorder="1" applyAlignment="1">
      <alignment horizontal="center" vertical="center" wrapText="1"/>
    </xf>
    <xf numFmtId="0" fontId="115" fillId="0" borderId="45" xfId="0" applyFont="1" applyFill="1" applyBorder="1" applyAlignment="1">
      <alignment horizontal="center" vertical="center" wrapText="1"/>
    </xf>
    <xf numFmtId="0" fontId="115" fillId="0" borderId="36" xfId="0" applyFont="1" applyFill="1" applyBorder="1" applyAlignment="1">
      <alignment horizontal="center" vertical="center" wrapText="1"/>
    </xf>
    <xf numFmtId="0" fontId="115" fillId="0" borderId="37" xfId="0" applyFont="1" applyFill="1" applyBorder="1" applyAlignment="1">
      <alignment horizontal="center" vertical="center" wrapText="1"/>
    </xf>
    <xf numFmtId="3" fontId="53" fillId="0" borderId="36" xfId="58940" applyNumberFormat="1" applyFont="1" applyFill="1" applyBorder="1" applyAlignment="1">
      <alignment horizontal="center" vertical="center" wrapText="1"/>
    </xf>
    <xf numFmtId="3" fontId="53" fillId="0" borderId="11" xfId="58940" applyNumberFormat="1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167" fillId="0" borderId="11" xfId="0" applyFont="1" applyFill="1" applyBorder="1" applyAlignment="1">
      <alignment horizontal="center" vertical="center" wrapText="1"/>
    </xf>
    <xf numFmtId="0" fontId="167" fillId="0" borderId="37" xfId="0" applyFont="1" applyFill="1" applyBorder="1" applyAlignment="1">
      <alignment horizontal="center" vertical="center" wrapText="1"/>
    </xf>
    <xf numFmtId="3" fontId="115" fillId="0" borderId="42" xfId="0" applyNumberFormat="1" applyFont="1" applyFill="1" applyBorder="1" applyAlignment="1">
      <alignment horizontal="center" vertical="center" wrapText="1"/>
    </xf>
    <xf numFmtId="0" fontId="166" fillId="0" borderId="42" xfId="0" applyFont="1" applyFill="1" applyBorder="1" applyAlignment="1">
      <alignment horizontal="center" vertical="center" wrapText="1"/>
    </xf>
    <xf numFmtId="0" fontId="166" fillId="0" borderId="45" xfId="0" applyFont="1" applyFill="1" applyBorder="1" applyAlignment="1">
      <alignment horizontal="center" vertical="center" wrapText="1"/>
    </xf>
    <xf numFmtId="0" fontId="130" fillId="74" borderId="0" xfId="61448" applyFont="1" applyFill="1" applyAlignment="1">
      <alignment horizontal="center" vertical="center" wrapText="1"/>
    </xf>
    <xf numFmtId="0" fontId="53" fillId="74" borderId="11" xfId="61448" applyFont="1" applyFill="1" applyBorder="1" applyAlignment="1">
      <alignment horizontal="center" vertical="center" wrapText="1"/>
    </xf>
    <xf numFmtId="49" fontId="53" fillId="74" borderId="29" xfId="61448" applyNumberFormat="1" applyFont="1" applyFill="1" applyBorder="1" applyAlignment="1">
      <alignment horizontal="center" vertical="center" wrapText="1"/>
    </xf>
    <xf numFmtId="49" fontId="53" fillId="74" borderId="14" xfId="61448" applyNumberFormat="1" applyFont="1" applyFill="1" applyBorder="1" applyAlignment="1">
      <alignment horizontal="center" vertical="center" wrapText="1"/>
    </xf>
    <xf numFmtId="0" fontId="53" fillId="74" borderId="15" xfId="61448" applyFont="1" applyFill="1" applyBorder="1" applyAlignment="1">
      <alignment horizontal="center" vertical="center" wrapText="1"/>
    </xf>
    <xf numFmtId="3" fontId="142" fillId="74" borderId="0" xfId="61448" applyNumberFormat="1" applyFont="1" applyFill="1" applyAlignment="1">
      <alignment horizontal="center" vertical="center" wrapText="1"/>
    </xf>
    <xf numFmtId="0" fontId="143" fillId="74" borderId="0" xfId="61448" applyFont="1" applyFill="1" applyAlignment="1">
      <alignment horizontal="center" vertical="center" wrapText="1"/>
    </xf>
    <xf numFmtId="3" fontId="53" fillId="74" borderId="43" xfId="61448" applyNumberFormat="1" applyFont="1" applyFill="1" applyBorder="1" applyAlignment="1">
      <alignment horizontal="center" vertical="center" wrapText="1"/>
    </xf>
    <xf numFmtId="3" fontId="53" fillId="74" borderId="36" xfId="61448" applyNumberFormat="1" applyFont="1" applyFill="1" applyBorder="1" applyAlignment="1">
      <alignment horizontal="center" vertical="center" wrapText="1"/>
    </xf>
    <xf numFmtId="3" fontId="53" fillId="74" borderId="42" xfId="61448" applyNumberFormat="1" applyFont="1" applyFill="1" applyBorder="1" applyAlignment="1">
      <alignment horizontal="center" vertical="center" wrapText="1"/>
    </xf>
    <xf numFmtId="3" fontId="53" fillId="74" borderId="11" xfId="61448" applyNumberFormat="1" applyFont="1" applyFill="1" applyBorder="1" applyAlignment="1">
      <alignment horizontal="center" vertical="center" wrapText="1"/>
    </xf>
    <xf numFmtId="3" fontId="53" fillId="74" borderId="42" xfId="4" applyNumberFormat="1" applyFont="1" applyFill="1" applyBorder="1" applyAlignment="1">
      <alignment horizontal="center" vertical="center" wrapText="1"/>
    </xf>
    <xf numFmtId="3" fontId="53" fillId="74" borderId="11" xfId="4" applyNumberFormat="1" applyFont="1" applyFill="1" applyBorder="1" applyAlignment="1">
      <alignment horizontal="center" vertical="center" wrapText="1"/>
    </xf>
    <xf numFmtId="0" fontId="152" fillId="74" borderId="12" xfId="58923" applyFont="1" applyFill="1" applyBorder="1" applyAlignment="1">
      <alignment horizontal="center" vertical="center" wrapText="1"/>
    </xf>
    <xf numFmtId="0" fontId="152" fillId="74" borderId="14" xfId="58923" applyFont="1" applyFill="1" applyBorder="1" applyAlignment="1">
      <alignment horizontal="center" vertical="center" wrapText="1"/>
    </xf>
    <xf numFmtId="0" fontId="153" fillId="74" borderId="12" xfId="58923" applyFont="1" applyFill="1" applyBorder="1" applyAlignment="1">
      <alignment horizontal="center" vertical="center" wrapText="1"/>
    </xf>
    <xf numFmtId="0" fontId="153" fillId="74" borderId="14" xfId="58923" applyFont="1" applyFill="1" applyBorder="1" applyAlignment="1">
      <alignment horizontal="center" vertical="center" wrapText="1"/>
    </xf>
    <xf numFmtId="4" fontId="152" fillId="74" borderId="12" xfId="58923" applyNumberFormat="1" applyFont="1" applyFill="1" applyBorder="1" applyAlignment="1">
      <alignment horizontal="center" vertical="center" wrapText="1"/>
    </xf>
    <xf numFmtId="4" fontId="152" fillId="74" borderId="14" xfId="58923" applyNumberFormat="1" applyFont="1" applyFill="1" applyBorder="1" applyAlignment="1">
      <alignment horizontal="center" vertical="center" wrapText="1"/>
    </xf>
    <xf numFmtId="0" fontId="149" fillId="74" borderId="47" xfId="58923" applyFont="1" applyFill="1" applyBorder="1" applyAlignment="1">
      <alignment horizontal="center" vertical="center" wrapText="1"/>
    </xf>
    <xf numFmtId="0" fontId="149" fillId="74" borderId="38" xfId="58923" applyFont="1" applyFill="1" applyBorder="1" applyAlignment="1">
      <alignment horizontal="center" vertical="center" wrapText="1"/>
    </xf>
    <xf numFmtId="0" fontId="149" fillId="74" borderId="35" xfId="58923" applyFont="1" applyFill="1" applyBorder="1" applyAlignment="1">
      <alignment horizontal="center" vertical="center" wrapText="1"/>
    </xf>
    <xf numFmtId="0" fontId="152" fillId="74" borderId="46" xfId="58923" applyFont="1" applyFill="1" applyBorder="1" applyAlignment="1">
      <alignment horizontal="center" vertical="center" wrapText="1"/>
    </xf>
    <xf numFmtId="0" fontId="152" fillId="74" borderId="39" xfId="58923" applyFont="1" applyFill="1" applyBorder="1" applyAlignment="1">
      <alignment horizontal="center" vertical="center" wrapText="1"/>
    </xf>
    <xf numFmtId="0" fontId="51" fillId="74" borderId="12" xfId="58923" applyFont="1" applyFill="1" applyBorder="1" applyAlignment="1">
      <alignment horizontal="center" vertical="center" wrapText="1"/>
    </xf>
    <xf numFmtId="0" fontId="51" fillId="74" borderId="14" xfId="58923" applyFont="1" applyFill="1" applyBorder="1" applyAlignment="1">
      <alignment horizontal="center" vertical="center" wrapText="1"/>
    </xf>
    <xf numFmtId="0" fontId="145" fillId="74" borderId="0" xfId="58923" applyFont="1" applyFill="1" applyAlignment="1">
      <alignment horizontal="center" vertical="center"/>
    </xf>
    <xf numFmtId="0" fontId="146" fillId="74" borderId="40" xfId="58923" applyFont="1" applyFill="1" applyBorder="1" applyAlignment="1">
      <alignment horizontal="right" vertical="center"/>
    </xf>
    <xf numFmtId="0" fontId="148" fillId="74" borderId="50" xfId="58923" applyFont="1" applyFill="1" applyBorder="1" applyAlignment="1">
      <alignment horizontal="center" vertical="center" wrapText="1"/>
    </xf>
    <xf numFmtId="0" fontId="148" fillId="74" borderId="46" xfId="58923" applyFont="1" applyFill="1" applyBorder="1" applyAlignment="1">
      <alignment horizontal="center" vertical="center" wrapText="1"/>
    </xf>
    <xf numFmtId="0" fontId="148" fillId="74" borderId="39" xfId="58923" applyFont="1" applyFill="1" applyBorder="1" applyAlignment="1">
      <alignment horizontal="center" vertical="center" wrapText="1"/>
    </xf>
    <xf numFmtId="0" fontId="148" fillId="74" borderId="41" xfId="58923" applyFont="1" applyFill="1" applyBorder="1" applyAlignment="1">
      <alignment horizontal="center" vertical="center" wrapText="1"/>
    </xf>
    <xf numFmtId="0" fontId="148" fillId="74" borderId="12" xfId="58923" applyFont="1" applyFill="1" applyBorder="1" applyAlignment="1">
      <alignment horizontal="center" vertical="center" wrapText="1"/>
    </xf>
    <xf numFmtId="0" fontId="148" fillId="74" borderId="14" xfId="58923" applyFont="1" applyFill="1" applyBorder="1" applyAlignment="1">
      <alignment horizontal="center" vertical="center" wrapText="1"/>
    </xf>
    <xf numFmtId="0" fontId="148" fillId="74" borderId="42" xfId="58923" applyFont="1" applyFill="1" applyBorder="1" applyAlignment="1">
      <alignment horizontal="center" vertical="center" wrapText="1"/>
    </xf>
    <xf numFmtId="0" fontId="148" fillId="74" borderId="11" xfId="58923" applyFont="1" applyFill="1" applyBorder="1" applyAlignment="1">
      <alignment horizontal="center" vertical="center" wrapText="1"/>
    </xf>
    <xf numFmtId="0" fontId="149" fillId="74" borderId="32" xfId="58923" applyFont="1" applyFill="1" applyBorder="1" applyAlignment="1">
      <alignment horizontal="center" vertical="center" wrapText="1"/>
    </xf>
    <xf numFmtId="0" fontId="149" fillId="74" borderId="33" xfId="58923" applyFont="1" applyFill="1" applyBorder="1" applyAlignment="1">
      <alignment horizontal="center" vertical="center" wrapText="1"/>
    </xf>
    <xf numFmtId="0" fontId="149" fillId="74" borderId="34" xfId="58923" applyFont="1" applyFill="1" applyBorder="1" applyAlignment="1">
      <alignment horizontal="center" vertical="center" wrapText="1"/>
    </xf>
    <xf numFmtId="0" fontId="149" fillId="74" borderId="43" xfId="58923" applyFont="1" applyFill="1" applyBorder="1" applyAlignment="1">
      <alignment horizontal="center" vertical="center" wrapText="1"/>
    </xf>
    <xf numFmtId="0" fontId="149" fillId="74" borderId="42" xfId="58923" applyFont="1" applyFill="1" applyBorder="1" applyAlignment="1">
      <alignment horizontal="center" vertical="center" wrapText="1"/>
    </xf>
    <xf numFmtId="0" fontId="149" fillId="74" borderId="44" xfId="58923" applyFont="1" applyFill="1" applyBorder="1" applyAlignment="1">
      <alignment horizontal="center" vertical="center" wrapText="1"/>
    </xf>
    <xf numFmtId="0" fontId="149" fillId="74" borderId="45" xfId="58923" applyFont="1" applyFill="1" applyBorder="1" applyAlignment="1">
      <alignment horizontal="center" vertical="center" wrapText="1"/>
    </xf>
    <xf numFmtId="0" fontId="63" fillId="74" borderId="57" xfId="58923" applyFont="1" applyFill="1" applyBorder="1" applyAlignment="1">
      <alignment horizontal="center" vertical="center" wrapText="1"/>
    </xf>
    <xf numFmtId="0" fontId="63" fillId="74" borderId="39" xfId="58923" applyFont="1" applyFill="1" applyBorder="1" applyAlignment="1">
      <alignment horizontal="center" vertical="center" wrapText="1"/>
    </xf>
    <xf numFmtId="0" fontId="148" fillId="74" borderId="29" xfId="58923" applyFont="1" applyFill="1" applyBorder="1" applyAlignment="1">
      <alignment horizontal="center" vertical="center" wrapText="1"/>
    </xf>
    <xf numFmtId="0" fontId="150" fillId="74" borderId="29" xfId="58923" applyFont="1" applyFill="1" applyBorder="1" applyAlignment="1">
      <alignment horizontal="center" vertical="center" wrapText="1"/>
    </xf>
    <xf numFmtId="0" fontId="150" fillId="74" borderId="14" xfId="58923" applyFont="1" applyFill="1" applyBorder="1" applyAlignment="1">
      <alignment horizontal="center" vertical="center" wrapText="1"/>
    </xf>
    <xf numFmtId="0" fontId="149" fillId="74" borderId="35" xfId="58923" applyFont="1" applyFill="1" applyBorder="1" applyAlignment="1">
      <alignment horizontal="center" vertical="center"/>
    </xf>
    <xf numFmtId="0" fontId="149" fillId="74" borderId="38" xfId="58923" applyFont="1" applyFill="1" applyBorder="1" applyAlignment="1">
      <alignment horizontal="center" vertical="center"/>
    </xf>
    <xf numFmtId="0" fontId="51" fillId="74" borderId="46" xfId="58923" applyFont="1" applyFill="1" applyBorder="1" applyAlignment="1">
      <alignment horizontal="center" vertical="center" wrapText="1"/>
    </xf>
    <xf numFmtId="0" fontId="51" fillId="74" borderId="39" xfId="58923" applyFont="1" applyFill="1" applyBorder="1" applyAlignment="1">
      <alignment horizontal="center" vertical="center" wrapText="1"/>
    </xf>
    <xf numFmtId="0" fontId="126" fillId="74" borderId="10" xfId="61448" applyFont="1" applyFill="1" applyBorder="1" applyAlignment="1">
      <alignment horizontal="center" vertical="center" wrapText="1"/>
    </xf>
    <xf numFmtId="0" fontId="63" fillId="74" borderId="54" xfId="61448" applyFont="1" applyFill="1" applyBorder="1" applyAlignment="1">
      <alignment horizontal="center" vertical="center" wrapText="1"/>
    </xf>
    <xf numFmtId="0" fontId="63" fillId="74" borderId="31" xfId="61448" applyFont="1" applyFill="1" applyBorder="1" applyAlignment="1">
      <alignment horizontal="center" vertical="center" wrapText="1"/>
    </xf>
    <xf numFmtId="0" fontId="63" fillId="74" borderId="29" xfId="61448" applyFont="1" applyFill="1" applyBorder="1" applyAlignment="1">
      <alignment horizontal="center" vertical="center" wrapText="1"/>
    </xf>
    <xf numFmtId="0" fontId="63" fillId="74" borderId="14" xfId="61448" applyFont="1" applyFill="1" applyBorder="1" applyAlignment="1">
      <alignment horizontal="center" vertical="center" wrapText="1"/>
    </xf>
    <xf numFmtId="0" fontId="137" fillId="74" borderId="29" xfId="61448" applyFont="1" applyFill="1" applyBorder="1" applyAlignment="1">
      <alignment horizontal="center" vertical="center" wrapText="1"/>
    </xf>
    <xf numFmtId="0" fontId="118" fillId="74" borderId="70" xfId="61320" applyFont="1" applyFill="1" applyBorder="1" applyAlignment="1">
      <alignment horizontal="center" vertical="center" wrapText="1"/>
    </xf>
    <xf numFmtId="0" fontId="118" fillId="74" borderId="71" xfId="61320" applyFont="1" applyFill="1" applyBorder="1" applyAlignment="1">
      <alignment horizontal="center" vertical="center" wrapText="1"/>
    </xf>
    <xf numFmtId="3" fontId="118" fillId="74" borderId="63" xfId="61320" applyNumberFormat="1" applyFont="1" applyFill="1" applyBorder="1" applyAlignment="1">
      <alignment horizontal="center" vertical="center" wrapText="1"/>
    </xf>
    <xf numFmtId="3" fontId="118" fillId="74" borderId="67" xfId="61320" applyNumberFormat="1" applyFont="1" applyFill="1" applyBorder="1" applyAlignment="1">
      <alignment horizontal="center" vertical="center" wrapText="1"/>
    </xf>
    <xf numFmtId="3" fontId="118" fillId="74" borderId="66" xfId="61320" applyNumberFormat="1" applyFont="1" applyFill="1" applyBorder="1" applyAlignment="1">
      <alignment horizontal="center" vertical="center" wrapText="1"/>
    </xf>
    <xf numFmtId="3" fontId="118" fillId="74" borderId="0" xfId="61320" applyNumberFormat="1" applyFont="1" applyFill="1" applyBorder="1" applyAlignment="1">
      <alignment horizontal="center" vertical="center" wrapText="1"/>
    </xf>
    <xf numFmtId="0" fontId="118" fillId="74" borderId="37" xfId="61320" applyFont="1" applyFill="1" applyBorder="1" applyAlignment="1">
      <alignment horizontal="center" vertical="center" wrapText="1"/>
    </xf>
    <xf numFmtId="0" fontId="158" fillId="74" borderId="37" xfId="61320" applyFont="1" applyFill="1" applyBorder="1" applyAlignment="1">
      <alignment horizontal="center" vertical="center" wrapText="1"/>
    </xf>
    <xf numFmtId="0" fontId="142" fillId="74" borderId="0" xfId="61320" applyFont="1" applyFill="1" applyAlignment="1">
      <alignment horizontal="center" vertical="center" wrapText="1"/>
    </xf>
    <xf numFmtId="0" fontId="118" fillId="74" borderId="43" xfId="61320" applyFont="1" applyFill="1" applyBorder="1" applyAlignment="1">
      <alignment horizontal="center" vertical="center" wrapText="1"/>
    </xf>
    <xf numFmtId="0" fontId="118" fillId="74" borderId="36" xfId="61320" applyFont="1" applyFill="1" applyBorder="1" applyAlignment="1">
      <alignment horizontal="center" vertical="center" wrapText="1"/>
    </xf>
    <xf numFmtId="0" fontId="118" fillId="74" borderId="42" xfId="61320" applyFont="1" applyFill="1" applyBorder="1" applyAlignment="1">
      <alignment horizontal="center" vertical="center" wrapText="1"/>
    </xf>
    <xf numFmtId="0" fontId="118" fillId="74" borderId="11" xfId="61320" applyFont="1" applyFill="1" applyBorder="1" applyAlignment="1">
      <alignment horizontal="center" vertical="center" wrapText="1"/>
    </xf>
    <xf numFmtId="3" fontId="118" fillId="74" borderId="42" xfId="61320" applyNumberFormat="1" applyFont="1" applyFill="1" applyBorder="1" applyAlignment="1">
      <alignment horizontal="center" vertical="center" wrapText="1"/>
    </xf>
    <xf numFmtId="3" fontId="118" fillId="74" borderId="44" xfId="61320" applyNumberFormat="1" applyFont="1" applyFill="1" applyBorder="1" applyAlignment="1">
      <alignment horizontal="center" vertical="center" wrapText="1"/>
    </xf>
    <xf numFmtId="3" fontId="118" fillId="74" borderId="32" xfId="61320" applyNumberFormat="1" applyFont="1" applyFill="1" applyBorder="1" applyAlignment="1">
      <alignment horizontal="center" vertical="center" wrapText="1"/>
    </xf>
    <xf numFmtId="3" fontId="118" fillId="74" borderId="49" xfId="61320" applyNumberFormat="1" applyFont="1" applyFill="1" applyBorder="1" applyAlignment="1">
      <alignment horizontal="center" vertical="center" wrapText="1"/>
    </xf>
    <xf numFmtId="3" fontId="118" fillId="74" borderId="49" xfId="61320" applyNumberFormat="1" applyFont="1" applyFill="1" applyBorder="1" applyAlignment="1">
      <alignment horizontal="center" vertical="center"/>
    </xf>
    <xf numFmtId="3" fontId="118" fillId="74" borderId="43" xfId="61320" applyNumberFormat="1" applyFont="1" applyFill="1" applyBorder="1" applyAlignment="1">
      <alignment horizontal="center" vertical="center" wrapText="1"/>
    </xf>
    <xf numFmtId="0" fontId="158" fillId="74" borderId="42" xfId="61320" applyFont="1" applyFill="1" applyBorder="1" applyAlignment="1">
      <alignment horizontal="center" vertical="center" wrapText="1"/>
    </xf>
    <xf numFmtId="0" fontId="158" fillId="74" borderId="45" xfId="61320" applyFont="1" applyFill="1" applyBorder="1" applyAlignment="1">
      <alignment horizontal="center" vertical="center" wrapText="1"/>
    </xf>
    <xf numFmtId="3" fontId="118" fillId="74" borderId="11" xfId="61320" applyNumberFormat="1" applyFont="1" applyFill="1" applyBorder="1" applyAlignment="1">
      <alignment horizontal="center" vertical="center" wrapText="1"/>
    </xf>
    <xf numFmtId="0" fontId="158" fillId="74" borderId="11" xfId="61320" applyFont="1" applyFill="1" applyBorder="1" applyAlignment="1">
      <alignment horizontal="center" vertical="center" wrapText="1"/>
    </xf>
    <xf numFmtId="3" fontId="118" fillId="74" borderId="15" xfId="61320" applyNumberFormat="1" applyFont="1" applyFill="1" applyBorder="1" applyAlignment="1">
      <alignment horizontal="center" vertical="center" wrapText="1"/>
    </xf>
    <xf numFmtId="0" fontId="158" fillId="74" borderId="15" xfId="61320" applyFont="1" applyFill="1" applyBorder="1" applyAlignment="1">
      <alignment horizontal="center" vertical="center" wrapText="1"/>
    </xf>
    <xf numFmtId="3" fontId="118" fillId="74" borderId="36" xfId="61320" applyNumberFormat="1" applyFont="1" applyFill="1" applyBorder="1" applyAlignment="1">
      <alignment horizontal="center" vertical="center" wrapText="1"/>
    </xf>
    <xf numFmtId="0" fontId="158" fillId="74" borderId="36" xfId="61320" applyFont="1" applyFill="1" applyBorder="1" applyAlignment="1">
      <alignment horizontal="center" vertical="center" wrapText="1"/>
    </xf>
    <xf numFmtId="0" fontId="55" fillId="0" borderId="15" xfId="0" applyFont="1" applyFill="1" applyBorder="1" applyAlignment="1" applyProtection="1">
      <alignment horizontal="center" vertical="center" wrapText="1"/>
      <protection locked="0"/>
    </xf>
    <xf numFmtId="0" fontId="55" fillId="0" borderId="29" xfId="0" applyFont="1" applyFill="1" applyBorder="1" applyAlignment="1" applyProtection="1">
      <alignment horizontal="center" vertical="center" wrapText="1"/>
      <protection locked="0"/>
    </xf>
    <xf numFmtId="0" fontId="55" fillId="0" borderId="12" xfId="0" applyFont="1" applyFill="1" applyBorder="1" applyAlignment="1">
      <alignment horizontal="center" vertical="center" wrapText="1"/>
    </xf>
    <xf numFmtId="0" fontId="55" fillId="0" borderId="14" xfId="0" applyFont="1" applyFill="1" applyBorder="1" applyAlignment="1">
      <alignment horizontal="center" vertical="center" wrapText="1"/>
    </xf>
    <xf numFmtId="0" fontId="55" fillId="0" borderId="29" xfId="0" applyFont="1" applyFill="1" applyBorder="1" applyAlignment="1" applyProtection="1">
      <alignment horizontal="center" vertical="center"/>
      <protection locked="0"/>
    </xf>
    <xf numFmtId="0" fontId="55" fillId="0" borderId="12" xfId="0" applyFont="1" applyFill="1" applyBorder="1" applyAlignment="1" applyProtection="1">
      <alignment horizontal="center" vertical="center"/>
      <protection locked="0"/>
    </xf>
    <xf numFmtId="0" fontId="55" fillId="0" borderId="14" xfId="0" applyFont="1" applyFill="1" applyBorder="1" applyAlignment="1" applyProtection="1">
      <alignment horizontal="center" vertical="center"/>
      <protection locked="0"/>
    </xf>
    <xf numFmtId="3" fontId="58" fillId="0" borderId="29" xfId="0" applyNumberFormat="1" applyFont="1" applyFill="1" applyBorder="1" applyAlignment="1">
      <alignment horizontal="center" vertical="center" wrapText="1"/>
    </xf>
    <xf numFmtId="3" fontId="58" fillId="0" borderId="12" xfId="0" applyNumberFormat="1" applyFont="1" applyFill="1" applyBorder="1" applyAlignment="1">
      <alignment horizontal="center" vertical="center" wrapText="1"/>
    </xf>
    <xf numFmtId="3" fontId="58" fillId="0" borderId="14" xfId="0" applyNumberFormat="1" applyFont="1" applyFill="1" applyBorder="1" applyAlignment="1">
      <alignment horizontal="center" vertical="center" wrapText="1"/>
    </xf>
    <xf numFmtId="3" fontId="58" fillId="0" borderId="15" xfId="0" applyNumberFormat="1" applyFont="1" applyFill="1" applyBorder="1" applyAlignment="1" applyProtection="1">
      <alignment horizontal="center" vertical="center"/>
      <protection locked="0"/>
    </xf>
    <xf numFmtId="3" fontId="58" fillId="0" borderId="68" xfId="0" applyNumberFormat="1" applyFont="1" applyFill="1" applyBorder="1" applyAlignment="1" applyProtection="1">
      <alignment horizontal="center" vertical="center"/>
      <protection locked="0"/>
    </xf>
    <xf numFmtId="3" fontId="58" fillId="0" borderId="74" xfId="0" applyNumberFormat="1" applyFont="1" applyFill="1" applyBorder="1" applyAlignment="1" applyProtection="1">
      <alignment horizontal="center" vertical="center"/>
      <protection locked="0"/>
    </xf>
    <xf numFmtId="3" fontId="159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59" fillId="0" borderId="29" xfId="0" applyNumberFormat="1" applyFont="1" applyFill="1" applyBorder="1" applyAlignment="1" applyProtection="1">
      <alignment horizontal="center" vertical="center" wrapText="1"/>
      <protection locked="0"/>
    </xf>
    <xf numFmtId="3" fontId="159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59" fillId="0" borderId="29" xfId="0" applyNumberFormat="1" applyFont="1" applyFill="1" applyBorder="1" applyAlignment="1">
      <alignment horizontal="center" vertical="center" wrapText="1"/>
    </xf>
    <xf numFmtId="3" fontId="159" fillId="0" borderId="14" xfId="0" applyNumberFormat="1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/>
    </xf>
    <xf numFmtId="3" fontId="55" fillId="0" borderId="58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54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11" xfId="0" applyNumberFormat="1" applyFont="1" applyFill="1" applyBorder="1" applyAlignment="1" applyProtection="1">
      <alignment horizontal="center" vertical="center"/>
      <protection locked="0"/>
    </xf>
    <xf numFmtId="3" fontId="58" fillId="0" borderId="29" xfId="0" applyNumberFormat="1" applyFont="1" applyFill="1" applyBorder="1" applyAlignment="1">
      <alignment horizontal="center" vertical="center"/>
    </xf>
    <xf numFmtId="3" fontId="58" fillId="0" borderId="12" xfId="0" applyNumberFormat="1" applyFont="1" applyFill="1" applyBorder="1" applyAlignment="1">
      <alignment horizontal="center" vertical="center"/>
    </xf>
    <xf numFmtId="3" fontId="58" fillId="0" borderId="14" xfId="0" applyNumberFormat="1" applyFont="1" applyFill="1" applyBorder="1" applyAlignment="1">
      <alignment horizontal="center" vertical="center"/>
    </xf>
    <xf numFmtId="0" fontId="55" fillId="0" borderId="58" xfId="0" applyFont="1" applyFill="1" applyBorder="1" applyAlignment="1">
      <alignment horizontal="center" vertical="center" wrapText="1"/>
    </xf>
    <xf numFmtId="0" fontId="55" fillId="0" borderId="55" xfId="0" applyFont="1" applyFill="1" applyBorder="1" applyAlignment="1">
      <alignment horizontal="center" vertical="center" wrapText="1"/>
    </xf>
    <xf numFmtId="0" fontId="55" fillId="0" borderId="54" xfId="0" applyFont="1" applyFill="1" applyBorder="1" applyAlignment="1">
      <alignment horizontal="center" vertical="center" wrapText="1"/>
    </xf>
    <xf numFmtId="0" fontId="55" fillId="0" borderId="13" xfId="0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0" fontId="55" fillId="0" borderId="31" xfId="0" applyFont="1" applyFill="1" applyBorder="1" applyAlignment="1">
      <alignment horizontal="center" vertical="center" wrapText="1"/>
    </xf>
    <xf numFmtId="3" fontId="160" fillId="0" borderId="29" xfId="0" applyNumberFormat="1" applyFont="1" applyFill="1" applyBorder="1" applyAlignment="1">
      <alignment horizontal="center" vertical="center"/>
    </xf>
    <xf numFmtId="3" fontId="160" fillId="0" borderId="14" xfId="0" applyNumberFormat="1" applyFont="1" applyFill="1" applyBorder="1" applyAlignment="1">
      <alignment horizontal="center" vertical="center"/>
    </xf>
    <xf numFmtId="0" fontId="126" fillId="74" borderId="0" xfId="61451" applyFont="1" applyFill="1" applyBorder="1" applyAlignment="1">
      <alignment horizontal="center" vertical="center" wrapText="1"/>
    </xf>
    <xf numFmtId="0" fontId="63" fillId="74" borderId="11" xfId="61451" applyFont="1" applyFill="1" applyBorder="1" applyAlignment="1">
      <alignment horizontal="center" vertical="center" wrapText="1"/>
    </xf>
    <xf numFmtId="0" fontId="137" fillId="74" borderId="11" xfId="61451" applyFont="1" applyFill="1" applyBorder="1" applyAlignment="1">
      <alignment horizontal="center" vertical="center" wrapText="1"/>
    </xf>
    <xf numFmtId="3" fontId="59" fillId="74" borderId="11" xfId="58585" applyNumberFormat="1" applyFont="1" applyFill="1" applyBorder="1" applyAlignment="1">
      <alignment horizontal="center" vertical="center" wrapText="1"/>
    </xf>
    <xf numFmtId="0" fontId="130" fillId="76" borderId="0" xfId="58585" applyNumberFormat="1" applyFont="1" applyFill="1" applyBorder="1" applyAlignment="1">
      <alignment horizontal="center" vertical="center" wrapText="1"/>
    </xf>
    <xf numFmtId="0" fontId="59" fillId="76" borderId="11" xfId="58585" applyFont="1" applyFill="1" applyBorder="1" applyAlignment="1">
      <alignment horizontal="center" vertical="center" wrapText="1"/>
    </xf>
    <xf numFmtId="0" fontId="59" fillId="74" borderId="11" xfId="58585" applyFont="1" applyFill="1" applyBorder="1" applyAlignment="1">
      <alignment horizontal="center" vertical="center" wrapText="1"/>
    </xf>
    <xf numFmtId="1" fontId="56" fillId="76" borderId="11" xfId="58585" applyNumberFormat="1" applyFont="1" applyFill="1" applyBorder="1" applyAlignment="1">
      <alignment horizontal="center" vertical="center" wrapText="1"/>
    </xf>
    <xf numFmtId="0" fontId="56" fillId="0" borderId="11" xfId="58585" applyFont="1" applyFill="1" applyBorder="1" applyAlignment="1">
      <alignment horizontal="center" vertical="center"/>
    </xf>
  </cellXfs>
  <cellStyles count="61454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10" xfId="61416" xr:uid="{00000000-0005-0000-0000-000002E10000}"/>
    <cellStyle name="Обычный 10 10 10 2 2 11" xfId="61428" xr:uid="{00000000-0005-0000-0000-000003E10000}"/>
    <cellStyle name="Обычный 10 10 10 2 2 12" xfId="61442" xr:uid="{00000000-0005-0000-0000-000004E10000}"/>
    <cellStyle name="Обычный 10 10 10 2 2 2" xfId="61337" xr:uid="{00000000-0005-0000-0000-000005E10000}"/>
    <cellStyle name="Обычный 10 10 10 2 2 2 2" xfId="61357" xr:uid="{00000000-0005-0000-0000-000006E10000}"/>
    <cellStyle name="Обычный 10 10 10 2 2 2 2 2" xfId="61366" xr:uid="{00000000-0005-0000-0000-000007E10000}"/>
    <cellStyle name="Обычный 10 10 10 2 2 2 2 3" xfId="61377" xr:uid="{00000000-0005-0000-0000-000008E10000}"/>
    <cellStyle name="Обычный 10 10 10 2 2 2 2 4" xfId="61386" xr:uid="{00000000-0005-0000-0000-000009E10000}"/>
    <cellStyle name="Обычный 10 10 10 2 2 2 2 5" xfId="61398" xr:uid="{00000000-0005-0000-0000-00000AE10000}"/>
    <cellStyle name="Обычный 10 10 10 2 2 2 2 6" xfId="61411" xr:uid="{00000000-0005-0000-0000-00000BE10000}"/>
    <cellStyle name="Обычный 10 10 10 2 2 2 2 7" xfId="61420" xr:uid="{00000000-0005-0000-0000-00000CE10000}"/>
    <cellStyle name="Обычный 10 10 10 2 2 2 2 8" xfId="61432" xr:uid="{00000000-0005-0000-0000-00000DE10000}"/>
    <cellStyle name="Обычный 10 10 10 2 2 2 2 9" xfId="61446" xr:uid="{00000000-0005-0000-0000-00000EE10000}"/>
    <cellStyle name="Обычный 10 10 10 2 2 3" xfId="61345" xr:uid="{00000000-0005-0000-0000-00000FE10000}"/>
    <cellStyle name="Обычный 10 10 10 2 2 4" xfId="61355" xr:uid="{00000000-0005-0000-0000-000010E10000}"/>
    <cellStyle name="Обычный 10 10 10 2 2 5" xfId="61364" xr:uid="{00000000-0005-0000-0000-000011E10000}"/>
    <cellStyle name="Обычный 10 10 10 2 2 6" xfId="61375" xr:uid="{00000000-0005-0000-0000-000012E10000}"/>
    <cellStyle name="Обычный 10 10 10 2 2 7" xfId="61382" xr:uid="{00000000-0005-0000-0000-000013E10000}"/>
    <cellStyle name="Обычный 10 10 10 2 2 8" xfId="61394" xr:uid="{00000000-0005-0000-0000-000014E10000}"/>
    <cellStyle name="Обычный 10 10 10 2 2 9" xfId="61407" xr:uid="{00000000-0005-0000-0000-000015E10000}"/>
    <cellStyle name="Обычный 10 10 10 3" xfId="57603" xr:uid="{00000000-0005-0000-0000-000016E10000}"/>
    <cellStyle name="Обычный 10 10 11" xfId="57604" xr:uid="{00000000-0005-0000-0000-000017E10000}"/>
    <cellStyle name="Обычный 10 10 12" xfId="57605" xr:uid="{00000000-0005-0000-0000-000018E10000}"/>
    <cellStyle name="Обычный 10 10 13" xfId="61333" xr:uid="{00000000-0005-0000-0000-000019E10000}"/>
    <cellStyle name="Обычный 10 10 14" xfId="61332" xr:uid="{00000000-0005-0000-0000-00001AE10000}"/>
    <cellStyle name="Обычный 10 10 14 10" xfId="61427" xr:uid="{00000000-0005-0000-0000-00001BE10000}"/>
    <cellStyle name="Обычный 10 10 14 11" xfId="61441" xr:uid="{00000000-0005-0000-0000-00001CE10000}"/>
    <cellStyle name="Обычный 10 10 14 2" xfId="61344" xr:uid="{00000000-0005-0000-0000-00001DE10000}"/>
    <cellStyle name="Обычный 10 10 14 3" xfId="61354" xr:uid="{00000000-0005-0000-0000-00001EE10000}"/>
    <cellStyle name="Обычный 10 10 14 4" xfId="61363" xr:uid="{00000000-0005-0000-0000-00001FE10000}"/>
    <cellStyle name="Обычный 10 10 14 5" xfId="61374" xr:uid="{00000000-0005-0000-0000-000020E10000}"/>
    <cellStyle name="Обычный 10 10 14 6" xfId="61381" xr:uid="{00000000-0005-0000-0000-000021E10000}"/>
    <cellStyle name="Обычный 10 10 14 7" xfId="61393" xr:uid="{00000000-0005-0000-0000-000022E10000}"/>
    <cellStyle name="Обычный 10 10 14 8" xfId="61406" xr:uid="{00000000-0005-0000-0000-000023E10000}"/>
    <cellStyle name="Обычный 10 10 14 9" xfId="61415" xr:uid="{00000000-0005-0000-0000-000024E10000}"/>
    <cellStyle name="Обычный 10 10 19" xfId="61294" xr:uid="{00000000-0005-0000-0000-000025E10000}"/>
    <cellStyle name="Обычный 10 10 19 2" xfId="61299" xr:uid="{00000000-0005-0000-0000-000026E10000}"/>
    <cellStyle name="Обычный 10 10 2" xfId="57606" xr:uid="{00000000-0005-0000-0000-000027E10000}"/>
    <cellStyle name="Обычный 10 10 2 2" xfId="57607" xr:uid="{00000000-0005-0000-0000-000028E10000}"/>
    <cellStyle name="Обычный 10 10 2 3" xfId="57608" xr:uid="{00000000-0005-0000-0000-000029E10000}"/>
    <cellStyle name="Обычный 10 10 3" xfId="57609" xr:uid="{00000000-0005-0000-0000-00002AE10000}"/>
    <cellStyle name="Обычный 10 10 3 2" xfId="57610" xr:uid="{00000000-0005-0000-0000-00002BE10000}"/>
    <cellStyle name="Обычный 10 10 3 3" xfId="57611" xr:uid="{00000000-0005-0000-0000-00002CE10000}"/>
    <cellStyle name="Обычный 10 10 3 3 2" xfId="57612" xr:uid="{00000000-0005-0000-0000-00002DE10000}"/>
    <cellStyle name="Обычный 10 10 3 3 3" xfId="57613" xr:uid="{00000000-0005-0000-0000-00002EE10000}"/>
    <cellStyle name="Обычный 10 10 3 3 4" xfId="57614" xr:uid="{00000000-0005-0000-0000-00002FE10000}"/>
    <cellStyle name="Обычный 10 10 3 3 5" xfId="57615" xr:uid="{00000000-0005-0000-0000-000030E10000}"/>
    <cellStyle name="Обычный 10 10 3 3 6" xfId="61320" xr:uid="{00000000-0005-0000-0000-000031E10000}"/>
    <cellStyle name="Обычный 10 10 3 3 6 2" xfId="61330" xr:uid="{00000000-0005-0000-0000-000032E10000}"/>
    <cellStyle name="Обычный 10 10 3 3 6 3" xfId="61452" xr:uid="{00000000-0005-0000-0000-000033E10000}"/>
    <cellStyle name="Обычный 10 10 3 3 7" xfId="61450" xr:uid="{00000000-0005-0000-0000-000034E10000}"/>
    <cellStyle name="Обычный 10 10 4" xfId="57616" xr:uid="{00000000-0005-0000-0000-000035E10000}"/>
    <cellStyle name="Обычный 10 10 5" xfId="57617" xr:uid="{00000000-0005-0000-0000-000036E10000}"/>
    <cellStyle name="Обычный 10 10 6" xfId="57618" xr:uid="{00000000-0005-0000-0000-000037E10000}"/>
    <cellStyle name="Обычный 10 10 7" xfId="57619" xr:uid="{00000000-0005-0000-0000-000038E10000}"/>
    <cellStyle name="Обычный 10 10 8" xfId="57620" xr:uid="{00000000-0005-0000-0000-000039E10000}"/>
    <cellStyle name="Обычный 10 10 9" xfId="57621" xr:uid="{00000000-0005-0000-0000-00003AE10000}"/>
    <cellStyle name="Обычный 10 10 9 2" xfId="57622" xr:uid="{00000000-0005-0000-0000-00003BE10000}"/>
    <cellStyle name="Обычный 10 11" xfId="57623" xr:uid="{00000000-0005-0000-0000-00003CE10000}"/>
    <cellStyle name="Обычный 10 11 2" xfId="57624" xr:uid="{00000000-0005-0000-0000-00003DE10000}"/>
    <cellStyle name="Обычный 10 11 2 2" xfId="57625" xr:uid="{00000000-0005-0000-0000-00003EE10000}"/>
    <cellStyle name="Обычный 10 11 2 3" xfId="57626" xr:uid="{00000000-0005-0000-0000-00003FE10000}"/>
    <cellStyle name="Обычный 10 11 3" xfId="57627" xr:uid="{00000000-0005-0000-0000-000040E10000}"/>
    <cellStyle name="Обычный 10 11 3 2" xfId="57628" xr:uid="{00000000-0005-0000-0000-000041E10000}"/>
    <cellStyle name="Обычный 10 11 3 3" xfId="57629" xr:uid="{00000000-0005-0000-0000-000042E10000}"/>
    <cellStyle name="Обычный 10 11 4" xfId="57630" xr:uid="{00000000-0005-0000-0000-000043E10000}"/>
    <cellStyle name="Обычный 10 11 5" xfId="57631" xr:uid="{00000000-0005-0000-0000-000044E10000}"/>
    <cellStyle name="Обычный 10 12" xfId="57632" xr:uid="{00000000-0005-0000-0000-000045E10000}"/>
    <cellStyle name="Обычный 10 12 2" xfId="57633" xr:uid="{00000000-0005-0000-0000-000046E10000}"/>
    <cellStyle name="Обычный 10 12 2 2" xfId="57634" xr:uid="{00000000-0005-0000-0000-000047E10000}"/>
    <cellStyle name="Обычный 10 12 2 3" xfId="57635" xr:uid="{00000000-0005-0000-0000-000048E10000}"/>
    <cellStyle name="Обычный 10 12 3" xfId="57636" xr:uid="{00000000-0005-0000-0000-000049E10000}"/>
    <cellStyle name="Обычный 10 12 3 2" xfId="57637" xr:uid="{00000000-0005-0000-0000-00004AE10000}"/>
    <cellStyle name="Обычный 10 12 3 3" xfId="57638" xr:uid="{00000000-0005-0000-0000-00004BE10000}"/>
    <cellStyle name="Обычный 10 12 4" xfId="57639" xr:uid="{00000000-0005-0000-0000-00004CE10000}"/>
    <cellStyle name="Обычный 10 12 5" xfId="57640" xr:uid="{00000000-0005-0000-0000-00004DE10000}"/>
    <cellStyle name="Обычный 10 13" xfId="57641" xr:uid="{00000000-0005-0000-0000-00004EE10000}"/>
    <cellStyle name="Обычный 10 13 2" xfId="57642" xr:uid="{00000000-0005-0000-0000-00004FE10000}"/>
    <cellStyle name="Обычный 10 13 2 2" xfId="57643" xr:uid="{00000000-0005-0000-0000-000050E10000}"/>
    <cellStyle name="Обычный 10 13 2 3" xfId="57644" xr:uid="{00000000-0005-0000-0000-000051E10000}"/>
    <cellStyle name="Обычный 10 13 3" xfId="57645" xr:uid="{00000000-0005-0000-0000-000052E10000}"/>
    <cellStyle name="Обычный 10 13 3 2" xfId="57646" xr:uid="{00000000-0005-0000-0000-000053E10000}"/>
    <cellStyle name="Обычный 10 13 3 3" xfId="57647" xr:uid="{00000000-0005-0000-0000-000054E10000}"/>
    <cellStyle name="Обычный 10 13 4" xfId="57648" xr:uid="{00000000-0005-0000-0000-000055E10000}"/>
    <cellStyle name="Обычный 10 13 5" xfId="57649" xr:uid="{00000000-0005-0000-0000-000056E10000}"/>
    <cellStyle name="Обычный 10 14" xfId="57650" xr:uid="{00000000-0005-0000-0000-000057E10000}"/>
    <cellStyle name="Обычный 10 14 2" xfId="57651" xr:uid="{00000000-0005-0000-0000-000058E10000}"/>
    <cellStyle name="Обычный 10 14 2 2" xfId="57652" xr:uid="{00000000-0005-0000-0000-000059E10000}"/>
    <cellStyle name="Обычный 10 14 2 3" xfId="57653" xr:uid="{00000000-0005-0000-0000-00005AE10000}"/>
    <cellStyle name="Обычный 10 14 3" xfId="57654" xr:uid="{00000000-0005-0000-0000-00005BE10000}"/>
    <cellStyle name="Обычный 10 14 3 2" xfId="57655" xr:uid="{00000000-0005-0000-0000-00005CE10000}"/>
    <cellStyle name="Обычный 10 14 3 3" xfId="57656" xr:uid="{00000000-0005-0000-0000-00005DE10000}"/>
    <cellStyle name="Обычный 10 14 4" xfId="57657" xr:uid="{00000000-0005-0000-0000-00005EE10000}"/>
    <cellStyle name="Обычный 10 14 5" xfId="57658" xr:uid="{00000000-0005-0000-0000-00005FE10000}"/>
    <cellStyle name="Обычный 10 15" xfId="57659" xr:uid="{00000000-0005-0000-0000-000060E10000}"/>
    <cellStyle name="Обычный 10 15 2" xfId="57660" xr:uid="{00000000-0005-0000-0000-000061E10000}"/>
    <cellStyle name="Обычный 10 15 2 2" xfId="57661" xr:uid="{00000000-0005-0000-0000-000062E10000}"/>
    <cellStyle name="Обычный 10 15 2 3" xfId="57662" xr:uid="{00000000-0005-0000-0000-000063E10000}"/>
    <cellStyle name="Обычный 10 15 3" xfId="57663" xr:uid="{00000000-0005-0000-0000-000064E10000}"/>
    <cellStyle name="Обычный 10 15 3 2" xfId="57664" xr:uid="{00000000-0005-0000-0000-000065E10000}"/>
    <cellStyle name="Обычный 10 15 3 3" xfId="57665" xr:uid="{00000000-0005-0000-0000-000066E10000}"/>
    <cellStyle name="Обычный 10 15 4" xfId="57666" xr:uid="{00000000-0005-0000-0000-000067E10000}"/>
    <cellStyle name="Обычный 10 15 5" xfId="57667" xr:uid="{00000000-0005-0000-0000-000068E10000}"/>
    <cellStyle name="Обычный 10 16" xfId="57668" xr:uid="{00000000-0005-0000-0000-000069E10000}"/>
    <cellStyle name="Обычный 10 16 2" xfId="57669" xr:uid="{00000000-0005-0000-0000-00006AE10000}"/>
    <cellStyle name="Обычный 10 16 2 2" xfId="57670" xr:uid="{00000000-0005-0000-0000-00006BE10000}"/>
    <cellStyle name="Обычный 10 16 2 3" xfId="57671" xr:uid="{00000000-0005-0000-0000-00006CE10000}"/>
    <cellStyle name="Обычный 10 16 3" xfId="57672" xr:uid="{00000000-0005-0000-0000-00006DE10000}"/>
    <cellStyle name="Обычный 10 16 3 2" xfId="57673" xr:uid="{00000000-0005-0000-0000-00006EE10000}"/>
    <cellStyle name="Обычный 10 16 3 3" xfId="57674" xr:uid="{00000000-0005-0000-0000-00006FE10000}"/>
    <cellStyle name="Обычный 10 16 4" xfId="57675" xr:uid="{00000000-0005-0000-0000-000070E10000}"/>
    <cellStyle name="Обычный 10 16 5" xfId="57676" xr:uid="{00000000-0005-0000-0000-000071E10000}"/>
    <cellStyle name="Обычный 10 17" xfId="57677" xr:uid="{00000000-0005-0000-0000-000072E10000}"/>
    <cellStyle name="Обычный 10 17 2" xfId="57678" xr:uid="{00000000-0005-0000-0000-000073E10000}"/>
    <cellStyle name="Обычный 10 17 2 2" xfId="57679" xr:uid="{00000000-0005-0000-0000-000074E10000}"/>
    <cellStyle name="Обычный 10 17 2 3" xfId="57680" xr:uid="{00000000-0005-0000-0000-000075E10000}"/>
    <cellStyle name="Обычный 10 17 3" xfId="57681" xr:uid="{00000000-0005-0000-0000-000076E10000}"/>
    <cellStyle name="Обычный 10 17 3 2" xfId="57682" xr:uid="{00000000-0005-0000-0000-000077E10000}"/>
    <cellStyle name="Обычный 10 17 3 3" xfId="57683" xr:uid="{00000000-0005-0000-0000-000078E10000}"/>
    <cellStyle name="Обычный 10 17 4" xfId="57684" xr:uid="{00000000-0005-0000-0000-000079E10000}"/>
    <cellStyle name="Обычный 10 17 5" xfId="57685" xr:uid="{00000000-0005-0000-0000-00007AE10000}"/>
    <cellStyle name="Обычный 10 18" xfId="57686" xr:uid="{00000000-0005-0000-0000-00007BE10000}"/>
    <cellStyle name="Обычный 10 18 2" xfId="57687" xr:uid="{00000000-0005-0000-0000-00007CE10000}"/>
    <cellStyle name="Обычный 10 18 3" xfId="57688" xr:uid="{00000000-0005-0000-0000-00007DE10000}"/>
    <cellStyle name="Обычный 10 19" xfId="57689" xr:uid="{00000000-0005-0000-0000-00007EE10000}"/>
    <cellStyle name="Обычный 10 19 2" xfId="57690" xr:uid="{00000000-0005-0000-0000-00007FE10000}"/>
    <cellStyle name="Обычный 10 19 3" xfId="57691" xr:uid="{00000000-0005-0000-0000-000080E10000}"/>
    <cellStyle name="Обычный 10 2" xfId="57692" xr:uid="{00000000-0005-0000-0000-000081E10000}"/>
    <cellStyle name="Обычный 10 2 2" xfId="57693" xr:uid="{00000000-0005-0000-0000-000082E10000}"/>
    <cellStyle name="Обычный 10 2 3" xfId="57694" xr:uid="{00000000-0005-0000-0000-000083E10000}"/>
    <cellStyle name="Обычный 10 2 4" xfId="57695" xr:uid="{00000000-0005-0000-0000-000084E10000}"/>
    <cellStyle name="Обычный 10 20" xfId="57696" xr:uid="{00000000-0005-0000-0000-000085E10000}"/>
    <cellStyle name="Обычный 10 21" xfId="57697" xr:uid="{00000000-0005-0000-0000-000086E10000}"/>
    <cellStyle name="Обычный 10 3" xfId="57698" xr:uid="{00000000-0005-0000-0000-000087E10000}"/>
    <cellStyle name="Обычный 10 3 2" xfId="57699" xr:uid="{00000000-0005-0000-0000-000088E10000}"/>
    <cellStyle name="Обычный 10 3 2 2" xfId="57700" xr:uid="{00000000-0005-0000-0000-000089E10000}"/>
    <cellStyle name="Обычный 10 3 2 2 2" xfId="57701" xr:uid="{00000000-0005-0000-0000-00008AE10000}"/>
    <cellStyle name="Обычный 10 3 2 2 2 2" xfId="57702" xr:uid="{00000000-0005-0000-0000-00008BE10000}"/>
    <cellStyle name="Обычный 10 3 2 2 2 3" xfId="57703" xr:uid="{00000000-0005-0000-0000-00008CE10000}"/>
    <cellStyle name="Обычный 10 3 2 2 3" xfId="57704" xr:uid="{00000000-0005-0000-0000-00008DE10000}"/>
    <cellStyle name="Обычный 10 3 2 2 3 2" xfId="57705" xr:uid="{00000000-0005-0000-0000-00008EE10000}"/>
    <cellStyle name="Обычный 10 3 2 2 3 3" xfId="57706" xr:uid="{00000000-0005-0000-0000-00008FE10000}"/>
    <cellStyle name="Обычный 10 3 2 2 4" xfId="57707" xr:uid="{00000000-0005-0000-0000-000090E10000}"/>
    <cellStyle name="Обычный 10 3 2 2 5" xfId="57708" xr:uid="{00000000-0005-0000-0000-000091E10000}"/>
    <cellStyle name="Обычный 10 3 2 3" xfId="57709" xr:uid="{00000000-0005-0000-0000-000092E10000}"/>
    <cellStyle name="Обычный 10 3 2 3 2" xfId="57710" xr:uid="{00000000-0005-0000-0000-000093E10000}"/>
    <cellStyle name="Обычный 10 3 2 3 3" xfId="57711" xr:uid="{00000000-0005-0000-0000-000094E10000}"/>
    <cellStyle name="Обычный 10 3 2 4" xfId="57712" xr:uid="{00000000-0005-0000-0000-000095E10000}"/>
    <cellStyle name="Обычный 10 3 2 4 2" xfId="57713" xr:uid="{00000000-0005-0000-0000-000096E10000}"/>
    <cellStyle name="Обычный 10 3 2 4 3" xfId="57714" xr:uid="{00000000-0005-0000-0000-000097E10000}"/>
    <cellStyle name="Обычный 10 3 2 5" xfId="57715" xr:uid="{00000000-0005-0000-0000-000098E10000}"/>
    <cellStyle name="Обычный 10 3 2 6" xfId="57716" xr:uid="{00000000-0005-0000-0000-000099E10000}"/>
    <cellStyle name="Обычный 10 3 2_объемы 2018г111" xfId="57717" xr:uid="{00000000-0005-0000-0000-00009AE10000}"/>
    <cellStyle name="Обычный 10 3 3" xfId="57718" xr:uid="{00000000-0005-0000-0000-00009BE10000}"/>
    <cellStyle name="Обычный 10 3 3 2" xfId="57719" xr:uid="{00000000-0005-0000-0000-00009CE10000}"/>
    <cellStyle name="Обычный 10 3 3 2 2" xfId="57720" xr:uid="{00000000-0005-0000-0000-00009DE10000}"/>
    <cellStyle name="Обычный 10 3 3 2 3" xfId="57721" xr:uid="{00000000-0005-0000-0000-00009EE10000}"/>
    <cellStyle name="Обычный 10 3 3 3" xfId="57722" xr:uid="{00000000-0005-0000-0000-00009FE10000}"/>
    <cellStyle name="Обычный 10 3 3 3 2" xfId="57723" xr:uid="{00000000-0005-0000-0000-0000A0E10000}"/>
    <cellStyle name="Обычный 10 3 3 3 3" xfId="57724" xr:uid="{00000000-0005-0000-0000-0000A1E10000}"/>
    <cellStyle name="Обычный 10 3 3 4" xfId="57725" xr:uid="{00000000-0005-0000-0000-0000A2E10000}"/>
    <cellStyle name="Обычный 10 3 3 5" xfId="57726" xr:uid="{00000000-0005-0000-0000-0000A3E10000}"/>
    <cellStyle name="Обычный 10 3 4" xfId="57727" xr:uid="{00000000-0005-0000-0000-0000A4E10000}"/>
    <cellStyle name="Обычный 10 3 4 2" xfId="57728" xr:uid="{00000000-0005-0000-0000-0000A5E10000}"/>
    <cellStyle name="Обычный 10 3 4 3" xfId="57729" xr:uid="{00000000-0005-0000-0000-0000A6E10000}"/>
    <cellStyle name="Обычный 10 3 5" xfId="57730" xr:uid="{00000000-0005-0000-0000-0000A7E10000}"/>
    <cellStyle name="Обычный 10 3 5 2" xfId="57731" xr:uid="{00000000-0005-0000-0000-0000A8E10000}"/>
    <cellStyle name="Обычный 10 3 5 3" xfId="57732" xr:uid="{00000000-0005-0000-0000-0000A9E10000}"/>
    <cellStyle name="Обычный 10 3 6" xfId="57733" xr:uid="{00000000-0005-0000-0000-0000AAE10000}"/>
    <cellStyle name="Обычный 10 3 7" xfId="57734" xr:uid="{00000000-0005-0000-0000-0000ABE10000}"/>
    <cellStyle name="Обычный 10 3_объемы 2018г111" xfId="57735" xr:uid="{00000000-0005-0000-0000-0000ACE10000}"/>
    <cellStyle name="Обычный 10 4" xfId="57736" xr:uid="{00000000-0005-0000-0000-0000ADE10000}"/>
    <cellStyle name="Обычный 10 4 2" xfId="57737" xr:uid="{00000000-0005-0000-0000-0000AEE10000}"/>
    <cellStyle name="Обычный 10 4 2 2" xfId="57738" xr:uid="{00000000-0005-0000-0000-0000AFE10000}"/>
    <cellStyle name="Обычный 10 4 2 2 2" xfId="57739" xr:uid="{00000000-0005-0000-0000-0000B0E10000}"/>
    <cellStyle name="Обычный 10 4 2 2 3" xfId="57740" xr:uid="{00000000-0005-0000-0000-0000B1E10000}"/>
    <cellStyle name="Обычный 10 4 2 3" xfId="57741" xr:uid="{00000000-0005-0000-0000-0000B2E10000}"/>
    <cellStyle name="Обычный 10 4 2 3 2" xfId="57742" xr:uid="{00000000-0005-0000-0000-0000B3E10000}"/>
    <cellStyle name="Обычный 10 4 2 3 3" xfId="57743" xr:uid="{00000000-0005-0000-0000-0000B4E10000}"/>
    <cellStyle name="Обычный 10 4 2 4" xfId="57744" xr:uid="{00000000-0005-0000-0000-0000B5E10000}"/>
    <cellStyle name="Обычный 10 4 2 5" xfId="57745" xr:uid="{00000000-0005-0000-0000-0000B6E10000}"/>
    <cellStyle name="Обычный 10 4 3" xfId="57746" xr:uid="{00000000-0005-0000-0000-0000B7E10000}"/>
    <cellStyle name="Обычный 10 4 3 2" xfId="57747" xr:uid="{00000000-0005-0000-0000-0000B8E10000}"/>
    <cellStyle name="Обычный 10 4 3 3" xfId="57748" xr:uid="{00000000-0005-0000-0000-0000B9E10000}"/>
    <cellStyle name="Обычный 10 4 4" xfId="57749" xr:uid="{00000000-0005-0000-0000-0000BAE10000}"/>
    <cellStyle name="Обычный 10 4 4 2" xfId="57750" xr:uid="{00000000-0005-0000-0000-0000BBE10000}"/>
    <cellStyle name="Обычный 10 4 4 3" xfId="57751" xr:uid="{00000000-0005-0000-0000-0000BCE10000}"/>
    <cellStyle name="Обычный 10 4 5" xfId="57752" xr:uid="{00000000-0005-0000-0000-0000BDE10000}"/>
    <cellStyle name="Обычный 10 4 6" xfId="57753" xr:uid="{00000000-0005-0000-0000-0000BEE10000}"/>
    <cellStyle name="Обычный 10 4_объемы 2018г111" xfId="57754" xr:uid="{00000000-0005-0000-0000-0000BFE10000}"/>
    <cellStyle name="Обычный 10 5" xfId="57755" xr:uid="{00000000-0005-0000-0000-0000C0E10000}"/>
    <cellStyle name="Обычный 10 5 2" xfId="57756" xr:uid="{00000000-0005-0000-0000-0000C1E10000}"/>
    <cellStyle name="Обычный 10 5 2 2" xfId="57757" xr:uid="{00000000-0005-0000-0000-0000C2E10000}"/>
    <cellStyle name="Обычный 10 5 2 3" xfId="57758" xr:uid="{00000000-0005-0000-0000-0000C3E10000}"/>
    <cellStyle name="Обычный 10 5 3" xfId="57759" xr:uid="{00000000-0005-0000-0000-0000C4E10000}"/>
    <cellStyle name="Обычный 10 5 3 2" xfId="57760" xr:uid="{00000000-0005-0000-0000-0000C5E10000}"/>
    <cellStyle name="Обычный 10 5 3 3" xfId="57761" xr:uid="{00000000-0005-0000-0000-0000C6E10000}"/>
    <cellStyle name="Обычный 10 5 4" xfId="57762" xr:uid="{00000000-0005-0000-0000-0000C7E10000}"/>
    <cellStyle name="Обычный 10 5 5" xfId="57763" xr:uid="{00000000-0005-0000-0000-0000C8E10000}"/>
    <cellStyle name="Обычный 10 6" xfId="57764" xr:uid="{00000000-0005-0000-0000-0000C9E10000}"/>
    <cellStyle name="Обычный 10 6 2" xfId="57765" xr:uid="{00000000-0005-0000-0000-0000CAE10000}"/>
    <cellStyle name="Обычный 10 6 2 2" xfId="57766" xr:uid="{00000000-0005-0000-0000-0000CBE10000}"/>
    <cellStyle name="Обычный 10 6 2 3" xfId="57767" xr:uid="{00000000-0005-0000-0000-0000CCE10000}"/>
    <cellStyle name="Обычный 10 6 3" xfId="57768" xr:uid="{00000000-0005-0000-0000-0000CDE10000}"/>
    <cellStyle name="Обычный 10 6 3 2" xfId="57769" xr:uid="{00000000-0005-0000-0000-0000CEE10000}"/>
    <cellStyle name="Обычный 10 6 3 3" xfId="57770" xr:uid="{00000000-0005-0000-0000-0000CFE10000}"/>
    <cellStyle name="Обычный 10 6 4" xfId="57771" xr:uid="{00000000-0005-0000-0000-0000D0E10000}"/>
    <cellStyle name="Обычный 10 6 5" xfId="57772" xr:uid="{00000000-0005-0000-0000-0000D1E10000}"/>
    <cellStyle name="Обычный 10 7" xfId="57773" xr:uid="{00000000-0005-0000-0000-0000D2E10000}"/>
    <cellStyle name="Обычный 10 7 2" xfId="57774" xr:uid="{00000000-0005-0000-0000-0000D3E10000}"/>
    <cellStyle name="Обычный 10 7 2 2" xfId="57775" xr:uid="{00000000-0005-0000-0000-0000D4E10000}"/>
    <cellStyle name="Обычный 10 7 2 3" xfId="57776" xr:uid="{00000000-0005-0000-0000-0000D5E10000}"/>
    <cellStyle name="Обычный 10 7 3" xfId="57777" xr:uid="{00000000-0005-0000-0000-0000D6E10000}"/>
    <cellStyle name="Обычный 10 7 3 2" xfId="57778" xr:uid="{00000000-0005-0000-0000-0000D7E10000}"/>
    <cellStyle name="Обычный 10 7 3 3" xfId="57779" xr:uid="{00000000-0005-0000-0000-0000D8E10000}"/>
    <cellStyle name="Обычный 10 7 4" xfId="57780" xr:uid="{00000000-0005-0000-0000-0000D9E10000}"/>
    <cellStyle name="Обычный 10 7 5" xfId="57781" xr:uid="{00000000-0005-0000-0000-0000DAE10000}"/>
    <cellStyle name="Обычный 10 8" xfId="57782" xr:uid="{00000000-0005-0000-0000-0000DBE10000}"/>
    <cellStyle name="Обычный 10 8 2" xfId="57783" xr:uid="{00000000-0005-0000-0000-0000DCE10000}"/>
    <cellStyle name="Обычный 10 8 2 2" xfId="57784" xr:uid="{00000000-0005-0000-0000-0000DDE10000}"/>
    <cellStyle name="Обычный 10 8 2 3" xfId="57785" xr:uid="{00000000-0005-0000-0000-0000DEE10000}"/>
    <cellStyle name="Обычный 10 8 3" xfId="57786" xr:uid="{00000000-0005-0000-0000-0000DFE10000}"/>
    <cellStyle name="Обычный 10 8 3 2" xfId="57787" xr:uid="{00000000-0005-0000-0000-0000E0E10000}"/>
    <cellStyle name="Обычный 10 8 3 3" xfId="57788" xr:uid="{00000000-0005-0000-0000-0000E1E10000}"/>
    <cellStyle name="Обычный 10 8 4" xfId="57789" xr:uid="{00000000-0005-0000-0000-0000E2E10000}"/>
    <cellStyle name="Обычный 10 8 5" xfId="57790" xr:uid="{00000000-0005-0000-0000-0000E3E10000}"/>
    <cellStyle name="Обычный 10 9" xfId="57791" xr:uid="{00000000-0005-0000-0000-0000E4E10000}"/>
    <cellStyle name="Обычный 10 9 2" xfId="57792" xr:uid="{00000000-0005-0000-0000-0000E5E10000}"/>
    <cellStyle name="Обычный 10 9 2 2" xfId="57793" xr:uid="{00000000-0005-0000-0000-0000E6E10000}"/>
    <cellStyle name="Обычный 10 9 2 3" xfId="57794" xr:uid="{00000000-0005-0000-0000-0000E7E10000}"/>
    <cellStyle name="Обычный 10 9 3" xfId="57795" xr:uid="{00000000-0005-0000-0000-0000E8E10000}"/>
    <cellStyle name="Обычный 10 9 3 2" xfId="57796" xr:uid="{00000000-0005-0000-0000-0000E9E10000}"/>
    <cellStyle name="Обычный 10 9 3 3" xfId="57797" xr:uid="{00000000-0005-0000-0000-0000EAE10000}"/>
    <cellStyle name="Обычный 10 9 4" xfId="57798" xr:uid="{00000000-0005-0000-0000-0000EBE10000}"/>
    <cellStyle name="Обычный 10 9 5" xfId="57799" xr:uid="{00000000-0005-0000-0000-0000ECE10000}"/>
    <cellStyle name="Обычный 10_объемы 2018г111" xfId="57800" xr:uid="{00000000-0005-0000-0000-0000EDE10000}"/>
    <cellStyle name="Обычный 100" xfId="57801" xr:uid="{00000000-0005-0000-0000-0000EEE10000}"/>
    <cellStyle name="Обычный 101" xfId="57802" xr:uid="{00000000-0005-0000-0000-0000EFE10000}"/>
    <cellStyle name="Обычный 102" xfId="57803" xr:uid="{00000000-0005-0000-0000-0000F0E10000}"/>
    <cellStyle name="Обычный 103" xfId="57804" xr:uid="{00000000-0005-0000-0000-0000F1E10000}"/>
    <cellStyle name="Обычный 104" xfId="57805" xr:uid="{00000000-0005-0000-0000-0000F2E10000}"/>
    <cellStyle name="Обычный 105" xfId="57806" xr:uid="{00000000-0005-0000-0000-0000F3E10000}"/>
    <cellStyle name="Обычный 106" xfId="57807" xr:uid="{00000000-0005-0000-0000-0000F4E10000}"/>
    <cellStyle name="Обычный 107" xfId="57808" xr:uid="{00000000-0005-0000-0000-0000F5E10000}"/>
    <cellStyle name="Обычный 108" xfId="57809" xr:uid="{00000000-0005-0000-0000-0000F6E10000}"/>
    <cellStyle name="Обычный 109" xfId="57810" xr:uid="{00000000-0005-0000-0000-0000F7E10000}"/>
    <cellStyle name="Обычный 11" xfId="57811" xr:uid="{00000000-0005-0000-0000-0000F8E10000}"/>
    <cellStyle name="Обычный 11 10" xfId="57812" xr:uid="{00000000-0005-0000-0000-0000F9E10000}"/>
    <cellStyle name="Обычный 11 10 2" xfId="57813" xr:uid="{00000000-0005-0000-0000-0000FAE10000}"/>
    <cellStyle name="Обычный 11 10 2 2" xfId="57814" xr:uid="{00000000-0005-0000-0000-0000FBE10000}"/>
    <cellStyle name="Обычный 11 10 2 3" xfId="57815" xr:uid="{00000000-0005-0000-0000-0000FCE10000}"/>
    <cellStyle name="Обычный 11 10 3" xfId="57816" xr:uid="{00000000-0005-0000-0000-0000FDE10000}"/>
    <cellStyle name="Обычный 11 10 3 2" xfId="57817" xr:uid="{00000000-0005-0000-0000-0000FEE10000}"/>
    <cellStyle name="Обычный 11 10 3 3" xfId="57818" xr:uid="{00000000-0005-0000-0000-0000FFE10000}"/>
    <cellStyle name="Обычный 11 10 4" xfId="57819" xr:uid="{00000000-0005-0000-0000-000000E20000}"/>
    <cellStyle name="Обычный 11 10 5" xfId="57820" xr:uid="{00000000-0005-0000-0000-000001E20000}"/>
    <cellStyle name="Обычный 11 11" xfId="57821" xr:uid="{00000000-0005-0000-0000-000002E20000}"/>
    <cellStyle name="Обычный 11 11 2" xfId="57822" xr:uid="{00000000-0005-0000-0000-000003E20000}"/>
    <cellStyle name="Обычный 11 11 2 2" xfId="57823" xr:uid="{00000000-0005-0000-0000-000004E20000}"/>
    <cellStyle name="Обычный 11 11 2 3" xfId="57824" xr:uid="{00000000-0005-0000-0000-000005E20000}"/>
    <cellStyle name="Обычный 11 11 3" xfId="57825" xr:uid="{00000000-0005-0000-0000-000006E20000}"/>
    <cellStyle name="Обычный 11 11 3 2" xfId="57826" xr:uid="{00000000-0005-0000-0000-000007E20000}"/>
    <cellStyle name="Обычный 11 11 3 3" xfId="57827" xr:uid="{00000000-0005-0000-0000-000008E20000}"/>
    <cellStyle name="Обычный 11 11 4" xfId="57828" xr:uid="{00000000-0005-0000-0000-000009E20000}"/>
    <cellStyle name="Обычный 11 11 5" xfId="57829" xr:uid="{00000000-0005-0000-0000-00000AE20000}"/>
    <cellStyle name="Обычный 11 12" xfId="57830" xr:uid="{00000000-0005-0000-0000-00000BE20000}"/>
    <cellStyle name="Обычный 11 12 2" xfId="57831" xr:uid="{00000000-0005-0000-0000-00000CE20000}"/>
    <cellStyle name="Обычный 11 12 2 2" xfId="57832" xr:uid="{00000000-0005-0000-0000-00000DE20000}"/>
    <cellStyle name="Обычный 11 12 2 3" xfId="57833" xr:uid="{00000000-0005-0000-0000-00000EE20000}"/>
    <cellStyle name="Обычный 11 12 3" xfId="57834" xr:uid="{00000000-0005-0000-0000-00000FE20000}"/>
    <cellStyle name="Обычный 11 12 3 2" xfId="57835" xr:uid="{00000000-0005-0000-0000-000010E20000}"/>
    <cellStyle name="Обычный 11 12 3 3" xfId="57836" xr:uid="{00000000-0005-0000-0000-000011E20000}"/>
    <cellStyle name="Обычный 11 12 4" xfId="57837" xr:uid="{00000000-0005-0000-0000-000012E20000}"/>
    <cellStyle name="Обычный 11 12 5" xfId="57838" xr:uid="{00000000-0005-0000-0000-000013E20000}"/>
    <cellStyle name="Обычный 11 13" xfId="57839" xr:uid="{00000000-0005-0000-0000-000014E20000}"/>
    <cellStyle name="Обычный 11 13 2" xfId="57840" xr:uid="{00000000-0005-0000-0000-000015E20000}"/>
    <cellStyle name="Обычный 11 13 2 2" xfId="57841" xr:uid="{00000000-0005-0000-0000-000016E20000}"/>
    <cellStyle name="Обычный 11 13 2 3" xfId="57842" xr:uid="{00000000-0005-0000-0000-000017E20000}"/>
    <cellStyle name="Обычный 11 13 3" xfId="57843" xr:uid="{00000000-0005-0000-0000-000018E20000}"/>
    <cellStyle name="Обычный 11 13 3 2" xfId="57844" xr:uid="{00000000-0005-0000-0000-000019E20000}"/>
    <cellStyle name="Обычный 11 13 3 3" xfId="57845" xr:uid="{00000000-0005-0000-0000-00001AE20000}"/>
    <cellStyle name="Обычный 11 13 4" xfId="57846" xr:uid="{00000000-0005-0000-0000-00001BE20000}"/>
    <cellStyle name="Обычный 11 13 5" xfId="57847" xr:uid="{00000000-0005-0000-0000-00001CE20000}"/>
    <cellStyle name="Обычный 11 14" xfId="57848" xr:uid="{00000000-0005-0000-0000-00001DE20000}"/>
    <cellStyle name="Обычный 11 14 2" xfId="57849" xr:uid="{00000000-0005-0000-0000-00001EE20000}"/>
    <cellStyle name="Обычный 11 14 2 2" xfId="57850" xr:uid="{00000000-0005-0000-0000-00001FE20000}"/>
    <cellStyle name="Обычный 11 14 2 3" xfId="57851" xr:uid="{00000000-0005-0000-0000-000020E20000}"/>
    <cellStyle name="Обычный 11 14 3" xfId="57852" xr:uid="{00000000-0005-0000-0000-000021E20000}"/>
    <cellStyle name="Обычный 11 14 3 2" xfId="57853" xr:uid="{00000000-0005-0000-0000-000022E20000}"/>
    <cellStyle name="Обычный 11 14 3 3" xfId="57854" xr:uid="{00000000-0005-0000-0000-000023E20000}"/>
    <cellStyle name="Обычный 11 14 4" xfId="57855" xr:uid="{00000000-0005-0000-0000-000024E20000}"/>
    <cellStyle name="Обычный 11 14 5" xfId="57856" xr:uid="{00000000-0005-0000-0000-000025E20000}"/>
    <cellStyle name="Обычный 11 15" xfId="57857" xr:uid="{00000000-0005-0000-0000-000026E20000}"/>
    <cellStyle name="Обычный 11 15 2" xfId="57858" xr:uid="{00000000-0005-0000-0000-000027E20000}"/>
    <cellStyle name="Обычный 11 15 2 2" xfId="57859" xr:uid="{00000000-0005-0000-0000-000028E20000}"/>
    <cellStyle name="Обычный 11 15 2 3" xfId="57860" xr:uid="{00000000-0005-0000-0000-000029E20000}"/>
    <cellStyle name="Обычный 11 15 3" xfId="57861" xr:uid="{00000000-0005-0000-0000-00002AE20000}"/>
    <cellStyle name="Обычный 11 15 3 2" xfId="57862" xr:uid="{00000000-0005-0000-0000-00002BE20000}"/>
    <cellStyle name="Обычный 11 15 3 3" xfId="57863" xr:uid="{00000000-0005-0000-0000-00002CE20000}"/>
    <cellStyle name="Обычный 11 15 4" xfId="57864" xr:uid="{00000000-0005-0000-0000-00002DE20000}"/>
    <cellStyle name="Обычный 11 15 5" xfId="57865" xr:uid="{00000000-0005-0000-0000-00002EE20000}"/>
    <cellStyle name="Обычный 11 16" xfId="57866" xr:uid="{00000000-0005-0000-0000-00002FE20000}"/>
    <cellStyle name="Обычный 11 16 2" xfId="57867" xr:uid="{00000000-0005-0000-0000-000030E20000}"/>
    <cellStyle name="Обычный 11 16 2 2" xfId="57868" xr:uid="{00000000-0005-0000-0000-000031E20000}"/>
    <cellStyle name="Обычный 11 16 2 3" xfId="57869" xr:uid="{00000000-0005-0000-0000-000032E20000}"/>
    <cellStyle name="Обычный 11 16 3" xfId="57870" xr:uid="{00000000-0005-0000-0000-000033E20000}"/>
    <cellStyle name="Обычный 11 16 3 2" xfId="57871" xr:uid="{00000000-0005-0000-0000-000034E20000}"/>
    <cellStyle name="Обычный 11 16 3 3" xfId="57872" xr:uid="{00000000-0005-0000-0000-000035E20000}"/>
    <cellStyle name="Обычный 11 16 4" xfId="57873" xr:uid="{00000000-0005-0000-0000-000036E20000}"/>
    <cellStyle name="Обычный 11 16 5" xfId="57874" xr:uid="{00000000-0005-0000-0000-000037E20000}"/>
    <cellStyle name="Обычный 11 17" xfId="57875" xr:uid="{00000000-0005-0000-0000-000038E20000}"/>
    <cellStyle name="Обычный 11 17 2" xfId="57876" xr:uid="{00000000-0005-0000-0000-000039E20000}"/>
    <cellStyle name="Обычный 11 17 3" xfId="57877" xr:uid="{00000000-0005-0000-0000-00003AE20000}"/>
    <cellStyle name="Обычный 11 18" xfId="57878" xr:uid="{00000000-0005-0000-0000-00003BE20000}"/>
    <cellStyle name="Обычный 11 18 2" xfId="57879" xr:uid="{00000000-0005-0000-0000-00003CE20000}"/>
    <cellStyle name="Обычный 11 18 3" xfId="57880" xr:uid="{00000000-0005-0000-0000-00003DE20000}"/>
    <cellStyle name="Обычный 11 19" xfId="57881" xr:uid="{00000000-0005-0000-0000-00003EE20000}"/>
    <cellStyle name="Обычный 11 2" xfId="57882" xr:uid="{00000000-0005-0000-0000-00003FE20000}"/>
    <cellStyle name="Обычный 11 2 2" xfId="57883" xr:uid="{00000000-0005-0000-0000-000040E20000}"/>
    <cellStyle name="Обычный 11 2 2 2" xfId="57884" xr:uid="{00000000-0005-0000-0000-000041E20000}"/>
    <cellStyle name="Обычный 11 2 2 2 2" xfId="57885" xr:uid="{00000000-0005-0000-0000-000042E20000}"/>
    <cellStyle name="Обычный 11 2 2 2 2 2" xfId="57886" xr:uid="{00000000-0005-0000-0000-000043E20000}"/>
    <cellStyle name="Обычный 11 2 2 2 2 3" xfId="57887" xr:uid="{00000000-0005-0000-0000-000044E20000}"/>
    <cellStyle name="Обычный 11 2 2 2 3" xfId="57888" xr:uid="{00000000-0005-0000-0000-000045E20000}"/>
    <cellStyle name="Обычный 11 2 2 2 3 2" xfId="57889" xr:uid="{00000000-0005-0000-0000-000046E20000}"/>
    <cellStyle name="Обычный 11 2 2 2 3 3" xfId="57890" xr:uid="{00000000-0005-0000-0000-000047E20000}"/>
    <cellStyle name="Обычный 11 2 2 2 4" xfId="57891" xr:uid="{00000000-0005-0000-0000-000048E20000}"/>
    <cellStyle name="Обычный 11 2 2 2 5" xfId="57892" xr:uid="{00000000-0005-0000-0000-000049E20000}"/>
    <cellStyle name="Обычный 11 2 2 3" xfId="57893" xr:uid="{00000000-0005-0000-0000-00004AE20000}"/>
    <cellStyle name="Обычный 11 2 2 3 2" xfId="57894" xr:uid="{00000000-0005-0000-0000-00004BE20000}"/>
    <cellStyle name="Обычный 11 2 2 3 3" xfId="57895" xr:uid="{00000000-0005-0000-0000-00004CE20000}"/>
    <cellStyle name="Обычный 11 2 2 4" xfId="57896" xr:uid="{00000000-0005-0000-0000-00004DE20000}"/>
    <cellStyle name="Обычный 11 2 2 4 2" xfId="57897" xr:uid="{00000000-0005-0000-0000-00004EE20000}"/>
    <cellStyle name="Обычный 11 2 2 4 3" xfId="57898" xr:uid="{00000000-0005-0000-0000-00004FE20000}"/>
    <cellStyle name="Обычный 11 2 2 5" xfId="57899" xr:uid="{00000000-0005-0000-0000-000050E20000}"/>
    <cellStyle name="Обычный 11 2 2 6" xfId="57900" xr:uid="{00000000-0005-0000-0000-000051E20000}"/>
    <cellStyle name="Обычный 11 2 2_объемы 2018г111" xfId="57901" xr:uid="{00000000-0005-0000-0000-000052E20000}"/>
    <cellStyle name="Обычный 11 2 3" xfId="57902" xr:uid="{00000000-0005-0000-0000-000053E20000}"/>
    <cellStyle name="Обычный 11 2 3 2" xfId="57903" xr:uid="{00000000-0005-0000-0000-000054E20000}"/>
    <cellStyle name="Обычный 11 2 3 2 2" xfId="57904" xr:uid="{00000000-0005-0000-0000-000055E20000}"/>
    <cellStyle name="Обычный 11 2 3 2 3" xfId="57905" xr:uid="{00000000-0005-0000-0000-000056E20000}"/>
    <cellStyle name="Обычный 11 2 3 3" xfId="57906" xr:uid="{00000000-0005-0000-0000-000057E20000}"/>
    <cellStyle name="Обычный 11 2 3 3 2" xfId="57907" xr:uid="{00000000-0005-0000-0000-000058E20000}"/>
    <cellStyle name="Обычный 11 2 3 3 3" xfId="57908" xr:uid="{00000000-0005-0000-0000-000059E20000}"/>
    <cellStyle name="Обычный 11 2 3 4" xfId="57909" xr:uid="{00000000-0005-0000-0000-00005AE20000}"/>
    <cellStyle name="Обычный 11 2 3 5" xfId="57910" xr:uid="{00000000-0005-0000-0000-00005BE20000}"/>
    <cellStyle name="Обычный 11 2 4" xfId="57911" xr:uid="{00000000-0005-0000-0000-00005CE20000}"/>
    <cellStyle name="Обычный 11 2 4 2" xfId="57912" xr:uid="{00000000-0005-0000-0000-00005DE20000}"/>
    <cellStyle name="Обычный 11 2 4 3" xfId="57913" xr:uid="{00000000-0005-0000-0000-00005EE20000}"/>
    <cellStyle name="Обычный 11 2 5" xfId="57914" xr:uid="{00000000-0005-0000-0000-00005FE20000}"/>
    <cellStyle name="Обычный 11 2 5 2" xfId="57915" xr:uid="{00000000-0005-0000-0000-000060E20000}"/>
    <cellStyle name="Обычный 11 2 5 3" xfId="57916" xr:uid="{00000000-0005-0000-0000-000061E20000}"/>
    <cellStyle name="Обычный 11 2 6" xfId="57917" xr:uid="{00000000-0005-0000-0000-000062E20000}"/>
    <cellStyle name="Обычный 11 2 7" xfId="57918" xr:uid="{00000000-0005-0000-0000-000063E20000}"/>
    <cellStyle name="Обычный 11 2_объемы 2018г111" xfId="57919" xr:uid="{00000000-0005-0000-0000-000064E20000}"/>
    <cellStyle name="Обычный 11 20" xfId="57920" xr:uid="{00000000-0005-0000-0000-000065E20000}"/>
    <cellStyle name="Обычный 11 3" xfId="57921" xr:uid="{00000000-0005-0000-0000-000066E20000}"/>
    <cellStyle name="Обычный 11 3 2" xfId="57922" xr:uid="{00000000-0005-0000-0000-000067E20000}"/>
    <cellStyle name="Обычный 11 3 2 2" xfId="57923" xr:uid="{00000000-0005-0000-0000-000068E20000}"/>
    <cellStyle name="Обычный 11 3 2 2 2" xfId="57924" xr:uid="{00000000-0005-0000-0000-000069E20000}"/>
    <cellStyle name="Обычный 11 3 2 2 3" xfId="57925" xr:uid="{00000000-0005-0000-0000-00006AE20000}"/>
    <cellStyle name="Обычный 11 3 2 3" xfId="57926" xr:uid="{00000000-0005-0000-0000-00006BE20000}"/>
    <cellStyle name="Обычный 11 3 2 3 2" xfId="57927" xr:uid="{00000000-0005-0000-0000-00006CE20000}"/>
    <cellStyle name="Обычный 11 3 2 3 3" xfId="57928" xr:uid="{00000000-0005-0000-0000-00006DE20000}"/>
    <cellStyle name="Обычный 11 3 2 4" xfId="57929" xr:uid="{00000000-0005-0000-0000-00006EE20000}"/>
    <cellStyle name="Обычный 11 3 2 5" xfId="57930" xr:uid="{00000000-0005-0000-0000-00006FE20000}"/>
    <cellStyle name="Обычный 11 3 3" xfId="57931" xr:uid="{00000000-0005-0000-0000-000070E20000}"/>
    <cellStyle name="Обычный 11 3 3 2" xfId="57932" xr:uid="{00000000-0005-0000-0000-000071E20000}"/>
    <cellStyle name="Обычный 11 3 3 3" xfId="57933" xr:uid="{00000000-0005-0000-0000-000072E20000}"/>
    <cellStyle name="Обычный 11 3 4" xfId="57934" xr:uid="{00000000-0005-0000-0000-000073E20000}"/>
    <cellStyle name="Обычный 11 3 4 2" xfId="57935" xr:uid="{00000000-0005-0000-0000-000074E20000}"/>
    <cellStyle name="Обычный 11 3 4 3" xfId="57936" xr:uid="{00000000-0005-0000-0000-000075E20000}"/>
    <cellStyle name="Обычный 11 3 5" xfId="57937" xr:uid="{00000000-0005-0000-0000-000076E20000}"/>
    <cellStyle name="Обычный 11 3 6" xfId="57938" xr:uid="{00000000-0005-0000-0000-000077E20000}"/>
    <cellStyle name="Обычный 11 3_объемы 2018г111" xfId="57939" xr:uid="{00000000-0005-0000-0000-000078E20000}"/>
    <cellStyle name="Обычный 11 4" xfId="57940" xr:uid="{00000000-0005-0000-0000-000079E20000}"/>
    <cellStyle name="Обычный 11 4 2" xfId="57941" xr:uid="{00000000-0005-0000-0000-00007AE20000}"/>
    <cellStyle name="Обычный 11 4 2 2" xfId="57942" xr:uid="{00000000-0005-0000-0000-00007BE20000}"/>
    <cellStyle name="Обычный 11 4 2 3" xfId="57943" xr:uid="{00000000-0005-0000-0000-00007CE20000}"/>
    <cellStyle name="Обычный 11 4 3" xfId="57944" xr:uid="{00000000-0005-0000-0000-00007DE20000}"/>
    <cellStyle name="Обычный 11 4 3 2" xfId="57945" xr:uid="{00000000-0005-0000-0000-00007EE20000}"/>
    <cellStyle name="Обычный 11 4 3 3" xfId="57946" xr:uid="{00000000-0005-0000-0000-00007FE20000}"/>
    <cellStyle name="Обычный 11 4 4" xfId="57947" xr:uid="{00000000-0005-0000-0000-000080E20000}"/>
    <cellStyle name="Обычный 11 4 5" xfId="57948" xr:uid="{00000000-0005-0000-0000-000081E20000}"/>
    <cellStyle name="Обычный 11 5" xfId="57949" xr:uid="{00000000-0005-0000-0000-000082E20000}"/>
    <cellStyle name="Обычный 11 5 2" xfId="57950" xr:uid="{00000000-0005-0000-0000-000083E20000}"/>
    <cellStyle name="Обычный 11 5 2 2" xfId="57951" xr:uid="{00000000-0005-0000-0000-000084E20000}"/>
    <cellStyle name="Обычный 11 5 2 3" xfId="57952" xr:uid="{00000000-0005-0000-0000-000085E20000}"/>
    <cellStyle name="Обычный 11 5 3" xfId="57953" xr:uid="{00000000-0005-0000-0000-000086E20000}"/>
    <cellStyle name="Обычный 11 5 3 2" xfId="57954" xr:uid="{00000000-0005-0000-0000-000087E20000}"/>
    <cellStyle name="Обычный 11 5 3 3" xfId="57955" xr:uid="{00000000-0005-0000-0000-000088E20000}"/>
    <cellStyle name="Обычный 11 5 4" xfId="57956" xr:uid="{00000000-0005-0000-0000-000089E20000}"/>
    <cellStyle name="Обычный 11 5 5" xfId="57957" xr:uid="{00000000-0005-0000-0000-00008AE20000}"/>
    <cellStyle name="Обычный 11 6" xfId="57958" xr:uid="{00000000-0005-0000-0000-00008BE20000}"/>
    <cellStyle name="Обычный 11 6 2" xfId="57959" xr:uid="{00000000-0005-0000-0000-00008CE20000}"/>
    <cellStyle name="Обычный 11 6 2 2" xfId="57960" xr:uid="{00000000-0005-0000-0000-00008DE20000}"/>
    <cellStyle name="Обычный 11 6 2 3" xfId="57961" xr:uid="{00000000-0005-0000-0000-00008EE20000}"/>
    <cellStyle name="Обычный 11 6 3" xfId="57962" xr:uid="{00000000-0005-0000-0000-00008FE20000}"/>
    <cellStyle name="Обычный 11 6 3 2" xfId="57963" xr:uid="{00000000-0005-0000-0000-000090E20000}"/>
    <cellStyle name="Обычный 11 6 3 3" xfId="57964" xr:uid="{00000000-0005-0000-0000-000091E20000}"/>
    <cellStyle name="Обычный 11 6 4" xfId="57965" xr:uid="{00000000-0005-0000-0000-000092E20000}"/>
    <cellStyle name="Обычный 11 6 5" xfId="57966" xr:uid="{00000000-0005-0000-0000-000093E20000}"/>
    <cellStyle name="Обычный 11 7" xfId="57967" xr:uid="{00000000-0005-0000-0000-000094E20000}"/>
    <cellStyle name="Обычный 11 7 2" xfId="57968" xr:uid="{00000000-0005-0000-0000-000095E20000}"/>
    <cellStyle name="Обычный 11 7 2 2" xfId="57969" xr:uid="{00000000-0005-0000-0000-000096E20000}"/>
    <cellStyle name="Обычный 11 7 2 3" xfId="57970" xr:uid="{00000000-0005-0000-0000-000097E20000}"/>
    <cellStyle name="Обычный 11 7 3" xfId="57971" xr:uid="{00000000-0005-0000-0000-000098E20000}"/>
    <cellStyle name="Обычный 11 7 3 2" xfId="57972" xr:uid="{00000000-0005-0000-0000-000099E20000}"/>
    <cellStyle name="Обычный 11 7 3 3" xfId="57973" xr:uid="{00000000-0005-0000-0000-00009AE20000}"/>
    <cellStyle name="Обычный 11 7 4" xfId="57974" xr:uid="{00000000-0005-0000-0000-00009BE20000}"/>
    <cellStyle name="Обычный 11 7 5" xfId="57975" xr:uid="{00000000-0005-0000-0000-00009CE20000}"/>
    <cellStyle name="Обычный 11 8" xfId="57976" xr:uid="{00000000-0005-0000-0000-00009DE20000}"/>
    <cellStyle name="Обычный 11 8 2" xfId="57977" xr:uid="{00000000-0005-0000-0000-00009EE20000}"/>
    <cellStyle name="Обычный 11 8 2 2" xfId="57978" xr:uid="{00000000-0005-0000-0000-00009FE20000}"/>
    <cellStyle name="Обычный 11 8 2 3" xfId="57979" xr:uid="{00000000-0005-0000-0000-0000A0E20000}"/>
    <cellStyle name="Обычный 11 8 3" xfId="57980" xr:uid="{00000000-0005-0000-0000-0000A1E20000}"/>
    <cellStyle name="Обычный 11 8 3 2" xfId="57981" xr:uid="{00000000-0005-0000-0000-0000A2E20000}"/>
    <cellStyle name="Обычный 11 8 3 3" xfId="57982" xr:uid="{00000000-0005-0000-0000-0000A3E20000}"/>
    <cellStyle name="Обычный 11 8 4" xfId="57983" xr:uid="{00000000-0005-0000-0000-0000A4E20000}"/>
    <cellStyle name="Обычный 11 8 5" xfId="57984" xr:uid="{00000000-0005-0000-0000-0000A5E20000}"/>
    <cellStyle name="Обычный 11 9" xfId="57985" xr:uid="{00000000-0005-0000-0000-0000A6E20000}"/>
    <cellStyle name="Обычный 11 9 2" xfId="57986" xr:uid="{00000000-0005-0000-0000-0000A7E20000}"/>
    <cellStyle name="Обычный 11 9 2 2" xfId="57987" xr:uid="{00000000-0005-0000-0000-0000A8E20000}"/>
    <cellStyle name="Обычный 11 9 2 3" xfId="57988" xr:uid="{00000000-0005-0000-0000-0000A9E20000}"/>
    <cellStyle name="Обычный 11 9 3" xfId="57989" xr:uid="{00000000-0005-0000-0000-0000AAE20000}"/>
    <cellStyle name="Обычный 11 9 3 2" xfId="57990" xr:uid="{00000000-0005-0000-0000-0000ABE20000}"/>
    <cellStyle name="Обычный 11 9 3 3" xfId="57991" xr:uid="{00000000-0005-0000-0000-0000ACE20000}"/>
    <cellStyle name="Обычный 11 9 4" xfId="57992" xr:uid="{00000000-0005-0000-0000-0000ADE20000}"/>
    <cellStyle name="Обычный 11 9 5" xfId="57993" xr:uid="{00000000-0005-0000-0000-0000AEE20000}"/>
    <cellStyle name="Обычный 11_объемы 2018г111" xfId="57994" xr:uid="{00000000-0005-0000-0000-0000AFE20000}"/>
    <cellStyle name="Обычный 110" xfId="57995" xr:uid="{00000000-0005-0000-0000-0000B0E20000}"/>
    <cellStyle name="Обычный 111" xfId="57996" xr:uid="{00000000-0005-0000-0000-0000B1E20000}"/>
    <cellStyle name="Обычный 112" xfId="57997" xr:uid="{00000000-0005-0000-0000-0000B2E20000}"/>
    <cellStyle name="Обычный 113" xfId="57998" xr:uid="{00000000-0005-0000-0000-0000B3E20000}"/>
    <cellStyle name="Обычный 114" xfId="57999" xr:uid="{00000000-0005-0000-0000-0000B4E20000}"/>
    <cellStyle name="Обычный 115" xfId="58000" xr:uid="{00000000-0005-0000-0000-0000B5E20000}"/>
    <cellStyle name="Обычный 116" xfId="58001" xr:uid="{00000000-0005-0000-0000-0000B6E20000}"/>
    <cellStyle name="Обычный 117" xfId="58002" xr:uid="{00000000-0005-0000-0000-0000B7E20000}"/>
    <cellStyle name="Обычный 118" xfId="58003" xr:uid="{00000000-0005-0000-0000-0000B8E20000}"/>
    <cellStyle name="Обычный 119" xfId="58004" xr:uid="{00000000-0005-0000-0000-0000B9E20000}"/>
    <cellStyle name="Обычный 12" xfId="58005" xr:uid="{00000000-0005-0000-0000-0000BAE20000}"/>
    <cellStyle name="Обычный 12 10" xfId="58006" xr:uid="{00000000-0005-0000-0000-0000BBE20000}"/>
    <cellStyle name="Обычный 12 10 2" xfId="58007" xr:uid="{00000000-0005-0000-0000-0000BCE20000}"/>
    <cellStyle name="Обычный 12 10 2 2" xfId="58008" xr:uid="{00000000-0005-0000-0000-0000BDE20000}"/>
    <cellStyle name="Обычный 12 10 2 3" xfId="58009" xr:uid="{00000000-0005-0000-0000-0000BEE20000}"/>
    <cellStyle name="Обычный 12 10 3" xfId="58010" xr:uid="{00000000-0005-0000-0000-0000BFE20000}"/>
    <cellStyle name="Обычный 12 10 3 2" xfId="58011" xr:uid="{00000000-0005-0000-0000-0000C0E20000}"/>
    <cellStyle name="Обычный 12 10 3 3" xfId="58012" xr:uid="{00000000-0005-0000-0000-0000C1E20000}"/>
    <cellStyle name="Обычный 12 10 4" xfId="58013" xr:uid="{00000000-0005-0000-0000-0000C2E20000}"/>
    <cellStyle name="Обычный 12 10 5" xfId="58014" xr:uid="{00000000-0005-0000-0000-0000C3E20000}"/>
    <cellStyle name="Обычный 12 11" xfId="58015" xr:uid="{00000000-0005-0000-0000-0000C4E20000}"/>
    <cellStyle name="Обычный 12 11 2" xfId="58016" xr:uid="{00000000-0005-0000-0000-0000C5E20000}"/>
    <cellStyle name="Обычный 12 11 2 2" xfId="58017" xr:uid="{00000000-0005-0000-0000-0000C6E20000}"/>
    <cellStyle name="Обычный 12 11 2 3" xfId="58018" xr:uid="{00000000-0005-0000-0000-0000C7E20000}"/>
    <cellStyle name="Обычный 12 11 3" xfId="58019" xr:uid="{00000000-0005-0000-0000-0000C8E20000}"/>
    <cellStyle name="Обычный 12 11 3 2" xfId="58020" xr:uid="{00000000-0005-0000-0000-0000C9E20000}"/>
    <cellStyle name="Обычный 12 11 3 3" xfId="58021" xr:uid="{00000000-0005-0000-0000-0000CAE20000}"/>
    <cellStyle name="Обычный 12 11 4" xfId="58022" xr:uid="{00000000-0005-0000-0000-0000CBE20000}"/>
    <cellStyle name="Обычный 12 11 5" xfId="58023" xr:uid="{00000000-0005-0000-0000-0000CCE20000}"/>
    <cellStyle name="Обычный 12 12" xfId="58024" xr:uid="{00000000-0005-0000-0000-0000CDE20000}"/>
    <cellStyle name="Обычный 12 12 2" xfId="58025" xr:uid="{00000000-0005-0000-0000-0000CEE20000}"/>
    <cellStyle name="Обычный 12 12 2 2" xfId="58026" xr:uid="{00000000-0005-0000-0000-0000CFE20000}"/>
    <cellStyle name="Обычный 12 12 2 3" xfId="58027" xr:uid="{00000000-0005-0000-0000-0000D0E20000}"/>
    <cellStyle name="Обычный 12 12 3" xfId="58028" xr:uid="{00000000-0005-0000-0000-0000D1E20000}"/>
    <cellStyle name="Обычный 12 12 3 2" xfId="58029" xr:uid="{00000000-0005-0000-0000-0000D2E20000}"/>
    <cellStyle name="Обычный 12 12 3 3" xfId="58030" xr:uid="{00000000-0005-0000-0000-0000D3E20000}"/>
    <cellStyle name="Обычный 12 12 4" xfId="58031" xr:uid="{00000000-0005-0000-0000-0000D4E20000}"/>
    <cellStyle name="Обычный 12 12 5" xfId="58032" xr:uid="{00000000-0005-0000-0000-0000D5E20000}"/>
    <cellStyle name="Обычный 12 13" xfId="58033" xr:uid="{00000000-0005-0000-0000-0000D6E20000}"/>
    <cellStyle name="Обычный 12 13 2" xfId="58034" xr:uid="{00000000-0005-0000-0000-0000D7E20000}"/>
    <cellStyle name="Обычный 12 13 2 2" xfId="58035" xr:uid="{00000000-0005-0000-0000-0000D8E20000}"/>
    <cellStyle name="Обычный 12 13 2 3" xfId="58036" xr:uid="{00000000-0005-0000-0000-0000D9E20000}"/>
    <cellStyle name="Обычный 12 13 3" xfId="58037" xr:uid="{00000000-0005-0000-0000-0000DAE20000}"/>
    <cellStyle name="Обычный 12 13 3 2" xfId="58038" xr:uid="{00000000-0005-0000-0000-0000DBE20000}"/>
    <cellStyle name="Обычный 12 13 3 3" xfId="58039" xr:uid="{00000000-0005-0000-0000-0000DCE20000}"/>
    <cellStyle name="Обычный 12 13 4" xfId="58040" xr:uid="{00000000-0005-0000-0000-0000DDE20000}"/>
    <cellStyle name="Обычный 12 13 5" xfId="58041" xr:uid="{00000000-0005-0000-0000-0000DEE20000}"/>
    <cellStyle name="Обычный 12 14" xfId="58042" xr:uid="{00000000-0005-0000-0000-0000DFE20000}"/>
    <cellStyle name="Обычный 12 14 2" xfId="58043" xr:uid="{00000000-0005-0000-0000-0000E0E20000}"/>
    <cellStyle name="Обычный 12 14 2 2" xfId="58044" xr:uid="{00000000-0005-0000-0000-0000E1E20000}"/>
    <cellStyle name="Обычный 12 14 2 3" xfId="58045" xr:uid="{00000000-0005-0000-0000-0000E2E20000}"/>
    <cellStyle name="Обычный 12 14 3" xfId="58046" xr:uid="{00000000-0005-0000-0000-0000E3E20000}"/>
    <cellStyle name="Обычный 12 14 3 2" xfId="58047" xr:uid="{00000000-0005-0000-0000-0000E4E20000}"/>
    <cellStyle name="Обычный 12 14 3 3" xfId="58048" xr:uid="{00000000-0005-0000-0000-0000E5E20000}"/>
    <cellStyle name="Обычный 12 14 4" xfId="58049" xr:uid="{00000000-0005-0000-0000-0000E6E20000}"/>
    <cellStyle name="Обычный 12 14 5" xfId="58050" xr:uid="{00000000-0005-0000-0000-0000E7E20000}"/>
    <cellStyle name="Обычный 12 15" xfId="58051" xr:uid="{00000000-0005-0000-0000-0000E8E20000}"/>
    <cellStyle name="Обычный 12 15 2" xfId="58052" xr:uid="{00000000-0005-0000-0000-0000E9E20000}"/>
    <cellStyle name="Обычный 12 15 2 2" xfId="58053" xr:uid="{00000000-0005-0000-0000-0000EAE20000}"/>
    <cellStyle name="Обычный 12 15 2 3" xfId="58054" xr:uid="{00000000-0005-0000-0000-0000EBE20000}"/>
    <cellStyle name="Обычный 12 15 3" xfId="58055" xr:uid="{00000000-0005-0000-0000-0000ECE20000}"/>
    <cellStyle name="Обычный 12 15 3 2" xfId="58056" xr:uid="{00000000-0005-0000-0000-0000EDE20000}"/>
    <cellStyle name="Обычный 12 15 3 3" xfId="58057" xr:uid="{00000000-0005-0000-0000-0000EEE20000}"/>
    <cellStyle name="Обычный 12 15 4" xfId="58058" xr:uid="{00000000-0005-0000-0000-0000EFE20000}"/>
    <cellStyle name="Обычный 12 15 5" xfId="58059" xr:uid="{00000000-0005-0000-0000-0000F0E20000}"/>
    <cellStyle name="Обычный 12 16" xfId="58060" xr:uid="{00000000-0005-0000-0000-0000F1E20000}"/>
    <cellStyle name="Обычный 12 16 2" xfId="58061" xr:uid="{00000000-0005-0000-0000-0000F2E20000}"/>
    <cellStyle name="Обычный 12 16 2 2" xfId="58062" xr:uid="{00000000-0005-0000-0000-0000F3E20000}"/>
    <cellStyle name="Обычный 12 16 2 3" xfId="58063" xr:uid="{00000000-0005-0000-0000-0000F4E20000}"/>
    <cellStyle name="Обычный 12 16 3" xfId="58064" xr:uid="{00000000-0005-0000-0000-0000F5E20000}"/>
    <cellStyle name="Обычный 12 16 3 2" xfId="58065" xr:uid="{00000000-0005-0000-0000-0000F6E20000}"/>
    <cellStyle name="Обычный 12 16 3 3" xfId="58066" xr:uid="{00000000-0005-0000-0000-0000F7E20000}"/>
    <cellStyle name="Обычный 12 16 4" xfId="58067" xr:uid="{00000000-0005-0000-0000-0000F8E20000}"/>
    <cellStyle name="Обычный 12 16 5" xfId="58068" xr:uid="{00000000-0005-0000-0000-0000F9E20000}"/>
    <cellStyle name="Обычный 12 17" xfId="58069" xr:uid="{00000000-0005-0000-0000-0000FAE20000}"/>
    <cellStyle name="Обычный 12 17 2" xfId="58070" xr:uid="{00000000-0005-0000-0000-0000FBE20000}"/>
    <cellStyle name="Обычный 12 17 3" xfId="58071" xr:uid="{00000000-0005-0000-0000-0000FCE20000}"/>
    <cellStyle name="Обычный 12 18" xfId="58072" xr:uid="{00000000-0005-0000-0000-0000FDE20000}"/>
    <cellStyle name="Обычный 12 18 2" xfId="58073" xr:uid="{00000000-0005-0000-0000-0000FEE20000}"/>
    <cellStyle name="Обычный 12 18 3" xfId="58074" xr:uid="{00000000-0005-0000-0000-0000FFE20000}"/>
    <cellStyle name="Обычный 12 19" xfId="58075" xr:uid="{00000000-0005-0000-0000-000000E30000}"/>
    <cellStyle name="Обычный 12 2" xfId="58076" xr:uid="{00000000-0005-0000-0000-000001E30000}"/>
    <cellStyle name="Обычный 12 2 2" xfId="58077" xr:uid="{00000000-0005-0000-0000-000002E30000}"/>
    <cellStyle name="Обычный 12 2 2 2" xfId="58078" xr:uid="{00000000-0005-0000-0000-000003E30000}"/>
    <cellStyle name="Обычный 12 2 2 2 2" xfId="58079" xr:uid="{00000000-0005-0000-0000-000004E30000}"/>
    <cellStyle name="Обычный 12 2 2 2 2 2" xfId="58080" xr:uid="{00000000-0005-0000-0000-000005E30000}"/>
    <cellStyle name="Обычный 12 2 2 2 2 3" xfId="58081" xr:uid="{00000000-0005-0000-0000-000006E30000}"/>
    <cellStyle name="Обычный 12 2 2 2 3" xfId="58082" xr:uid="{00000000-0005-0000-0000-000007E30000}"/>
    <cellStyle name="Обычный 12 2 2 2 3 2" xfId="58083" xr:uid="{00000000-0005-0000-0000-000008E30000}"/>
    <cellStyle name="Обычный 12 2 2 2 3 3" xfId="58084" xr:uid="{00000000-0005-0000-0000-000009E30000}"/>
    <cellStyle name="Обычный 12 2 2 2 4" xfId="58085" xr:uid="{00000000-0005-0000-0000-00000AE30000}"/>
    <cellStyle name="Обычный 12 2 2 2 5" xfId="58086" xr:uid="{00000000-0005-0000-0000-00000BE30000}"/>
    <cellStyle name="Обычный 12 2 2 3" xfId="58087" xr:uid="{00000000-0005-0000-0000-00000CE30000}"/>
    <cellStyle name="Обычный 12 2 2 3 2" xfId="58088" xr:uid="{00000000-0005-0000-0000-00000DE30000}"/>
    <cellStyle name="Обычный 12 2 2 3 3" xfId="58089" xr:uid="{00000000-0005-0000-0000-00000EE30000}"/>
    <cellStyle name="Обычный 12 2 2 4" xfId="58090" xr:uid="{00000000-0005-0000-0000-00000FE30000}"/>
    <cellStyle name="Обычный 12 2 2 4 2" xfId="58091" xr:uid="{00000000-0005-0000-0000-000010E30000}"/>
    <cellStyle name="Обычный 12 2 2 4 3" xfId="58092" xr:uid="{00000000-0005-0000-0000-000011E30000}"/>
    <cellStyle name="Обычный 12 2 2 5" xfId="58093" xr:uid="{00000000-0005-0000-0000-000012E30000}"/>
    <cellStyle name="Обычный 12 2 2 6" xfId="58094" xr:uid="{00000000-0005-0000-0000-000013E30000}"/>
    <cellStyle name="Обычный 12 2 2_объемы 2018г111" xfId="58095" xr:uid="{00000000-0005-0000-0000-000014E30000}"/>
    <cellStyle name="Обычный 12 2 3" xfId="58096" xr:uid="{00000000-0005-0000-0000-000015E30000}"/>
    <cellStyle name="Обычный 12 2 3 2" xfId="58097" xr:uid="{00000000-0005-0000-0000-000016E30000}"/>
    <cellStyle name="Обычный 12 2 3 2 2" xfId="58098" xr:uid="{00000000-0005-0000-0000-000017E30000}"/>
    <cellStyle name="Обычный 12 2 3 2 3" xfId="58099" xr:uid="{00000000-0005-0000-0000-000018E30000}"/>
    <cellStyle name="Обычный 12 2 3 3" xfId="58100" xr:uid="{00000000-0005-0000-0000-000019E30000}"/>
    <cellStyle name="Обычный 12 2 3 3 2" xfId="58101" xr:uid="{00000000-0005-0000-0000-00001AE30000}"/>
    <cellStyle name="Обычный 12 2 3 3 3" xfId="58102" xr:uid="{00000000-0005-0000-0000-00001BE30000}"/>
    <cellStyle name="Обычный 12 2 3 4" xfId="58103" xr:uid="{00000000-0005-0000-0000-00001CE30000}"/>
    <cellStyle name="Обычный 12 2 3 5" xfId="58104" xr:uid="{00000000-0005-0000-0000-00001DE30000}"/>
    <cellStyle name="Обычный 12 2 4" xfId="58105" xr:uid="{00000000-0005-0000-0000-00001EE30000}"/>
    <cellStyle name="Обычный 12 2 4 2" xfId="58106" xr:uid="{00000000-0005-0000-0000-00001FE30000}"/>
    <cellStyle name="Обычный 12 2 4 3" xfId="58107" xr:uid="{00000000-0005-0000-0000-000020E30000}"/>
    <cellStyle name="Обычный 12 2 5" xfId="58108" xr:uid="{00000000-0005-0000-0000-000021E30000}"/>
    <cellStyle name="Обычный 12 2 5 2" xfId="58109" xr:uid="{00000000-0005-0000-0000-000022E30000}"/>
    <cellStyle name="Обычный 12 2 5 3" xfId="58110" xr:uid="{00000000-0005-0000-0000-000023E30000}"/>
    <cellStyle name="Обычный 12 2 6" xfId="58111" xr:uid="{00000000-0005-0000-0000-000024E30000}"/>
    <cellStyle name="Обычный 12 2 7" xfId="58112" xr:uid="{00000000-0005-0000-0000-000025E30000}"/>
    <cellStyle name="Обычный 12 2_объемы 2018г111" xfId="58113" xr:uid="{00000000-0005-0000-0000-000026E30000}"/>
    <cellStyle name="Обычный 12 20" xfId="58114" xr:uid="{00000000-0005-0000-0000-000027E30000}"/>
    <cellStyle name="Обычный 12 3" xfId="58115" xr:uid="{00000000-0005-0000-0000-000028E30000}"/>
    <cellStyle name="Обычный 12 3 2" xfId="58116" xr:uid="{00000000-0005-0000-0000-000029E30000}"/>
    <cellStyle name="Обычный 12 3 2 2" xfId="58117" xr:uid="{00000000-0005-0000-0000-00002AE30000}"/>
    <cellStyle name="Обычный 12 3 2 2 2" xfId="58118" xr:uid="{00000000-0005-0000-0000-00002BE30000}"/>
    <cellStyle name="Обычный 12 3 2 2 3" xfId="58119" xr:uid="{00000000-0005-0000-0000-00002CE30000}"/>
    <cellStyle name="Обычный 12 3 2 3" xfId="58120" xr:uid="{00000000-0005-0000-0000-00002DE30000}"/>
    <cellStyle name="Обычный 12 3 2 3 2" xfId="58121" xr:uid="{00000000-0005-0000-0000-00002EE30000}"/>
    <cellStyle name="Обычный 12 3 2 3 3" xfId="58122" xr:uid="{00000000-0005-0000-0000-00002FE30000}"/>
    <cellStyle name="Обычный 12 3 2 4" xfId="58123" xr:uid="{00000000-0005-0000-0000-000030E30000}"/>
    <cellStyle name="Обычный 12 3 2 5" xfId="58124" xr:uid="{00000000-0005-0000-0000-000031E30000}"/>
    <cellStyle name="Обычный 12 3 3" xfId="58125" xr:uid="{00000000-0005-0000-0000-000032E30000}"/>
    <cellStyle name="Обычный 12 3 3 2" xfId="58126" xr:uid="{00000000-0005-0000-0000-000033E30000}"/>
    <cellStyle name="Обычный 12 3 3 3" xfId="58127" xr:uid="{00000000-0005-0000-0000-000034E30000}"/>
    <cellStyle name="Обычный 12 3 4" xfId="58128" xr:uid="{00000000-0005-0000-0000-000035E30000}"/>
    <cellStyle name="Обычный 12 3 4 2" xfId="58129" xr:uid="{00000000-0005-0000-0000-000036E30000}"/>
    <cellStyle name="Обычный 12 3 4 3" xfId="58130" xr:uid="{00000000-0005-0000-0000-000037E30000}"/>
    <cellStyle name="Обычный 12 3 5" xfId="58131" xr:uid="{00000000-0005-0000-0000-000038E30000}"/>
    <cellStyle name="Обычный 12 3 6" xfId="58132" xr:uid="{00000000-0005-0000-0000-000039E30000}"/>
    <cellStyle name="Обычный 12 3_объемы 2018г111" xfId="58133" xr:uid="{00000000-0005-0000-0000-00003AE30000}"/>
    <cellStyle name="Обычный 12 4" xfId="58134" xr:uid="{00000000-0005-0000-0000-00003BE30000}"/>
    <cellStyle name="Обычный 12 4 2" xfId="58135" xr:uid="{00000000-0005-0000-0000-00003CE30000}"/>
    <cellStyle name="Обычный 12 4 2 2" xfId="58136" xr:uid="{00000000-0005-0000-0000-00003DE30000}"/>
    <cellStyle name="Обычный 12 4 2 3" xfId="58137" xr:uid="{00000000-0005-0000-0000-00003EE30000}"/>
    <cellStyle name="Обычный 12 4 3" xfId="58138" xr:uid="{00000000-0005-0000-0000-00003FE30000}"/>
    <cellStyle name="Обычный 12 4 3 2" xfId="58139" xr:uid="{00000000-0005-0000-0000-000040E30000}"/>
    <cellStyle name="Обычный 12 4 3 3" xfId="58140" xr:uid="{00000000-0005-0000-0000-000041E30000}"/>
    <cellStyle name="Обычный 12 4 4" xfId="58141" xr:uid="{00000000-0005-0000-0000-000042E30000}"/>
    <cellStyle name="Обычный 12 4 5" xfId="58142" xr:uid="{00000000-0005-0000-0000-000043E30000}"/>
    <cellStyle name="Обычный 12 5" xfId="58143" xr:uid="{00000000-0005-0000-0000-000044E30000}"/>
    <cellStyle name="Обычный 12 5 2" xfId="58144" xr:uid="{00000000-0005-0000-0000-000045E30000}"/>
    <cellStyle name="Обычный 12 5 2 2" xfId="58145" xr:uid="{00000000-0005-0000-0000-000046E30000}"/>
    <cellStyle name="Обычный 12 5 2 3" xfId="58146" xr:uid="{00000000-0005-0000-0000-000047E30000}"/>
    <cellStyle name="Обычный 12 5 3" xfId="58147" xr:uid="{00000000-0005-0000-0000-000048E30000}"/>
    <cellStyle name="Обычный 12 5 3 2" xfId="58148" xr:uid="{00000000-0005-0000-0000-000049E30000}"/>
    <cellStyle name="Обычный 12 5 3 3" xfId="58149" xr:uid="{00000000-0005-0000-0000-00004AE30000}"/>
    <cellStyle name="Обычный 12 5 4" xfId="58150" xr:uid="{00000000-0005-0000-0000-00004BE30000}"/>
    <cellStyle name="Обычный 12 5 5" xfId="58151" xr:uid="{00000000-0005-0000-0000-00004CE30000}"/>
    <cellStyle name="Обычный 12 6" xfId="58152" xr:uid="{00000000-0005-0000-0000-00004DE30000}"/>
    <cellStyle name="Обычный 12 6 2" xfId="58153" xr:uid="{00000000-0005-0000-0000-00004EE30000}"/>
    <cellStyle name="Обычный 12 6 2 2" xfId="58154" xr:uid="{00000000-0005-0000-0000-00004FE30000}"/>
    <cellStyle name="Обычный 12 6 2 3" xfId="58155" xr:uid="{00000000-0005-0000-0000-000050E30000}"/>
    <cellStyle name="Обычный 12 6 3" xfId="58156" xr:uid="{00000000-0005-0000-0000-000051E30000}"/>
    <cellStyle name="Обычный 12 6 3 2" xfId="58157" xr:uid="{00000000-0005-0000-0000-000052E30000}"/>
    <cellStyle name="Обычный 12 6 3 3" xfId="58158" xr:uid="{00000000-0005-0000-0000-000053E30000}"/>
    <cellStyle name="Обычный 12 6 4" xfId="58159" xr:uid="{00000000-0005-0000-0000-000054E30000}"/>
    <cellStyle name="Обычный 12 6 5" xfId="58160" xr:uid="{00000000-0005-0000-0000-000055E30000}"/>
    <cellStyle name="Обычный 12 7" xfId="58161" xr:uid="{00000000-0005-0000-0000-000056E30000}"/>
    <cellStyle name="Обычный 12 7 2" xfId="58162" xr:uid="{00000000-0005-0000-0000-000057E30000}"/>
    <cellStyle name="Обычный 12 7 2 2" xfId="58163" xr:uid="{00000000-0005-0000-0000-000058E30000}"/>
    <cellStyle name="Обычный 12 7 2 3" xfId="58164" xr:uid="{00000000-0005-0000-0000-000059E30000}"/>
    <cellStyle name="Обычный 12 7 3" xfId="58165" xr:uid="{00000000-0005-0000-0000-00005AE30000}"/>
    <cellStyle name="Обычный 12 7 3 2" xfId="58166" xr:uid="{00000000-0005-0000-0000-00005BE30000}"/>
    <cellStyle name="Обычный 12 7 3 3" xfId="58167" xr:uid="{00000000-0005-0000-0000-00005CE30000}"/>
    <cellStyle name="Обычный 12 7 4" xfId="58168" xr:uid="{00000000-0005-0000-0000-00005DE30000}"/>
    <cellStyle name="Обычный 12 7 5" xfId="58169" xr:uid="{00000000-0005-0000-0000-00005EE30000}"/>
    <cellStyle name="Обычный 12 8" xfId="58170" xr:uid="{00000000-0005-0000-0000-00005FE30000}"/>
    <cellStyle name="Обычный 12 8 2" xfId="58171" xr:uid="{00000000-0005-0000-0000-000060E30000}"/>
    <cellStyle name="Обычный 12 8 2 2" xfId="58172" xr:uid="{00000000-0005-0000-0000-000061E30000}"/>
    <cellStyle name="Обычный 12 8 2 3" xfId="58173" xr:uid="{00000000-0005-0000-0000-000062E30000}"/>
    <cellStyle name="Обычный 12 8 3" xfId="58174" xr:uid="{00000000-0005-0000-0000-000063E30000}"/>
    <cellStyle name="Обычный 12 8 3 2" xfId="58175" xr:uid="{00000000-0005-0000-0000-000064E30000}"/>
    <cellStyle name="Обычный 12 8 3 3" xfId="58176" xr:uid="{00000000-0005-0000-0000-000065E30000}"/>
    <cellStyle name="Обычный 12 8 4" xfId="58177" xr:uid="{00000000-0005-0000-0000-000066E30000}"/>
    <cellStyle name="Обычный 12 8 5" xfId="58178" xr:uid="{00000000-0005-0000-0000-000067E30000}"/>
    <cellStyle name="Обычный 12 9" xfId="58179" xr:uid="{00000000-0005-0000-0000-000068E30000}"/>
    <cellStyle name="Обычный 12 9 2" xfId="58180" xr:uid="{00000000-0005-0000-0000-000069E30000}"/>
    <cellStyle name="Обычный 12 9 2 2" xfId="58181" xr:uid="{00000000-0005-0000-0000-00006AE30000}"/>
    <cellStyle name="Обычный 12 9 2 3" xfId="58182" xr:uid="{00000000-0005-0000-0000-00006BE30000}"/>
    <cellStyle name="Обычный 12 9 3" xfId="58183" xr:uid="{00000000-0005-0000-0000-00006CE30000}"/>
    <cellStyle name="Обычный 12 9 3 2" xfId="58184" xr:uid="{00000000-0005-0000-0000-00006DE30000}"/>
    <cellStyle name="Обычный 12 9 3 3" xfId="58185" xr:uid="{00000000-0005-0000-0000-00006EE30000}"/>
    <cellStyle name="Обычный 12 9 4" xfId="58186" xr:uid="{00000000-0005-0000-0000-00006FE30000}"/>
    <cellStyle name="Обычный 12 9 5" xfId="58187" xr:uid="{00000000-0005-0000-0000-000070E30000}"/>
    <cellStyle name="Обычный 12_объемы 2018г111" xfId="58188" xr:uid="{00000000-0005-0000-0000-000071E30000}"/>
    <cellStyle name="Обычный 120" xfId="58189" xr:uid="{00000000-0005-0000-0000-000072E30000}"/>
    <cellStyle name="Обычный 121" xfId="58190" xr:uid="{00000000-0005-0000-0000-000073E30000}"/>
    <cellStyle name="Обычный 122" xfId="58191" xr:uid="{00000000-0005-0000-0000-000074E30000}"/>
    <cellStyle name="Обычный 123" xfId="58192" xr:uid="{00000000-0005-0000-0000-000075E30000}"/>
    <cellStyle name="Обычный 124" xfId="58193" xr:uid="{00000000-0005-0000-0000-000076E30000}"/>
    <cellStyle name="Обычный 125" xfId="58194" xr:uid="{00000000-0005-0000-0000-000077E30000}"/>
    <cellStyle name="Обычный 126" xfId="58195" xr:uid="{00000000-0005-0000-0000-000078E30000}"/>
    <cellStyle name="Обычный 127" xfId="58196" xr:uid="{00000000-0005-0000-0000-000079E30000}"/>
    <cellStyle name="Обычный 128" xfId="58197" xr:uid="{00000000-0005-0000-0000-00007AE30000}"/>
    <cellStyle name="Обычный 129" xfId="58198" xr:uid="{00000000-0005-0000-0000-00007BE30000}"/>
    <cellStyle name="Обычный 13" xfId="58199" xr:uid="{00000000-0005-0000-0000-00007CE30000}"/>
    <cellStyle name="Обычный 13 10" xfId="58200" xr:uid="{00000000-0005-0000-0000-00007DE30000}"/>
    <cellStyle name="Обычный 13 10 2" xfId="58201" xr:uid="{00000000-0005-0000-0000-00007EE30000}"/>
    <cellStyle name="Обычный 13 10 2 2" xfId="58202" xr:uid="{00000000-0005-0000-0000-00007FE30000}"/>
    <cellStyle name="Обычный 13 10 2 3" xfId="58203" xr:uid="{00000000-0005-0000-0000-000080E30000}"/>
    <cellStyle name="Обычный 13 10 3" xfId="58204" xr:uid="{00000000-0005-0000-0000-000081E30000}"/>
    <cellStyle name="Обычный 13 10 3 2" xfId="58205" xr:uid="{00000000-0005-0000-0000-000082E30000}"/>
    <cellStyle name="Обычный 13 10 3 3" xfId="58206" xr:uid="{00000000-0005-0000-0000-000083E30000}"/>
    <cellStyle name="Обычный 13 10 4" xfId="58207" xr:uid="{00000000-0005-0000-0000-000084E30000}"/>
    <cellStyle name="Обычный 13 10 5" xfId="58208" xr:uid="{00000000-0005-0000-0000-000085E30000}"/>
    <cellStyle name="Обычный 13 11" xfId="58209" xr:uid="{00000000-0005-0000-0000-000086E30000}"/>
    <cellStyle name="Обычный 13 11 2" xfId="58210" xr:uid="{00000000-0005-0000-0000-000087E30000}"/>
    <cellStyle name="Обычный 13 11 2 2" xfId="58211" xr:uid="{00000000-0005-0000-0000-000088E30000}"/>
    <cellStyle name="Обычный 13 11 2 3" xfId="58212" xr:uid="{00000000-0005-0000-0000-000089E30000}"/>
    <cellStyle name="Обычный 13 11 3" xfId="58213" xr:uid="{00000000-0005-0000-0000-00008AE30000}"/>
    <cellStyle name="Обычный 13 11 3 2" xfId="58214" xr:uid="{00000000-0005-0000-0000-00008BE30000}"/>
    <cellStyle name="Обычный 13 11 3 3" xfId="58215" xr:uid="{00000000-0005-0000-0000-00008CE30000}"/>
    <cellStyle name="Обычный 13 11 4" xfId="58216" xr:uid="{00000000-0005-0000-0000-00008DE30000}"/>
    <cellStyle name="Обычный 13 11 5" xfId="58217" xr:uid="{00000000-0005-0000-0000-00008EE30000}"/>
    <cellStyle name="Обычный 13 12" xfId="58218" xr:uid="{00000000-0005-0000-0000-00008FE30000}"/>
    <cellStyle name="Обычный 13 12 2" xfId="58219" xr:uid="{00000000-0005-0000-0000-000090E30000}"/>
    <cellStyle name="Обычный 13 12 2 2" xfId="58220" xr:uid="{00000000-0005-0000-0000-000091E30000}"/>
    <cellStyle name="Обычный 13 12 2 3" xfId="58221" xr:uid="{00000000-0005-0000-0000-000092E30000}"/>
    <cellStyle name="Обычный 13 12 3" xfId="58222" xr:uid="{00000000-0005-0000-0000-000093E30000}"/>
    <cellStyle name="Обычный 13 12 3 2" xfId="58223" xr:uid="{00000000-0005-0000-0000-000094E30000}"/>
    <cellStyle name="Обычный 13 12 3 3" xfId="58224" xr:uid="{00000000-0005-0000-0000-000095E30000}"/>
    <cellStyle name="Обычный 13 12 4" xfId="58225" xr:uid="{00000000-0005-0000-0000-000096E30000}"/>
    <cellStyle name="Обычный 13 12 5" xfId="58226" xr:uid="{00000000-0005-0000-0000-000097E30000}"/>
    <cellStyle name="Обычный 13 13" xfId="58227" xr:uid="{00000000-0005-0000-0000-000098E30000}"/>
    <cellStyle name="Обычный 13 13 2" xfId="58228" xr:uid="{00000000-0005-0000-0000-000099E30000}"/>
    <cellStyle name="Обычный 13 13 2 2" xfId="58229" xr:uid="{00000000-0005-0000-0000-00009AE30000}"/>
    <cellStyle name="Обычный 13 13 2 3" xfId="58230" xr:uid="{00000000-0005-0000-0000-00009BE30000}"/>
    <cellStyle name="Обычный 13 13 3" xfId="58231" xr:uid="{00000000-0005-0000-0000-00009CE30000}"/>
    <cellStyle name="Обычный 13 13 3 2" xfId="58232" xr:uid="{00000000-0005-0000-0000-00009DE30000}"/>
    <cellStyle name="Обычный 13 13 3 3" xfId="58233" xr:uid="{00000000-0005-0000-0000-00009EE30000}"/>
    <cellStyle name="Обычный 13 13 4" xfId="58234" xr:uid="{00000000-0005-0000-0000-00009FE30000}"/>
    <cellStyle name="Обычный 13 13 5" xfId="58235" xr:uid="{00000000-0005-0000-0000-0000A0E30000}"/>
    <cellStyle name="Обычный 13 14" xfId="58236" xr:uid="{00000000-0005-0000-0000-0000A1E30000}"/>
    <cellStyle name="Обычный 13 14 2" xfId="58237" xr:uid="{00000000-0005-0000-0000-0000A2E30000}"/>
    <cellStyle name="Обычный 13 14 2 2" xfId="58238" xr:uid="{00000000-0005-0000-0000-0000A3E30000}"/>
    <cellStyle name="Обычный 13 14 2 3" xfId="58239" xr:uid="{00000000-0005-0000-0000-0000A4E30000}"/>
    <cellStyle name="Обычный 13 14 3" xfId="58240" xr:uid="{00000000-0005-0000-0000-0000A5E30000}"/>
    <cellStyle name="Обычный 13 14 3 2" xfId="58241" xr:uid="{00000000-0005-0000-0000-0000A6E30000}"/>
    <cellStyle name="Обычный 13 14 3 3" xfId="58242" xr:uid="{00000000-0005-0000-0000-0000A7E30000}"/>
    <cellStyle name="Обычный 13 14 4" xfId="58243" xr:uid="{00000000-0005-0000-0000-0000A8E30000}"/>
    <cellStyle name="Обычный 13 14 5" xfId="58244" xr:uid="{00000000-0005-0000-0000-0000A9E30000}"/>
    <cellStyle name="Обычный 13 15" xfId="58245" xr:uid="{00000000-0005-0000-0000-0000AAE30000}"/>
    <cellStyle name="Обычный 13 15 2" xfId="58246" xr:uid="{00000000-0005-0000-0000-0000ABE30000}"/>
    <cellStyle name="Обычный 13 15 2 2" xfId="58247" xr:uid="{00000000-0005-0000-0000-0000ACE30000}"/>
    <cellStyle name="Обычный 13 15 2 3" xfId="58248" xr:uid="{00000000-0005-0000-0000-0000ADE30000}"/>
    <cellStyle name="Обычный 13 15 3" xfId="58249" xr:uid="{00000000-0005-0000-0000-0000AEE30000}"/>
    <cellStyle name="Обычный 13 15 3 2" xfId="58250" xr:uid="{00000000-0005-0000-0000-0000AFE30000}"/>
    <cellStyle name="Обычный 13 15 3 3" xfId="58251" xr:uid="{00000000-0005-0000-0000-0000B0E30000}"/>
    <cellStyle name="Обычный 13 15 4" xfId="58252" xr:uid="{00000000-0005-0000-0000-0000B1E30000}"/>
    <cellStyle name="Обычный 13 15 5" xfId="58253" xr:uid="{00000000-0005-0000-0000-0000B2E30000}"/>
    <cellStyle name="Обычный 13 16" xfId="58254" xr:uid="{00000000-0005-0000-0000-0000B3E30000}"/>
    <cellStyle name="Обычный 13 16 2" xfId="58255" xr:uid="{00000000-0005-0000-0000-0000B4E30000}"/>
    <cellStyle name="Обычный 13 16 2 2" xfId="58256" xr:uid="{00000000-0005-0000-0000-0000B5E30000}"/>
    <cellStyle name="Обычный 13 16 2 3" xfId="58257" xr:uid="{00000000-0005-0000-0000-0000B6E30000}"/>
    <cellStyle name="Обычный 13 16 3" xfId="58258" xr:uid="{00000000-0005-0000-0000-0000B7E30000}"/>
    <cellStyle name="Обычный 13 16 3 2" xfId="58259" xr:uid="{00000000-0005-0000-0000-0000B8E30000}"/>
    <cellStyle name="Обычный 13 16 3 3" xfId="58260" xr:uid="{00000000-0005-0000-0000-0000B9E30000}"/>
    <cellStyle name="Обычный 13 16 4" xfId="58261" xr:uid="{00000000-0005-0000-0000-0000BAE30000}"/>
    <cellStyle name="Обычный 13 16 5" xfId="58262" xr:uid="{00000000-0005-0000-0000-0000BBE30000}"/>
    <cellStyle name="Обычный 13 17" xfId="58263" xr:uid="{00000000-0005-0000-0000-0000BCE30000}"/>
    <cellStyle name="Обычный 13 17 2" xfId="58264" xr:uid="{00000000-0005-0000-0000-0000BDE30000}"/>
    <cellStyle name="Обычный 13 17 3" xfId="58265" xr:uid="{00000000-0005-0000-0000-0000BEE30000}"/>
    <cellStyle name="Обычный 13 18" xfId="58266" xr:uid="{00000000-0005-0000-0000-0000BFE30000}"/>
    <cellStyle name="Обычный 13 18 2" xfId="58267" xr:uid="{00000000-0005-0000-0000-0000C0E30000}"/>
    <cellStyle name="Обычный 13 18 3" xfId="58268" xr:uid="{00000000-0005-0000-0000-0000C1E30000}"/>
    <cellStyle name="Обычный 13 19" xfId="58269" xr:uid="{00000000-0005-0000-0000-0000C2E30000}"/>
    <cellStyle name="Обычный 13 2" xfId="58270" xr:uid="{00000000-0005-0000-0000-0000C3E30000}"/>
    <cellStyle name="Обычный 13 2 2" xfId="58271" xr:uid="{00000000-0005-0000-0000-0000C4E30000}"/>
    <cellStyle name="Обычный 13 2 2 2" xfId="58272" xr:uid="{00000000-0005-0000-0000-0000C5E30000}"/>
    <cellStyle name="Обычный 13 2 2 2 2" xfId="58273" xr:uid="{00000000-0005-0000-0000-0000C6E30000}"/>
    <cellStyle name="Обычный 13 2 2 2 2 2" xfId="58274" xr:uid="{00000000-0005-0000-0000-0000C7E30000}"/>
    <cellStyle name="Обычный 13 2 2 2 2 3" xfId="58275" xr:uid="{00000000-0005-0000-0000-0000C8E30000}"/>
    <cellStyle name="Обычный 13 2 2 2 3" xfId="58276" xr:uid="{00000000-0005-0000-0000-0000C9E30000}"/>
    <cellStyle name="Обычный 13 2 2 2 3 2" xfId="58277" xr:uid="{00000000-0005-0000-0000-0000CAE30000}"/>
    <cellStyle name="Обычный 13 2 2 2 3 3" xfId="58278" xr:uid="{00000000-0005-0000-0000-0000CBE30000}"/>
    <cellStyle name="Обычный 13 2 2 2 4" xfId="58279" xr:uid="{00000000-0005-0000-0000-0000CCE30000}"/>
    <cellStyle name="Обычный 13 2 2 2 5" xfId="58280" xr:uid="{00000000-0005-0000-0000-0000CDE30000}"/>
    <cellStyle name="Обычный 13 2 2 3" xfId="58281" xr:uid="{00000000-0005-0000-0000-0000CEE30000}"/>
    <cellStyle name="Обычный 13 2 2 3 2" xfId="58282" xr:uid="{00000000-0005-0000-0000-0000CFE30000}"/>
    <cellStyle name="Обычный 13 2 2 3 3" xfId="58283" xr:uid="{00000000-0005-0000-0000-0000D0E30000}"/>
    <cellStyle name="Обычный 13 2 2 4" xfId="58284" xr:uid="{00000000-0005-0000-0000-0000D1E30000}"/>
    <cellStyle name="Обычный 13 2 2 4 2" xfId="58285" xr:uid="{00000000-0005-0000-0000-0000D2E30000}"/>
    <cellStyle name="Обычный 13 2 2 4 3" xfId="58286" xr:uid="{00000000-0005-0000-0000-0000D3E30000}"/>
    <cellStyle name="Обычный 13 2 2 5" xfId="58287" xr:uid="{00000000-0005-0000-0000-0000D4E30000}"/>
    <cellStyle name="Обычный 13 2 2 6" xfId="58288" xr:uid="{00000000-0005-0000-0000-0000D5E30000}"/>
    <cellStyle name="Обычный 13 2 2_объемы 2018г111" xfId="58289" xr:uid="{00000000-0005-0000-0000-0000D6E30000}"/>
    <cellStyle name="Обычный 13 2 3" xfId="58290" xr:uid="{00000000-0005-0000-0000-0000D7E30000}"/>
    <cellStyle name="Обычный 13 2 3 2" xfId="58291" xr:uid="{00000000-0005-0000-0000-0000D8E30000}"/>
    <cellStyle name="Обычный 13 2 3 2 2" xfId="58292" xr:uid="{00000000-0005-0000-0000-0000D9E30000}"/>
    <cellStyle name="Обычный 13 2 3 2 3" xfId="58293" xr:uid="{00000000-0005-0000-0000-0000DAE30000}"/>
    <cellStyle name="Обычный 13 2 3 3" xfId="58294" xr:uid="{00000000-0005-0000-0000-0000DBE30000}"/>
    <cellStyle name="Обычный 13 2 3 3 2" xfId="58295" xr:uid="{00000000-0005-0000-0000-0000DCE30000}"/>
    <cellStyle name="Обычный 13 2 3 3 3" xfId="58296" xr:uid="{00000000-0005-0000-0000-0000DDE30000}"/>
    <cellStyle name="Обычный 13 2 3 4" xfId="58297" xr:uid="{00000000-0005-0000-0000-0000DEE30000}"/>
    <cellStyle name="Обычный 13 2 3 5" xfId="58298" xr:uid="{00000000-0005-0000-0000-0000DFE30000}"/>
    <cellStyle name="Обычный 13 2 4" xfId="58299" xr:uid="{00000000-0005-0000-0000-0000E0E30000}"/>
    <cellStyle name="Обычный 13 2 4 2" xfId="58300" xr:uid="{00000000-0005-0000-0000-0000E1E30000}"/>
    <cellStyle name="Обычный 13 2 4 3" xfId="58301" xr:uid="{00000000-0005-0000-0000-0000E2E30000}"/>
    <cellStyle name="Обычный 13 2 5" xfId="58302" xr:uid="{00000000-0005-0000-0000-0000E3E30000}"/>
    <cellStyle name="Обычный 13 2 5 2" xfId="58303" xr:uid="{00000000-0005-0000-0000-0000E4E30000}"/>
    <cellStyle name="Обычный 13 2 5 3" xfId="58304" xr:uid="{00000000-0005-0000-0000-0000E5E30000}"/>
    <cellStyle name="Обычный 13 2 6" xfId="58305" xr:uid="{00000000-0005-0000-0000-0000E6E30000}"/>
    <cellStyle name="Обычный 13 2 7" xfId="58306" xr:uid="{00000000-0005-0000-0000-0000E7E30000}"/>
    <cellStyle name="Обычный 13 2_объемы 2018г111" xfId="58307" xr:uid="{00000000-0005-0000-0000-0000E8E30000}"/>
    <cellStyle name="Обычный 13 20" xfId="58308" xr:uid="{00000000-0005-0000-0000-0000E9E30000}"/>
    <cellStyle name="Обычный 13 3" xfId="58309" xr:uid="{00000000-0005-0000-0000-0000EAE30000}"/>
    <cellStyle name="Обычный 13 3 2" xfId="58310" xr:uid="{00000000-0005-0000-0000-0000EBE30000}"/>
    <cellStyle name="Обычный 13 3 2 2" xfId="58311" xr:uid="{00000000-0005-0000-0000-0000ECE30000}"/>
    <cellStyle name="Обычный 13 3 2 2 2" xfId="58312" xr:uid="{00000000-0005-0000-0000-0000EDE30000}"/>
    <cellStyle name="Обычный 13 3 2 2 3" xfId="58313" xr:uid="{00000000-0005-0000-0000-0000EEE30000}"/>
    <cellStyle name="Обычный 13 3 2 3" xfId="58314" xr:uid="{00000000-0005-0000-0000-0000EFE30000}"/>
    <cellStyle name="Обычный 13 3 2 3 2" xfId="58315" xr:uid="{00000000-0005-0000-0000-0000F0E30000}"/>
    <cellStyle name="Обычный 13 3 2 3 3" xfId="58316" xr:uid="{00000000-0005-0000-0000-0000F1E30000}"/>
    <cellStyle name="Обычный 13 3 2 4" xfId="58317" xr:uid="{00000000-0005-0000-0000-0000F2E30000}"/>
    <cellStyle name="Обычный 13 3 2 5" xfId="58318" xr:uid="{00000000-0005-0000-0000-0000F3E30000}"/>
    <cellStyle name="Обычный 13 3 3" xfId="58319" xr:uid="{00000000-0005-0000-0000-0000F4E30000}"/>
    <cellStyle name="Обычный 13 3 3 2" xfId="58320" xr:uid="{00000000-0005-0000-0000-0000F5E30000}"/>
    <cellStyle name="Обычный 13 3 3 3" xfId="58321" xr:uid="{00000000-0005-0000-0000-0000F6E30000}"/>
    <cellStyle name="Обычный 13 3 4" xfId="58322" xr:uid="{00000000-0005-0000-0000-0000F7E30000}"/>
    <cellStyle name="Обычный 13 3 4 2" xfId="58323" xr:uid="{00000000-0005-0000-0000-0000F8E30000}"/>
    <cellStyle name="Обычный 13 3 4 3" xfId="58324" xr:uid="{00000000-0005-0000-0000-0000F9E30000}"/>
    <cellStyle name="Обычный 13 3 5" xfId="58325" xr:uid="{00000000-0005-0000-0000-0000FAE30000}"/>
    <cellStyle name="Обычный 13 3 6" xfId="58326" xr:uid="{00000000-0005-0000-0000-0000FBE30000}"/>
    <cellStyle name="Обычный 13 3_объемы 2018г111" xfId="58327" xr:uid="{00000000-0005-0000-0000-0000FCE30000}"/>
    <cellStyle name="Обычный 13 4" xfId="58328" xr:uid="{00000000-0005-0000-0000-0000FDE30000}"/>
    <cellStyle name="Обычный 13 4 2" xfId="58329" xr:uid="{00000000-0005-0000-0000-0000FEE30000}"/>
    <cellStyle name="Обычный 13 4 2 2" xfId="58330" xr:uid="{00000000-0005-0000-0000-0000FFE30000}"/>
    <cellStyle name="Обычный 13 4 2 3" xfId="58331" xr:uid="{00000000-0005-0000-0000-000000E40000}"/>
    <cellStyle name="Обычный 13 4 3" xfId="58332" xr:uid="{00000000-0005-0000-0000-000001E40000}"/>
    <cellStyle name="Обычный 13 4 3 2" xfId="58333" xr:uid="{00000000-0005-0000-0000-000002E40000}"/>
    <cellStyle name="Обычный 13 4 3 3" xfId="58334" xr:uid="{00000000-0005-0000-0000-000003E40000}"/>
    <cellStyle name="Обычный 13 4 4" xfId="58335" xr:uid="{00000000-0005-0000-0000-000004E40000}"/>
    <cellStyle name="Обычный 13 4 5" xfId="58336" xr:uid="{00000000-0005-0000-0000-000005E40000}"/>
    <cellStyle name="Обычный 13 5" xfId="58337" xr:uid="{00000000-0005-0000-0000-000006E40000}"/>
    <cellStyle name="Обычный 13 5 2" xfId="58338" xr:uid="{00000000-0005-0000-0000-000007E40000}"/>
    <cellStyle name="Обычный 13 5 2 2" xfId="58339" xr:uid="{00000000-0005-0000-0000-000008E40000}"/>
    <cellStyle name="Обычный 13 5 2 3" xfId="58340" xr:uid="{00000000-0005-0000-0000-000009E40000}"/>
    <cellStyle name="Обычный 13 5 3" xfId="58341" xr:uid="{00000000-0005-0000-0000-00000AE40000}"/>
    <cellStyle name="Обычный 13 5 3 2" xfId="58342" xr:uid="{00000000-0005-0000-0000-00000BE40000}"/>
    <cellStyle name="Обычный 13 5 3 3" xfId="58343" xr:uid="{00000000-0005-0000-0000-00000CE40000}"/>
    <cellStyle name="Обычный 13 5 4" xfId="58344" xr:uid="{00000000-0005-0000-0000-00000DE40000}"/>
    <cellStyle name="Обычный 13 5 5" xfId="58345" xr:uid="{00000000-0005-0000-0000-00000EE40000}"/>
    <cellStyle name="Обычный 13 6" xfId="58346" xr:uid="{00000000-0005-0000-0000-00000FE40000}"/>
    <cellStyle name="Обычный 13 6 2" xfId="58347" xr:uid="{00000000-0005-0000-0000-000010E40000}"/>
    <cellStyle name="Обычный 13 6 2 2" xfId="58348" xr:uid="{00000000-0005-0000-0000-000011E40000}"/>
    <cellStyle name="Обычный 13 6 2 3" xfId="58349" xr:uid="{00000000-0005-0000-0000-000012E40000}"/>
    <cellStyle name="Обычный 13 6 3" xfId="58350" xr:uid="{00000000-0005-0000-0000-000013E40000}"/>
    <cellStyle name="Обычный 13 6 3 2" xfId="58351" xr:uid="{00000000-0005-0000-0000-000014E40000}"/>
    <cellStyle name="Обычный 13 6 3 3" xfId="58352" xr:uid="{00000000-0005-0000-0000-000015E40000}"/>
    <cellStyle name="Обычный 13 6 4" xfId="58353" xr:uid="{00000000-0005-0000-0000-000016E40000}"/>
    <cellStyle name="Обычный 13 6 5" xfId="58354" xr:uid="{00000000-0005-0000-0000-000017E40000}"/>
    <cellStyle name="Обычный 13 7" xfId="58355" xr:uid="{00000000-0005-0000-0000-000018E40000}"/>
    <cellStyle name="Обычный 13 7 2" xfId="58356" xr:uid="{00000000-0005-0000-0000-000019E40000}"/>
    <cellStyle name="Обычный 13 7 2 2" xfId="58357" xr:uid="{00000000-0005-0000-0000-00001AE40000}"/>
    <cellStyle name="Обычный 13 7 2 3" xfId="58358" xr:uid="{00000000-0005-0000-0000-00001BE40000}"/>
    <cellStyle name="Обычный 13 7 3" xfId="58359" xr:uid="{00000000-0005-0000-0000-00001CE40000}"/>
    <cellStyle name="Обычный 13 7 3 2" xfId="58360" xr:uid="{00000000-0005-0000-0000-00001DE40000}"/>
    <cellStyle name="Обычный 13 7 3 3" xfId="58361" xr:uid="{00000000-0005-0000-0000-00001EE40000}"/>
    <cellStyle name="Обычный 13 7 4" xfId="58362" xr:uid="{00000000-0005-0000-0000-00001FE40000}"/>
    <cellStyle name="Обычный 13 7 5" xfId="58363" xr:uid="{00000000-0005-0000-0000-000020E40000}"/>
    <cellStyle name="Обычный 13 8" xfId="58364" xr:uid="{00000000-0005-0000-0000-000021E40000}"/>
    <cellStyle name="Обычный 13 8 2" xfId="58365" xr:uid="{00000000-0005-0000-0000-000022E40000}"/>
    <cellStyle name="Обычный 13 8 2 2" xfId="58366" xr:uid="{00000000-0005-0000-0000-000023E40000}"/>
    <cellStyle name="Обычный 13 8 2 3" xfId="58367" xr:uid="{00000000-0005-0000-0000-000024E40000}"/>
    <cellStyle name="Обычный 13 8 3" xfId="58368" xr:uid="{00000000-0005-0000-0000-000025E40000}"/>
    <cellStyle name="Обычный 13 8 3 2" xfId="58369" xr:uid="{00000000-0005-0000-0000-000026E40000}"/>
    <cellStyle name="Обычный 13 8 3 3" xfId="58370" xr:uid="{00000000-0005-0000-0000-000027E40000}"/>
    <cellStyle name="Обычный 13 8 4" xfId="58371" xr:uid="{00000000-0005-0000-0000-000028E40000}"/>
    <cellStyle name="Обычный 13 8 5" xfId="58372" xr:uid="{00000000-0005-0000-0000-000029E40000}"/>
    <cellStyle name="Обычный 13 9" xfId="58373" xr:uid="{00000000-0005-0000-0000-00002AE40000}"/>
    <cellStyle name="Обычный 13 9 2" xfId="58374" xr:uid="{00000000-0005-0000-0000-00002BE40000}"/>
    <cellStyle name="Обычный 13 9 2 2" xfId="58375" xr:uid="{00000000-0005-0000-0000-00002CE40000}"/>
    <cellStyle name="Обычный 13 9 2 3" xfId="58376" xr:uid="{00000000-0005-0000-0000-00002DE40000}"/>
    <cellStyle name="Обычный 13 9 3" xfId="58377" xr:uid="{00000000-0005-0000-0000-00002EE40000}"/>
    <cellStyle name="Обычный 13 9 3 2" xfId="58378" xr:uid="{00000000-0005-0000-0000-00002FE40000}"/>
    <cellStyle name="Обычный 13 9 3 3" xfId="58379" xr:uid="{00000000-0005-0000-0000-000030E40000}"/>
    <cellStyle name="Обычный 13 9 4" xfId="58380" xr:uid="{00000000-0005-0000-0000-000031E40000}"/>
    <cellStyle name="Обычный 13 9 5" xfId="58381" xr:uid="{00000000-0005-0000-0000-000032E40000}"/>
    <cellStyle name="Обычный 13_объемы 2018г111" xfId="58382" xr:uid="{00000000-0005-0000-0000-000033E40000}"/>
    <cellStyle name="Обычный 130" xfId="58383" xr:uid="{00000000-0005-0000-0000-000034E40000}"/>
    <cellStyle name="Обычный 131" xfId="58384" xr:uid="{00000000-0005-0000-0000-000035E40000}"/>
    <cellStyle name="Обычный 132" xfId="58385" xr:uid="{00000000-0005-0000-0000-000036E40000}"/>
    <cellStyle name="Обычный 133" xfId="58386" xr:uid="{00000000-0005-0000-0000-000037E40000}"/>
    <cellStyle name="Обычный 134" xfId="58387" xr:uid="{00000000-0005-0000-0000-000038E40000}"/>
    <cellStyle name="Обычный 135" xfId="58388" xr:uid="{00000000-0005-0000-0000-000039E40000}"/>
    <cellStyle name="Обычный 136" xfId="58389" xr:uid="{00000000-0005-0000-0000-00003AE40000}"/>
    <cellStyle name="Обычный 137" xfId="58390" xr:uid="{00000000-0005-0000-0000-00003BE40000}"/>
    <cellStyle name="Обычный 138" xfId="58391" xr:uid="{00000000-0005-0000-0000-00003CE40000}"/>
    <cellStyle name="Обычный 139" xfId="58392" xr:uid="{00000000-0005-0000-0000-00003DE40000}"/>
    <cellStyle name="Обычный 14" xfId="58393" xr:uid="{00000000-0005-0000-0000-00003EE40000}"/>
    <cellStyle name="Обычный 14 10" xfId="58394" xr:uid="{00000000-0005-0000-0000-00003FE40000}"/>
    <cellStyle name="Обычный 14 10 2" xfId="58395" xr:uid="{00000000-0005-0000-0000-000040E40000}"/>
    <cellStyle name="Обычный 14 10 2 2" xfId="58396" xr:uid="{00000000-0005-0000-0000-000041E40000}"/>
    <cellStyle name="Обычный 14 10 2 3" xfId="58397" xr:uid="{00000000-0005-0000-0000-000042E40000}"/>
    <cellStyle name="Обычный 14 10 3" xfId="58398" xr:uid="{00000000-0005-0000-0000-000043E40000}"/>
    <cellStyle name="Обычный 14 10 3 2" xfId="58399" xr:uid="{00000000-0005-0000-0000-000044E40000}"/>
    <cellStyle name="Обычный 14 10 3 3" xfId="58400" xr:uid="{00000000-0005-0000-0000-000045E40000}"/>
    <cellStyle name="Обычный 14 10 4" xfId="58401" xr:uid="{00000000-0005-0000-0000-000046E40000}"/>
    <cellStyle name="Обычный 14 10 5" xfId="58402" xr:uid="{00000000-0005-0000-0000-000047E40000}"/>
    <cellStyle name="Обычный 14 11" xfId="58403" xr:uid="{00000000-0005-0000-0000-000048E40000}"/>
    <cellStyle name="Обычный 14 11 2" xfId="58404" xr:uid="{00000000-0005-0000-0000-000049E40000}"/>
    <cellStyle name="Обычный 14 11 2 2" xfId="58405" xr:uid="{00000000-0005-0000-0000-00004AE40000}"/>
    <cellStyle name="Обычный 14 11 2 3" xfId="58406" xr:uid="{00000000-0005-0000-0000-00004BE40000}"/>
    <cellStyle name="Обычный 14 11 3" xfId="58407" xr:uid="{00000000-0005-0000-0000-00004CE40000}"/>
    <cellStyle name="Обычный 14 11 3 2" xfId="58408" xr:uid="{00000000-0005-0000-0000-00004DE40000}"/>
    <cellStyle name="Обычный 14 11 3 3" xfId="58409" xr:uid="{00000000-0005-0000-0000-00004EE40000}"/>
    <cellStyle name="Обычный 14 11 4" xfId="58410" xr:uid="{00000000-0005-0000-0000-00004FE40000}"/>
    <cellStyle name="Обычный 14 11 5" xfId="58411" xr:uid="{00000000-0005-0000-0000-000050E40000}"/>
    <cellStyle name="Обычный 14 12" xfId="58412" xr:uid="{00000000-0005-0000-0000-000051E40000}"/>
    <cellStyle name="Обычный 14 12 2" xfId="58413" xr:uid="{00000000-0005-0000-0000-000052E40000}"/>
    <cellStyle name="Обычный 14 12 2 2" xfId="58414" xr:uid="{00000000-0005-0000-0000-000053E40000}"/>
    <cellStyle name="Обычный 14 12 2 3" xfId="58415" xr:uid="{00000000-0005-0000-0000-000054E40000}"/>
    <cellStyle name="Обычный 14 12 3" xfId="58416" xr:uid="{00000000-0005-0000-0000-000055E40000}"/>
    <cellStyle name="Обычный 14 12 3 2" xfId="58417" xr:uid="{00000000-0005-0000-0000-000056E40000}"/>
    <cellStyle name="Обычный 14 12 3 3" xfId="58418" xr:uid="{00000000-0005-0000-0000-000057E40000}"/>
    <cellStyle name="Обычный 14 12 4" xfId="58419" xr:uid="{00000000-0005-0000-0000-000058E40000}"/>
    <cellStyle name="Обычный 14 12 5" xfId="58420" xr:uid="{00000000-0005-0000-0000-000059E40000}"/>
    <cellStyle name="Обычный 14 13" xfId="58421" xr:uid="{00000000-0005-0000-0000-00005AE40000}"/>
    <cellStyle name="Обычный 14 13 2" xfId="58422" xr:uid="{00000000-0005-0000-0000-00005BE40000}"/>
    <cellStyle name="Обычный 14 13 2 2" xfId="58423" xr:uid="{00000000-0005-0000-0000-00005CE40000}"/>
    <cellStyle name="Обычный 14 13 2 3" xfId="58424" xr:uid="{00000000-0005-0000-0000-00005DE40000}"/>
    <cellStyle name="Обычный 14 13 3" xfId="58425" xr:uid="{00000000-0005-0000-0000-00005EE40000}"/>
    <cellStyle name="Обычный 14 13 3 2" xfId="58426" xr:uid="{00000000-0005-0000-0000-00005FE40000}"/>
    <cellStyle name="Обычный 14 13 3 3" xfId="58427" xr:uid="{00000000-0005-0000-0000-000060E40000}"/>
    <cellStyle name="Обычный 14 13 4" xfId="58428" xr:uid="{00000000-0005-0000-0000-000061E40000}"/>
    <cellStyle name="Обычный 14 13 5" xfId="58429" xr:uid="{00000000-0005-0000-0000-000062E40000}"/>
    <cellStyle name="Обычный 14 14" xfId="58430" xr:uid="{00000000-0005-0000-0000-000063E40000}"/>
    <cellStyle name="Обычный 14 14 2" xfId="58431" xr:uid="{00000000-0005-0000-0000-000064E40000}"/>
    <cellStyle name="Обычный 14 14 2 2" xfId="58432" xr:uid="{00000000-0005-0000-0000-000065E40000}"/>
    <cellStyle name="Обычный 14 14 2 3" xfId="58433" xr:uid="{00000000-0005-0000-0000-000066E40000}"/>
    <cellStyle name="Обычный 14 14 3" xfId="58434" xr:uid="{00000000-0005-0000-0000-000067E40000}"/>
    <cellStyle name="Обычный 14 14 3 2" xfId="58435" xr:uid="{00000000-0005-0000-0000-000068E40000}"/>
    <cellStyle name="Обычный 14 14 3 3" xfId="58436" xr:uid="{00000000-0005-0000-0000-000069E40000}"/>
    <cellStyle name="Обычный 14 14 4" xfId="58437" xr:uid="{00000000-0005-0000-0000-00006AE40000}"/>
    <cellStyle name="Обычный 14 14 5" xfId="58438" xr:uid="{00000000-0005-0000-0000-00006BE40000}"/>
    <cellStyle name="Обычный 14 15" xfId="58439" xr:uid="{00000000-0005-0000-0000-00006CE40000}"/>
    <cellStyle name="Обычный 14 15 2" xfId="58440" xr:uid="{00000000-0005-0000-0000-00006DE40000}"/>
    <cellStyle name="Обычный 14 15 2 2" xfId="58441" xr:uid="{00000000-0005-0000-0000-00006EE40000}"/>
    <cellStyle name="Обычный 14 15 2 3" xfId="58442" xr:uid="{00000000-0005-0000-0000-00006FE40000}"/>
    <cellStyle name="Обычный 14 15 3" xfId="58443" xr:uid="{00000000-0005-0000-0000-000070E40000}"/>
    <cellStyle name="Обычный 14 15 3 2" xfId="58444" xr:uid="{00000000-0005-0000-0000-000071E40000}"/>
    <cellStyle name="Обычный 14 15 3 3" xfId="58445" xr:uid="{00000000-0005-0000-0000-000072E40000}"/>
    <cellStyle name="Обычный 14 15 4" xfId="58446" xr:uid="{00000000-0005-0000-0000-000073E40000}"/>
    <cellStyle name="Обычный 14 15 5" xfId="58447" xr:uid="{00000000-0005-0000-0000-000074E40000}"/>
    <cellStyle name="Обычный 14 16" xfId="58448" xr:uid="{00000000-0005-0000-0000-000075E40000}"/>
    <cellStyle name="Обычный 14 16 2" xfId="58449" xr:uid="{00000000-0005-0000-0000-000076E40000}"/>
    <cellStyle name="Обычный 14 16 2 2" xfId="58450" xr:uid="{00000000-0005-0000-0000-000077E40000}"/>
    <cellStyle name="Обычный 14 16 2 3" xfId="58451" xr:uid="{00000000-0005-0000-0000-000078E40000}"/>
    <cellStyle name="Обычный 14 16 3" xfId="58452" xr:uid="{00000000-0005-0000-0000-000079E40000}"/>
    <cellStyle name="Обычный 14 16 3 2" xfId="58453" xr:uid="{00000000-0005-0000-0000-00007AE40000}"/>
    <cellStyle name="Обычный 14 16 3 3" xfId="58454" xr:uid="{00000000-0005-0000-0000-00007BE40000}"/>
    <cellStyle name="Обычный 14 16 4" xfId="58455" xr:uid="{00000000-0005-0000-0000-00007CE40000}"/>
    <cellStyle name="Обычный 14 16 5" xfId="58456" xr:uid="{00000000-0005-0000-0000-00007DE40000}"/>
    <cellStyle name="Обычный 14 17" xfId="58457" xr:uid="{00000000-0005-0000-0000-00007EE40000}"/>
    <cellStyle name="Обычный 14 17 2" xfId="58458" xr:uid="{00000000-0005-0000-0000-00007FE40000}"/>
    <cellStyle name="Обычный 14 17 3" xfId="58459" xr:uid="{00000000-0005-0000-0000-000080E40000}"/>
    <cellStyle name="Обычный 14 18" xfId="58460" xr:uid="{00000000-0005-0000-0000-000081E40000}"/>
    <cellStyle name="Обычный 14 18 2" xfId="58461" xr:uid="{00000000-0005-0000-0000-000082E40000}"/>
    <cellStyle name="Обычный 14 18 3" xfId="58462" xr:uid="{00000000-0005-0000-0000-000083E40000}"/>
    <cellStyle name="Обычный 14 19" xfId="58463" xr:uid="{00000000-0005-0000-0000-000084E40000}"/>
    <cellStyle name="Обычный 14 2" xfId="58464" xr:uid="{00000000-0005-0000-0000-000085E40000}"/>
    <cellStyle name="Обычный 14 2 2" xfId="58465" xr:uid="{00000000-0005-0000-0000-000086E40000}"/>
    <cellStyle name="Обычный 14 2 2 2" xfId="58466" xr:uid="{00000000-0005-0000-0000-000087E40000}"/>
    <cellStyle name="Обычный 14 2 2 2 2" xfId="58467" xr:uid="{00000000-0005-0000-0000-000088E40000}"/>
    <cellStyle name="Обычный 14 2 2 2 2 2" xfId="58468" xr:uid="{00000000-0005-0000-0000-000089E40000}"/>
    <cellStyle name="Обычный 14 2 2 2 2 3" xfId="58469" xr:uid="{00000000-0005-0000-0000-00008AE40000}"/>
    <cellStyle name="Обычный 14 2 2 2 3" xfId="58470" xr:uid="{00000000-0005-0000-0000-00008BE40000}"/>
    <cellStyle name="Обычный 14 2 2 2 3 2" xfId="58471" xr:uid="{00000000-0005-0000-0000-00008CE40000}"/>
    <cellStyle name="Обычный 14 2 2 2 3 3" xfId="58472" xr:uid="{00000000-0005-0000-0000-00008DE40000}"/>
    <cellStyle name="Обычный 14 2 2 2 4" xfId="58473" xr:uid="{00000000-0005-0000-0000-00008EE40000}"/>
    <cellStyle name="Обычный 14 2 2 2 5" xfId="58474" xr:uid="{00000000-0005-0000-0000-00008FE40000}"/>
    <cellStyle name="Обычный 14 2 2 3" xfId="58475" xr:uid="{00000000-0005-0000-0000-000090E40000}"/>
    <cellStyle name="Обычный 14 2 2 3 2" xfId="58476" xr:uid="{00000000-0005-0000-0000-000091E40000}"/>
    <cellStyle name="Обычный 14 2 2 3 3" xfId="58477" xr:uid="{00000000-0005-0000-0000-000092E40000}"/>
    <cellStyle name="Обычный 14 2 2 4" xfId="58478" xr:uid="{00000000-0005-0000-0000-000093E40000}"/>
    <cellStyle name="Обычный 14 2 2 4 2" xfId="58479" xr:uid="{00000000-0005-0000-0000-000094E40000}"/>
    <cellStyle name="Обычный 14 2 2 4 3" xfId="58480" xr:uid="{00000000-0005-0000-0000-000095E40000}"/>
    <cellStyle name="Обычный 14 2 2 5" xfId="58481" xr:uid="{00000000-0005-0000-0000-000096E40000}"/>
    <cellStyle name="Обычный 14 2 2 6" xfId="58482" xr:uid="{00000000-0005-0000-0000-000097E40000}"/>
    <cellStyle name="Обычный 14 2 2_объемы 2018г111" xfId="58483" xr:uid="{00000000-0005-0000-0000-000098E40000}"/>
    <cellStyle name="Обычный 14 2 3" xfId="58484" xr:uid="{00000000-0005-0000-0000-000099E40000}"/>
    <cellStyle name="Обычный 14 2 3 2" xfId="58485" xr:uid="{00000000-0005-0000-0000-00009AE40000}"/>
    <cellStyle name="Обычный 14 2 3 2 2" xfId="58486" xr:uid="{00000000-0005-0000-0000-00009BE40000}"/>
    <cellStyle name="Обычный 14 2 3 2 3" xfId="58487" xr:uid="{00000000-0005-0000-0000-00009CE40000}"/>
    <cellStyle name="Обычный 14 2 3 3" xfId="58488" xr:uid="{00000000-0005-0000-0000-00009DE40000}"/>
    <cellStyle name="Обычный 14 2 3 3 2" xfId="58489" xr:uid="{00000000-0005-0000-0000-00009EE40000}"/>
    <cellStyle name="Обычный 14 2 3 3 3" xfId="58490" xr:uid="{00000000-0005-0000-0000-00009FE40000}"/>
    <cellStyle name="Обычный 14 2 3 4" xfId="58491" xr:uid="{00000000-0005-0000-0000-0000A0E40000}"/>
    <cellStyle name="Обычный 14 2 3 5" xfId="58492" xr:uid="{00000000-0005-0000-0000-0000A1E40000}"/>
    <cellStyle name="Обычный 14 2 4" xfId="58493" xr:uid="{00000000-0005-0000-0000-0000A2E40000}"/>
    <cellStyle name="Обычный 14 2 4 2" xfId="58494" xr:uid="{00000000-0005-0000-0000-0000A3E40000}"/>
    <cellStyle name="Обычный 14 2 4 3" xfId="58495" xr:uid="{00000000-0005-0000-0000-0000A4E40000}"/>
    <cellStyle name="Обычный 14 2 5" xfId="58496" xr:uid="{00000000-0005-0000-0000-0000A5E40000}"/>
    <cellStyle name="Обычный 14 2 5 2" xfId="58497" xr:uid="{00000000-0005-0000-0000-0000A6E40000}"/>
    <cellStyle name="Обычный 14 2 5 3" xfId="58498" xr:uid="{00000000-0005-0000-0000-0000A7E40000}"/>
    <cellStyle name="Обычный 14 2 6" xfId="58499" xr:uid="{00000000-0005-0000-0000-0000A8E40000}"/>
    <cellStyle name="Обычный 14 2 7" xfId="58500" xr:uid="{00000000-0005-0000-0000-0000A9E40000}"/>
    <cellStyle name="Обычный 14 2_объемы 2018г111" xfId="58501" xr:uid="{00000000-0005-0000-0000-0000AAE40000}"/>
    <cellStyle name="Обычный 14 20" xfId="58502" xr:uid="{00000000-0005-0000-0000-0000ABE40000}"/>
    <cellStyle name="Обычный 14 3" xfId="58503" xr:uid="{00000000-0005-0000-0000-0000ACE40000}"/>
    <cellStyle name="Обычный 14 3 2" xfId="58504" xr:uid="{00000000-0005-0000-0000-0000ADE40000}"/>
    <cellStyle name="Обычный 14 3 2 2" xfId="58505" xr:uid="{00000000-0005-0000-0000-0000AEE40000}"/>
    <cellStyle name="Обычный 14 3 2 2 2" xfId="58506" xr:uid="{00000000-0005-0000-0000-0000AFE40000}"/>
    <cellStyle name="Обычный 14 3 2 2 3" xfId="58507" xr:uid="{00000000-0005-0000-0000-0000B0E40000}"/>
    <cellStyle name="Обычный 14 3 2 3" xfId="58508" xr:uid="{00000000-0005-0000-0000-0000B1E40000}"/>
    <cellStyle name="Обычный 14 3 2 3 2" xfId="58509" xr:uid="{00000000-0005-0000-0000-0000B2E40000}"/>
    <cellStyle name="Обычный 14 3 2 3 3" xfId="58510" xr:uid="{00000000-0005-0000-0000-0000B3E40000}"/>
    <cellStyle name="Обычный 14 3 2 4" xfId="58511" xr:uid="{00000000-0005-0000-0000-0000B4E40000}"/>
    <cellStyle name="Обычный 14 3 2 5" xfId="58512" xr:uid="{00000000-0005-0000-0000-0000B5E40000}"/>
    <cellStyle name="Обычный 14 3 3" xfId="58513" xr:uid="{00000000-0005-0000-0000-0000B6E40000}"/>
    <cellStyle name="Обычный 14 3 3 2" xfId="58514" xr:uid="{00000000-0005-0000-0000-0000B7E40000}"/>
    <cellStyle name="Обычный 14 3 3 3" xfId="58515" xr:uid="{00000000-0005-0000-0000-0000B8E40000}"/>
    <cellStyle name="Обычный 14 3 4" xfId="58516" xr:uid="{00000000-0005-0000-0000-0000B9E40000}"/>
    <cellStyle name="Обычный 14 3 4 2" xfId="58517" xr:uid="{00000000-0005-0000-0000-0000BAE40000}"/>
    <cellStyle name="Обычный 14 3 4 3" xfId="58518" xr:uid="{00000000-0005-0000-0000-0000BBE40000}"/>
    <cellStyle name="Обычный 14 3 5" xfId="58519" xr:uid="{00000000-0005-0000-0000-0000BCE40000}"/>
    <cellStyle name="Обычный 14 3 6" xfId="58520" xr:uid="{00000000-0005-0000-0000-0000BDE40000}"/>
    <cellStyle name="Обычный 14 3_объемы 2018г111" xfId="58521" xr:uid="{00000000-0005-0000-0000-0000BEE40000}"/>
    <cellStyle name="Обычный 14 4" xfId="58522" xr:uid="{00000000-0005-0000-0000-0000BFE40000}"/>
    <cellStyle name="Обычный 14 4 2" xfId="58523" xr:uid="{00000000-0005-0000-0000-0000C0E40000}"/>
    <cellStyle name="Обычный 14 4 2 2" xfId="58524" xr:uid="{00000000-0005-0000-0000-0000C1E40000}"/>
    <cellStyle name="Обычный 14 4 2 3" xfId="58525" xr:uid="{00000000-0005-0000-0000-0000C2E40000}"/>
    <cellStyle name="Обычный 14 4 3" xfId="58526" xr:uid="{00000000-0005-0000-0000-0000C3E40000}"/>
    <cellStyle name="Обычный 14 4 3 2" xfId="58527" xr:uid="{00000000-0005-0000-0000-0000C4E40000}"/>
    <cellStyle name="Обычный 14 4 3 3" xfId="58528" xr:uid="{00000000-0005-0000-0000-0000C5E40000}"/>
    <cellStyle name="Обычный 14 4 4" xfId="58529" xr:uid="{00000000-0005-0000-0000-0000C6E40000}"/>
    <cellStyle name="Обычный 14 4 5" xfId="58530" xr:uid="{00000000-0005-0000-0000-0000C7E40000}"/>
    <cellStyle name="Обычный 14 5" xfId="58531" xr:uid="{00000000-0005-0000-0000-0000C8E40000}"/>
    <cellStyle name="Обычный 14 5 2" xfId="58532" xr:uid="{00000000-0005-0000-0000-0000C9E40000}"/>
    <cellStyle name="Обычный 14 5 2 2" xfId="58533" xr:uid="{00000000-0005-0000-0000-0000CAE40000}"/>
    <cellStyle name="Обычный 14 5 2 3" xfId="58534" xr:uid="{00000000-0005-0000-0000-0000CBE40000}"/>
    <cellStyle name="Обычный 14 5 3" xfId="58535" xr:uid="{00000000-0005-0000-0000-0000CCE40000}"/>
    <cellStyle name="Обычный 14 5 3 2" xfId="58536" xr:uid="{00000000-0005-0000-0000-0000CDE40000}"/>
    <cellStyle name="Обычный 14 5 3 3" xfId="58537" xr:uid="{00000000-0005-0000-0000-0000CEE40000}"/>
    <cellStyle name="Обычный 14 5 4" xfId="58538" xr:uid="{00000000-0005-0000-0000-0000CFE40000}"/>
    <cellStyle name="Обычный 14 5 5" xfId="58539" xr:uid="{00000000-0005-0000-0000-0000D0E40000}"/>
    <cellStyle name="Обычный 14 6" xfId="58540" xr:uid="{00000000-0005-0000-0000-0000D1E40000}"/>
    <cellStyle name="Обычный 14 6 2" xfId="58541" xr:uid="{00000000-0005-0000-0000-0000D2E40000}"/>
    <cellStyle name="Обычный 14 6 2 2" xfId="58542" xr:uid="{00000000-0005-0000-0000-0000D3E40000}"/>
    <cellStyle name="Обычный 14 6 2 3" xfId="58543" xr:uid="{00000000-0005-0000-0000-0000D4E40000}"/>
    <cellStyle name="Обычный 14 6 3" xfId="58544" xr:uid="{00000000-0005-0000-0000-0000D5E40000}"/>
    <cellStyle name="Обычный 14 6 3 2" xfId="58545" xr:uid="{00000000-0005-0000-0000-0000D6E40000}"/>
    <cellStyle name="Обычный 14 6 3 3" xfId="58546" xr:uid="{00000000-0005-0000-0000-0000D7E40000}"/>
    <cellStyle name="Обычный 14 6 4" xfId="58547" xr:uid="{00000000-0005-0000-0000-0000D8E40000}"/>
    <cellStyle name="Обычный 14 6 5" xfId="58548" xr:uid="{00000000-0005-0000-0000-0000D9E40000}"/>
    <cellStyle name="Обычный 14 7" xfId="58549" xr:uid="{00000000-0005-0000-0000-0000DAE40000}"/>
    <cellStyle name="Обычный 14 7 2" xfId="58550" xr:uid="{00000000-0005-0000-0000-0000DBE40000}"/>
    <cellStyle name="Обычный 14 7 2 2" xfId="58551" xr:uid="{00000000-0005-0000-0000-0000DCE40000}"/>
    <cellStyle name="Обычный 14 7 2 3" xfId="58552" xr:uid="{00000000-0005-0000-0000-0000DDE40000}"/>
    <cellStyle name="Обычный 14 7 3" xfId="58553" xr:uid="{00000000-0005-0000-0000-0000DEE40000}"/>
    <cellStyle name="Обычный 14 7 3 2" xfId="58554" xr:uid="{00000000-0005-0000-0000-0000DFE40000}"/>
    <cellStyle name="Обычный 14 7 3 3" xfId="58555" xr:uid="{00000000-0005-0000-0000-0000E0E40000}"/>
    <cellStyle name="Обычный 14 7 4" xfId="58556" xr:uid="{00000000-0005-0000-0000-0000E1E40000}"/>
    <cellStyle name="Обычный 14 7 5" xfId="58557" xr:uid="{00000000-0005-0000-0000-0000E2E40000}"/>
    <cellStyle name="Обычный 14 8" xfId="58558" xr:uid="{00000000-0005-0000-0000-0000E3E40000}"/>
    <cellStyle name="Обычный 14 8 2" xfId="58559" xr:uid="{00000000-0005-0000-0000-0000E4E40000}"/>
    <cellStyle name="Обычный 14 8 2 2" xfId="58560" xr:uid="{00000000-0005-0000-0000-0000E5E40000}"/>
    <cellStyle name="Обычный 14 8 2 3" xfId="58561" xr:uid="{00000000-0005-0000-0000-0000E6E40000}"/>
    <cellStyle name="Обычный 14 8 3" xfId="58562" xr:uid="{00000000-0005-0000-0000-0000E7E40000}"/>
    <cellStyle name="Обычный 14 8 3 2" xfId="58563" xr:uid="{00000000-0005-0000-0000-0000E8E40000}"/>
    <cellStyle name="Обычный 14 8 3 3" xfId="58564" xr:uid="{00000000-0005-0000-0000-0000E9E40000}"/>
    <cellStyle name="Обычный 14 8 4" xfId="58565" xr:uid="{00000000-0005-0000-0000-0000EAE40000}"/>
    <cellStyle name="Обычный 14 8 5" xfId="58566" xr:uid="{00000000-0005-0000-0000-0000EBE40000}"/>
    <cellStyle name="Обычный 14 9" xfId="58567" xr:uid="{00000000-0005-0000-0000-0000ECE40000}"/>
    <cellStyle name="Обычный 14 9 2" xfId="58568" xr:uid="{00000000-0005-0000-0000-0000EDE40000}"/>
    <cellStyle name="Обычный 14 9 2 2" xfId="58569" xr:uid="{00000000-0005-0000-0000-0000EEE40000}"/>
    <cellStyle name="Обычный 14 9 2 3" xfId="58570" xr:uid="{00000000-0005-0000-0000-0000EFE40000}"/>
    <cellStyle name="Обычный 14 9 3" xfId="58571" xr:uid="{00000000-0005-0000-0000-0000F0E40000}"/>
    <cellStyle name="Обычный 14 9 3 2" xfId="58572" xr:uid="{00000000-0005-0000-0000-0000F1E40000}"/>
    <cellStyle name="Обычный 14 9 3 3" xfId="58573" xr:uid="{00000000-0005-0000-0000-0000F2E40000}"/>
    <cellStyle name="Обычный 14 9 4" xfId="58574" xr:uid="{00000000-0005-0000-0000-0000F3E40000}"/>
    <cellStyle name="Обычный 14 9 5" xfId="58575" xr:uid="{00000000-0005-0000-0000-0000F4E40000}"/>
    <cellStyle name="Обычный 14_объемы 2018г111" xfId="58576" xr:uid="{00000000-0005-0000-0000-0000F5E40000}"/>
    <cellStyle name="Обычный 140" xfId="58577" xr:uid="{00000000-0005-0000-0000-0000F6E40000}"/>
    <cellStyle name="Обычный 140 2" xfId="58578" xr:uid="{00000000-0005-0000-0000-0000F7E40000}"/>
    <cellStyle name="Обычный 140 3" xfId="58579" xr:uid="{00000000-0005-0000-0000-0000F8E40000}"/>
    <cellStyle name="Обычный 141" xfId="58580" xr:uid="{00000000-0005-0000-0000-0000F9E40000}"/>
    <cellStyle name="Обычный 142" xfId="58581" xr:uid="{00000000-0005-0000-0000-0000FAE40000}"/>
    <cellStyle name="Обычный 143" xfId="58582" xr:uid="{00000000-0005-0000-0000-0000FBE40000}"/>
    <cellStyle name="Обычный 143 2" xfId="58583" xr:uid="{00000000-0005-0000-0000-0000FCE40000}"/>
    <cellStyle name="Обычный 144" xfId="58584" xr:uid="{00000000-0005-0000-0000-0000FDE40000}"/>
    <cellStyle name="Обычный 144 2" xfId="61298" xr:uid="{00000000-0005-0000-0000-0000FEE40000}"/>
    <cellStyle name="Обычный 144 2 2" xfId="61346" xr:uid="{00000000-0005-0000-0000-0000FFE40000}"/>
    <cellStyle name="Обычный 144 2 3" xfId="61359" xr:uid="{00000000-0005-0000-0000-000000E50000}"/>
    <cellStyle name="Обычный 144 2 4" xfId="61368" xr:uid="{00000000-0005-0000-0000-000001E50000}"/>
    <cellStyle name="Обычный 144 2 5" xfId="61400" xr:uid="{00000000-0005-0000-0000-000002E50000}"/>
    <cellStyle name="Обычный 144 2 6" xfId="61413" xr:uid="{00000000-0005-0000-0000-000003E50000}"/>
    <cellStyle name="Обычный 144 2 7" xfId="61422" xr:uid="{00000000-0005-0000-0000-000004E50000}"/>
    <cellStyle name="Обычный 144 2 8" xfId="61434" xr:uid="{00000000-0005-0000-0000-000005E50000}"/>
    <cellStyle name="Обычный 145" xfId="61300" xr:uid="{00000000-0005-0000-0000-000006E50000}"/>
    <cellStyle name="Обычный 146" xfId="61301" xr:uid="{00000000-0005-0000-0000-000007E50000}"/>
    <cellStyle name="Обычный 147" xfId="61312" xr:uid="{00000000-0005-0000-0000-000008E50000}"/>
    <cellStyle name="Обычный 148" xfId="61313" xr:uid="{00000000-0005-0000-0000-000009E50000}"/>
    <cellStyle name="Обычный 149" xfId="61314" xr:uid="{00000000-0005-0000-0000-00000AE50000}"/>
    <cellStyle name="Обычный 149 10" xfId="61371" xr:uid="{00000000-0005-0000-0000-00000BE50000}"/>
    <cellStyle name="Обычный 149 11" xfId="61388" xr:uid="{00000000-0005-0000-0000-00000CE50000}"/>
    <cellStyle name="Обычный 149 12" xfId="61391" xr:uid="{00000000-0005-0000-0000-00000DE50000}"/>
    <cellStyle name="Обычный 149 13" xfId="61401" xr:uid="{00000000-0005-0000-0000-00000EE50000}"/>
    <cellStyle name="Обычный 149 14" xfId="61403" xr:uid="{00000000-0005-0000-0000-00000FE50000}"/>
    <cellStyle name="Обычный 149 15" xfId="61424" xr:uid="{00000000-0005-0000-0000-000010E50000}"/>
    <cellStyle name="Обычный 149 16" xfId="61435" xr:uid="{00000000-0005-0000-0000-000011E50000}"/>
    <cellStyle name="Обычный 149 17" xfId="61436" xr:uid="{00000000-0005-0000-0000-000012E50000}"/>
    <cellStyle name="Обычный 149 18" xfId="61438" xr:uid="{00000000-0005-0000-0000-000013E50000}"/>
    <cellStyle name="Обычный 149 19" xfId="61453" xr:uid="{00000000-0005-0000-0000-000014E50000}"/>
    <cellStyle name="Обычный 149 2" xfId="61323" xr:uid="{00000000-0005-0000-0000-000015E50000}"/>
    <cellStyle name="Обычный 149 3" xfId="61324" xr:uid="{00000000-0005-0000-0000-000016E50000}"/>
    <cellStyle name="Обычный 149 4" xfId="61328" xr:uid="{00000000-0005-0000-0000-000017E50000}"/>
    <cellStyle name="Обычный 149 5" xfId="61340" xr:uid="{00000000-0005-0000-0000-000018E50000}"/>
    <cellStyle name="Обычный 149 6" xfId="61348" xr:uid="{00000000-0005-0000-0000-000019E50000}"/>
    <cellStyle name="Обычный 149 7" xfId="61351" xr:uid="{00000000-0005-0000-0000-00001AE50000}"/>
    <cellStyle name="Обычный 149 8" xfId="61352" xr:uid="{00000000-0005-0000-0000-00001BE50000}"/>
    <cellStyle name="Обычный 149 9" xfId="61370" xr:uid="{00000000-0005-0000-0000-00001CE50000}"/>
    <cellStyle name="Обычный 149 9 2" xfId="61372" xr:uid="{00000000-0005-0000-0000-00001DE50000}"/>
    <cellStyle name="Обычный 149 9 3" xfId="61389" xr:uid="{00000000-0005-0000-0000-00001EE50000}"/>
    <cellStyle name="Обычный 149 9 4" xfId="61402" xr:uid="{00000000-0005-0000-0000-00001FE50000}"/>
    <cellStyle name="Обычный 149 9 5" xfId="61404" xr:uid="{00000000-0005-0000-0000-000020E50000}"/>
    <cellStyle name="Обычный 149 9 6" xfId="61425" xr:uid="{00000000-0005-0000-0000-000021E50000}"/>
    <cellStyle name="Обычный 149 9 7" xfId="61437" xr:uid="{00000000-0005-0000-0000-000022E50000}"/>
    <cellStyle name="Обычный 149 9 8" xfId="61439" xr:uid="{00000000-0005-0000-0000-000023E50000}"/>
    <cellStyle name="Обычный 15" xfId="58585" xr:uid="{00000000-0005-0000-0000-000024E50000}"/>
    <cellStyle name="Обычный 15 10" xfId="58586" xr:uid="{00000000-0005-0000-0000-000025E50000}"/>
    <cellStyle name="Обычный 15 10 2" xfId="58587" xr:uid="{00000000-0005-0000-0000-000026E50000}"/>
    <cellStyle name="Обычный 15 10 2 2" xfId="58588" xr:uid="{00000000-0005-0000-0000-000027E50000}"/>
    <cellStyle name="Обычный 15 10 2 3" xfId="58589" xr:uid="{00000000-0005-0000-0000-000028E50000}"/>
    <cellStyle name="Обычный 15 10 3" xfId="58590" xr:uid="{00000000-0005-0000-0000-000029E50000}"/>
    <cellStyle name="Обычный 15 10 3 2" xfId="58591" xr:uid="{00000000-0005-0000-0000-00002AE50000}"/>
    <cellStyle name="Обычный 15 10 3 3" xfId="58592" xr:uid="{00000000-0005-0000-0000-00002BE50000}"/>
    <cellStyle name="Обычный 15 10 4" xfId="58593" xr:uid="{00000000-0005-0000-0000-00002CE50000}"/>
    <cellStyle name="Обычный 15 10 5" xfId="58594" xr:uid="{00000000-0005-0000-0000-00002DE50000}"/>
    <cellStyle name="Обычный 15 11" xfId="58595" xr:uid="{00000000-0005-0000-0000-00002EE50000}"/>
    <cellStyle name="Обычный 15 11 2" xfId="58596" xr:uid="{00000000-0005-0000-0000-00002FE50000}"/>
    <cellStyle name="Обычный 15 11 2 2" xfId="58597" xr:uid="{00000000-0005-0000-0000-000030E50000}"/>
    <cellStyle name="Обычный 15 11 2 3" xfId="58598" xr:uid="{00000000-0005-0000-0000-000031E50000}"/>
    <cellStyle name="Обычный 15 11 3" xfId="58599" xr:uid="{00000000-0005-0000-0000-000032E50000}"/>
    <cellStyle name="Обычный 15 11 3 2" xfId="58600" xr:uid="{00000000-0005-0000-0000-000033E50000}"/>
    <cellStyle name="Обычный 15 11 3 3" xfId="58601" xr:uid="{00000000-0005-0000-0000-000034E50000}"/>
    <cellStyle name="Обычный 15 11 4" xfId="58602" xr:uid="{00000000-0005-0000-0000-000035E50000}"/>
    <cellStyle name="Обычный 15 11 5" xfId="58603" xr:uid="{00000000-0005-0000-0000-000036E50000}"/>
    <cellStyle name="Обычный 15 12" xfId="58604" xr:uid="{00000000-0005-0000-0000-000037E50000}"/>
    <cellStyle name="Обычный 15 12 2" xfId="58605" xr:uid="{00000000-0005-0000-0000-000038E50000}"/>
    <cellStyle name="Обычный 15 12 2 2" xfId="58606" xr:uid="{00000000-0005-0000-0000-000039E50000}"/>
    <cellStyle name="Обычный 15 12 2 3" xfId="58607" xr:uid="{00000000-0005-0000-0000-00003AE50000}"/>
    <cellStyle name="Обычный 15 12 3" xfId="58608" xr:uid="{00000000-0005-0000-0000-00003BE50000}"/>
    <cellStyle name="Обычный 15 12 3 2" xfId="58609" xr:uid="{00000000-0005-0000-0000-00003CE50000}"/>
    <cellStyle name="Обычный 15 12 3 3" xfId="58610" xr:uid="{00000000-0005-0000-0000-00003DE50000}"/>
    <cellStyle name="Обычный 15 12 4" xfId="58611" xr:uid="{00000000-0005-0000-0000-00003EE50000}"/>
    <cellStyle name="Обычный 15 12 5" xfId="58612" xr:uid="{00000000-0005-0000-0000-00003FE50000}"/>
    <cellStyle name="Обычный 15 13" xfId="58613" xr:uid="{00000000-0005-0000-0000-000040E50000}"/>
    <cellStyle name="Обычный 15 13 2" xfId="58614" xr:uid="{00000000-0005-0000-0000-000041E50000}"/>
    <cellStyle name="Обычный 15 13 2 2" xfId="58615" xr:uid="{00000000-0005-0000-0000-000042E50000}"/>
    <cellStyle name="Обычный 15 13 2 3" xfId="58616" xr:uid="{00000000-0005-0000-0000-000043E50000}"/>
    <cellStyle name="Обычный 15 13 3" xfId="58617" xr:uid="{00000000-0005-0000-0000-000044E50000}"/>
    <cellStyle name="Обычный 15 13 3 2" xfId="58618" xr:uid="{00000000-0005-0000-0000-000045E50000}"/>
    <cellStyle name="Обычный 15 13 3 3" xfId="58619" xr:uid="{00000000-0005-0000-0000-000046E50000}"/>
    <cellStyle name="Обычный 15 13 4" xfId="58620" xr:uid="{00000000-0005-0000-0000-000047E50000}"/>
    <cellStyle name="Обычный 15 13 5" xfId="58621" xr:uid="{00000000-0005-0000-0000-000048E50000}"/>
    <cellStyle name="Обычный 15 14" xfId="58622" xr:uid="{00000000-0005-0000-0000-000049E50000}"/>
    <cellStyle name="Обычный 15 14 2" xfId="58623" xr:uid="{00000000-0005-0000-0000-00004AE50000}"/>
    <cellStyle name="Обычный 15 14 2 2" xfId="58624" xr:uid="{00000000-0005-0000-0000-00004BE50000}"/>
    <cellStyle name="Обычный 15 14 2 3" xfId="58625" xr:uid="{00000000-0005-0000-0000-00004CE50000}"/>
    <cellStyle name="Обычный 15 14 3" xfId="58626" xr:uid="{00000000-0005-0000-0000-00004DE50000}"/>
    <cellStyle name="Обычный 15 14 3 2" xfId="58627" xr:uid="{00000000-0005-0000-0000-00004EE50000}"/>
    <cellStyle name="Обычный 15 14 3 3" xfId="58628" xr:uid="{00000000-0005-0000-0000-00004FE50000}"/>
    <cellStyle name="Обычный 15 14 4" xfId="58629" xr:uid="{00000000-0005-0000-0000-000050E50000}"/>
    <cellStyle name="Обычный 15 14 5" xfId="58630" xr:uid="{00000000-0005-0000-0000-000051E50000}"/>
    <cellStyle name="Обычный 15 15" xfId="58631" xr:uid="{00000000-0005-0000-0000-000052E50000}"/>
    <cellStyle name="Обычный 15 15 2" xfId="58632" xr:uid="{00000000-0005-0000-0000-000053E50000}"/>
    <cellStyle name="Обычный 15 15 2 2" xfId="58633" xr:uid="{00000000-0005-0000-0000-000054E50000}"/>
    <cellStyle name="Обычный 15 15 2 3" xfId="58634" xr:uid="{00000000-0005-0000-0000-000055E50000}"/>
    <cellStyle name="Обычный 15 15 3" xfId="58635" xr:uid="{00000000-0005-0000-0000-000056E50000}"/>
    <cellStyle name="Обычный 15 15 3 2" xfId="58636" xr:uid="{00000000-0005-0000-0000-000057E50000}"/>
    <cellStyle name="Обычный 15 15 3 3" xfId="58637" xr:uid="{00000000-0005-0000-0000-000058E50000}"/>
    <cellStyle name="Обычный 15 15 4" xfId="58638" xr:uid="{00000000-0005-0000-0000-000059E50000}"/>
    <cellStyle name="Обычный 15 15 5" xfId="58639" xr:uid="{00000000-0005-0000-0000-00005AE50000}"/>
    <cellStyle name="Обычный 15 16" xfId="58640" xr:uid="{00000000-0005-0000-0000-00005BE50000}"/>
    <cellStyle name="Обычный 15 16 2" xfId="58641" xr:uid="{00000000-0005-0000-0000-00005CE50000}"/>
    <cellStyle name="Обычный 15 16 2 2" xfId="58642" xr:uid="{00000000-0005-0000-0000-00005DE50000}"/>
    <cellStyle name="Обычный 15 16 2 3" xfId="58643" xr:uid="{00000000-0005-0000-0000-00005EE50000}"/>
    <cellStyle name="Обычный 15 16 3" xfId="58644" xr:uid="{00000000-0005-0000-0000-00005FE50000}"/>
    <cellStyle name="Обычный 15 16 3 2" xfId="58645" xr:uid="{00000000-0005-0000-0000-000060E50000}"/>
    <cellStyle name="Обычный 15 16 3 3" xfId="58646" xr:uid="{00000000-0005-0000-0000-000061E50000}"/>
    <cellStyle name="Обычный 15 16 4" xfId="58647" xr:uid="{00000000-0005-0000-0000-000062E50000}"/>
    <cellStyle name="Обычный 15 16 5" xfId="58648" xr:uid="{00000000-0005-0000-0000-000063E50000}"/>
    <cellStyle name="Обычный 15 17" xfId="58649" xr:uid="{00000000-0005-0000-0000-000064E50000}"/>
    <cellStyle name="Обычный 15 17 2" xfId="58650" xr:uid="{00000000-0005-0000-0000-000065E50000}"/>
    <cellStyle name="Обычный 15 17 3" xfId="58651" xr:uid="{00000000-0005-0000-0000-000066E50000}"/>
    <cellStyle name="Обычный 15 18" xfId="58652" xr:uid="{00000000-0005-0000-0000-000067E50000}"/>
    <cellStyle name="Обычный 15 18 2" xfId="58653" xr:uid="{00000000-0005-0000-0000-000068E50000}"/>
    <cellStyle name="Обычный 15 18 3" xfId="58654" xr:uid="{00000000-0005-0000-0000-000069E50000}"/>
    <cellStyle name="Обычный 15 19" xfId="58655" xr:uid="{00000000-0005-0000-0000-00006AE50000}"/>
    <cellStyle name="Обычный 15 2" xfId="58656" xr:uid="{00000000-0005-0000-0000-00006BE50000}"/>
    <cellStyle name="Обычный 15 2 2" xfId="58657" xr:uid="{00000000-0005-0000-0000-00006CE50000}"/>
    <cellStyle name="Обычный 15 2 2 2" xfId="58658" xr:uid="{00000000-0005-0000-0000-00006DE50000}"/>
    <cellStyle name="Обычный 15 2 2 2 2" xfId="58659" xr:uid="{00000000-0005-0000-0000-00006EE50000}"/>
    <cellStyle name="Обычный 15 2 2 2 2 2" xfId="58660" xr:uid="{00000000-0005-0000-0000-00006FE50000}"/>
    <cellStyle name="Обычный 15 2 2 2 2 3" xfId="58661" xr:uid="{00000000-0005-0000-0000-000070E50000}"/>
    <cellStyle name="Обычный 15 2 2 2 3" xfId="58662" xr:uid="{00000000-0005-0000-0000-000071E50000}"/>
    <cellStyle name="Обычный 15 2 2 2 3 2" xfId="58663" xr:uid="{00000000-0005-0000-0000-000072E50000}"/>
    <cellStyle name="Обычный 15 2 2 2 3 3" xfId="58664" xr:uid="{00000000-0005-0000-0000-000073E50000}"/>
    <cellStyle name="Обычный 15 2 2 2 4" xfId="58665" xr:uid="{00000000-0005-0000-0000-000074E50000}"/>
    <cellStyle name="Обычный 15 2 2 2 5" xfId="58666" xr:uid="{00000000-0005-0000-0000-000075E50000}"/>
    <cellStyle name="Обычный 15 2 2 3" xfId="58667" xr:uid="{00000000-0005-0000-0000-000076E50000}"/>
    <cellStyle name="Обычный 15 2 2 3 2" xfId="58668" xr:uid="{00000000-0005-0000-0000-000077E50000}"/>
    <cellStyle name="Обычный 15 2 2 3 3" xfId="58669" xr:uid="{00000000-0005-0000-0000-000078E50000}"/>
    <cellStyle name="Обычный 15 2 2 4" xfId="58670" xr:uid="{00000000-0005-0000-0000-000079E50000}"/>
    <cellStyle name="Обычный 15 2 2 4 2" xfId="58671" xr:uid="{00000000-0005-0000-0000-00007AE50000}"/>
    <cellStyle name="Обычный 15 2 2 4 3" xfId="58672" xr:uid="{00000000-0005-0000-0000-00007BE50000}"/>
    <cellStyle name="Обычный 15 2 2 5" xfId="58673" xr:uid="{00000000-0005-0000-0000-00007CE50000}"/>
    <cellStyle name="Обычный 15 2 2 6" xfId="58674" xr:uid="{00000000-0005-0000-0000-00007DE50000}"/>
    <cellStyle name="Обычный 15 2 2_объемы 2018г111" xfId="58675" xr:uid="{00000000-0005-0000-0000-00007EE50000}"/>
    <cellStyle name="Обычный 15 2 3" xfId="58676" xr:uid="{00000000-0005-0000-0000-00007FE50000}"/>
    <cellStyle name="Обычный 15 2 3 2" xfId="58677" xr:uid="{00000000-0005-0000-0000-000080E50000}"/>
    <cellStyle name="Обычный 15 2 3 2 2" xfId="58678" xr:uid="{00000000-0005-0000-0000-000081E50000}"/>
    <cellStyle name="Обычный 15 2 3 2 3" xfId="58679" xr:uid="{00000000-0005-0000-0000-000082E50000}"/>
    <cellStyle name="Обычный 15 2 3 3" xfId="58680" xr:uid="{00000000-0005-0000-0000-000083E50000}"/>
    <cellStyle name="Обычный 15 2 3 3 2" xfId="58681" xr:uid="{00000000-0005-0000-0000-000084E50000}"/>
    <cellStyle name="Обычный 15 2 3 3 3" xfId="58682" xr:uid="{00000000-0005-0000-0000-000085E50000}"/>
    <cellStyle name="Обычный 15 2 3 4" xfId="58683" xr:uid="{00000000-0005-0000-0000-000086E50000}"/>
    <cellStyle name="Обычный 15 2 3 5" xfId="58684" xr:uid="{00000000-0005-0000-0000-000087E50000}"/>
    <cellStyle name="Обычный 15 2 4" xfId="58685" xr:uid="{00000000-0005-0000-0000-000088E50000}"/>
    <cellStyle name="Обычный 15 2 4 2" xfId="58686" xr:uid="{00000000-0005-0000-0000-000089E50000}"/>
    <cellStyle name="Обычный 15 2 4 3" xfId="58687" xr:uid="{00000000-0005-0000-0000-00008AE50000}"/>
    <cellStyle name="Обычный 15 2 4 4" xfId="4" xr:uid="{00000000-0005-0000-0000-00008BE50000}"/>
    <cellStyle name="Обычный 15 2 5" xfId="58688" xr:uid="{00000000-0005-0000-0000-00008CE50000}"/>
    <cellStyle name="Обычный 15 2 5 2" xfId="58689" xr:uid="{00000000-0005-0000-0000-00008DE50000}"/>
    <cellStyle name="Обычный 15 2 5 3" xfId="58690" xr:uid="{00000000-0005-0000-0000-00008EE50000}"/>
    <cellStyle name="Обычный 15 2 6" xfId="58691" xr:uid="{00000000-0005-0000-0000-00008FE50000}"/>
    <cellStyle name="Обычный 15 2 7" xfId="58692" xr:uid="{00000000-0005-0000-0000-000090E50000}"/>
    <cellStyle name="Обычный 15 2_объемы 2018г111" xfId="58693" xr:uid="{00000000-0005-0000-0000-000091E50000}"/>
    <cellStyle name="Обычный 15 20" xfId="58694" xr:uid="{00000000-0005-0000-0000-000092E50000}"/>
    <cellStyle name="Обычный 15 3" xfId="58695" xr:uid="{00000000-0005-0000-0000-000093E50000}"/>
    <cellStyle name="Обычный 15 3 2" xfId="58696" xr:uid="{00000000-0005-0000-0000-000094E50000}"/>
    <cellStyle name="Обычный 15 3 2 2" xfId="58697" xr:uid="{00000000-0005-0000-0000-000095E50000}"/>
    <cellStyle name="Обычный 15 3 2 2 2" xfId="58698" xr:uid="{00000000-0005-0000-0000-000096E50000}"/>
    <cellStyle name="Обычный 15 3 2 2 3" xfId="58699" xr:uid="{00000000-0005-0000-0000-000097E50000}"/>
    <cellStyle name="Обычный 15 3 2 3" xfId="58700" xr:uid="{00000000-0005-0000-0000-000098E50000}"/>
    <cellStyle name="Обычный 15 3 2 3 2" xfId="58701" xr:uid="{00000000-0005-0000-0000-000099E50000}"/>
    <cellStyle name="Обычный 15 3 2 3 3" xfId="58702" xr:uid="{00000000-0005-0000-0000-00009AE50000}"/>
    <cellStyle name="Обычный 15 3 2 4" xfId="58703" xr:uid="{00000000-0005-0000-0000-00009BE50000}"/>
    <cellStyle name="Обычный 15 3 2 5" xfId="58704" xr:uid="{00000000-0005-0000-0000-00009CE50000}"/>
    <cellStyle name="Обычный 15 3 3" xfId="58705" xr:uid="{00000000-0005-0000-0000-00009DE50000}"/>
    <cellStyle name="Обычный 15 3 3 2" xfId="58706" xr:uid="{00000000-0005-0000-0000-00009EE50000}"/>
    <cellStyle name="Обычный 15 3 3 3" xfId="58707" xr:uid="{00000000-0005-0000-0000-00009FE50000}"/>
    <cellStyle name="Обычный 15 3 4" xfId="58708" xr:uid="{00000000-0005-0000-0000-0000A0E50000}"/>
    <cellStyle name="Обычный 15 3 4 2" xfId="58709" xr:uid="{00000000-0005-0000-0000-0000A1E50000}"/>
    <cellStyle name="Обычный 15 3 4 3" xfId="58710" xr:uid="{00000000-0005-0000-0000-0000A2E50000}"/>
    <cellStyle name="Обычный 15 3 5" xfId="58711" xr:uid="{00000000-0005-0000-0000-0000A3E50000}"/>
    <cellStyle name="Обычный 15 3 6" xfId="58712" xr:uid="{00000000-0005-0000-0000-0000A4E50000}"/>
    <cellStyle name="Обычный 15 3_объемы 2018г111" xfId="58713" xr:uid="{00000000-0005-0000-0000-0000A5E50000}"/>
    <cellStyle name="Обычный 15 4" xfId="58714" xr:uid="{00000000-0005-0000-0000-0000A6E50000}"/>
    <cellStyle name="Обычный 15 4 2" xfId="58715" xr:uid="{00000000-0005-0000-0000-0000A7E50000}"/>
    <cellStyle name="Обычный 15 4 2 2" xfId="58716" xr:uid="{00000000-0005-0000-0000-0000A8E50000}"/>
    <cellStyle name="Обычный 15 4 2 3" xfId="58717" xr:uid="{00000000-0005-0000-0000-0000A9E50000}"/>
    <cellStyle name="Обычный 15 4 3" xfId="58718" xr:uid="{00000000-0005-0000-0000-0000AAE50000}"/>
    <cellStyle name="Обычный 15 4 3 2" xfId="58719" xr:uid="{00000000-0005-0000-0000-0000ABE50000}"/>
    <cellStyle name="Обычный 15 4 3 3" xfId="58720" xr:uid="{00000000-0005-0000-0000-0000ACE50000}"/>
    <cellStyle name="Обычный 15 4 4" xfId="58721" xr:uid="{00000000-0005-0000-0000-0000ADE50000}"/>
    <cellStyle name="Обычный 15 4 5" xfId="58722" xr:uid="{00000000-0005-0000-0000-0000AEE50000}"/>
    <cellStyle name="Обычный 15 5" xfId="58723" xr:uid="{00000000-0005-0000-0000-0000AFE50000}"/>
    <cellStyle name="Обычный 15 5 2" xfId="58724" xr:uid="{00000000-0005-0000-0000-0000B0E50000}"/>
    <cellStyle name="Обычный 15 5 2 2" xfId="58725" xr:uid="{00000000-0005-0000-0000-0000B1E50000}"/>
    <cellStyle name="Обычный 15 5 2 3" xfId="58726" xr:uid="{00000000-0005-0000-0000-0000B2E50000}"/>
    <cellStyle name="Обычный 15 5 3" xfId="58727" xr:uid="{00000000-0005-0000-0000-0000B3E50000}"/>
    <cellStyle name="Обычный 15 5 3 2" xfId="58728" xr:uid="{00000000-0005-0000-0000-0000B4E50000}"/>
    <cellStyle name="Обычный 15 5 3 3" xfId="58729" xr:uid="{00000000-0005-0000-0000-0000B5E50000}"/>
    <cellStyle name="Обычный 15 5 4" xfId="58730" xr:uid="{00000000-0005-0000-0000-0000B6E50000}"/>
    <cellStyle name="Обычный 15 5 5" xfId="58731" xr:uid="{00000000-0005-0000-0000-0000B7E50000}"/>
    <cellStyle name="Обычный 15 6" xfId="58732" xr:uid="{00000000-0005-0000-0000-0000B8E50000}"/>
    <cellStyle name="Обычный 15 6 2" xfId="58733" xr:uid="{00000000-0005-0000-0000-0000B9E50000}"/>
    <cellStyle name="Обычный 15 6 2 2" xfId="58734" xr:uid="{00000000-0005-0000-0000-0000BAE50000}"/>
    <cellStyle name="Обычный 15 6 2 3" xfId="58735" xr:uid="{00000000-0005-0000-0000-0000BBE50000}"/>
    <cellStyle name="Обычный 15 6 3" xfId="58736" xr:uid="{00000000-0005-0000-0000-0000BCE50000}"/>
    <cellStyle name="Обычный 15 6 3 2" xfId="58737" xr:uid="{00000000-0005-0000-0000-0000BDE50000}"/>
    <cellStyle name="Обычный 15 6 3 3" xfId="58738" xr:uid="{00000000-0005-0000-0000-0000BEE50000}"/>
    <cellStyle name="Обычный 15 6 4" xfId="58739" xr:uid="{00000000-0005-0000-0000-0000BFE50000}"/>
    <cellStyle name="Обычный 15 6 5" xfId="58740" xr:uid="{00000000-0005-0000-0000-0000C0E50000}"/>
    <cellStyle name="Обычный 15 7" xfId="58741" xr:uid="{00000000-0005-0000-0000-0000C1E50000}"/>
    <cellStyle name="Обычный 15 7 2" xfId="58742" xr:uid="{00000000-0005-0000-0000-0000C2E50000}"/>
    <cellStyle name="Обычный 15 7 2 2" xfId="58743" xr:uid="{00000000-0005-0000-0000-0000C3E50000}"/>
    <cellStyle name="Обычный 15 7 2 3" xfId="58744" xr:uid="{00000000-0005-0000-0000-0000C4E50000}"/>
    <cellStyle name="Обычный 15 7 3" xfId="58745" xr:uid="{00000000-0005-0000-0000-0000C5E50000}"/>
    <cellStyle name="Обычный 15 7 3 2" xfId="58746" xr:uid="{00000000-0005-0000-0000-0000C6E50000}"/>
    <cellStyle name="Обычный 15 7 3 3" xfId="58747" xr:uid="{00000000-0005-0000-0000-0000C7E50000}"/>
    <cellStyle name="Обычный 15 7 4" xfId="58748" xr:uid="{00000000-0005-0000-0000-0000C8E50000}"/>
    <cellStyle name="Обычный 15 7 5" xfId="58749" xr:uid="{00000000-0005-0000-0000-0000C9E50000}"/>
    <cellStyle name="Обычный 15 8" xfId="58750" xr:uid="{00000000-0005-0000-0000-0000CAE50000}"/>
    <cellStyle name="Обычный 15 8 2" xfId="58751" xr:uid="{00000000-0005-0000-0000-0000CBE50000}"/>
    <cellStyle name="Обычный 15 8 2 2" xfId="58752" xr:uid="{00000000-0005-0000-0000-0000CCE50000}"/>
    <cellStyle name="Обычный 15 8 2 3" xfId="58753" xr:uid="{00000000-0005-0000-0000-0000CDE50000}"/>
    <cellStyle name="Обычный 15 8 3" xfId="58754" xr:uid="{00000000-0005-0000-0000-0000CEE50000}"/>
    <cellStyle name="Обычный 15 8 3 2" xfId="58755" xr:uid="{00000000-0005-0000-0000-0000CFE50000}"/>
    <cellStyle name="Обычный 15 8 3 3" xfId="58756" xr:uid="{00000000-0005-0000-0000-0000D0E50000}"/>
    <cellStyle name="Обычный 15 8 4" xfId="58757" xr:uid="{00000000-0005-0000-0000-0000D1E50000}"/>
    <cellStyle name="Обычный 15 8 5" xfId="58758" xr:uid="{00000000-0005-0000-0000-0000D2E50000}"/>
    <cellStyle name="Обычный 15 9" xfId="58759" xr:uid="{00000000-0005-0000-0000-0000D3E50000}"/>
    <cellStyle name="Обычный 15 9 2" xfId="58760" xr:uid="{00000000-0005-0000-0000-0000D4E50000}"/>
    <cellStyle name="Обычный 15 9 2 2" xfId="58761" xr:uid="{00000000-0005-0000-0000-0000D5E50000}"/>
    <cellStyle name="Обычный 15 9 2 3" xfId="58762" xr:uid="{00000000-0005-0000-0000-0000D6E50000}"/>
    <cellStyle name="Обычный 15 9 3" xfId="58763" xr:uid="{00000000-0005-0000-0000-0000D7E50000}"/>
    <cellStyle name="Обычный 15 9 3 2" xfId="58764" xr:uid="{00000000-0005-0000-0000-0000D8E50000}"/>
    <cellStyle name="Обычный 15 9 3 3" xfId="58765" xr:uid="{00000000-0005-0000-0000-0000D9E50000}"/>
    <cellStyle name="Обычный 15 9 4" xfId="58766" xr:uid="{00000000-0005-0000-0000-0000DAE50000}"/>
    <cellStyle name="Обычный 15 9 5" xfId="58767" xr:uid="{00000000-0005-0000-0000-0000DBE50000}"/>
    <cellStyle name="Обычный 15_объемы 2018г111" xfId="58768" xr:uid="{00000000-0005-0000-0000-0000DCE50000}"/>
    <cellStyle name="Обычный 150" xfId="61317" xr:uid="{00000000-0005-0000-0000-0000DDE50000}"/>
    <cellStyle name="Обычный 150 2" xfId="61329" xr:uid="{00000000-0005-0000-0000-0000DEE50000}"/>
    <cellStyle name="Обычный 150 3" xfId="61451" xr:uid="{00000000-0005-0000-0000-0000DFE50000}"/>
    <cellStyle name="Обычный 151" xfId="61322" xr:uid="{00000000-0005-0000-0000-0000E0E50000}"/>
    <cellStyle name="Обычный 152" xfId="61347" xr:uid="{00000000-0005-0000-0000-0000E1E50000}"/>
    <cellStyle name="Обычный 153" xfId="61448" xr:uid="{00000000-0005-0000-0000-0000E2E50000}"/>
    <cellStyle name="Обычный 16" xfId="58769" xr:uid="{00000000-0005-0000-0000-0000E3E50000}"/>
    <cellStyle name="Обычный 16 2" xfId="58770" xr:uid="{00000000-0005-0000-0000-0000E4E50000}"/>
    <cellStyle name="Обычный 17" xfId="58771" xr:uid="{00000000-0005-0000-0000-0000E5E50000}"/>
    <cellStyle name="Обычный 17 2" xfId="58772" xr:uid="{00000000-0005-0000-0000-0000E6E50000}"/>
    <cellStyle name="Обычный 17 3" xfId="61302" xr:uid="{00000000-0005-0000-0000-0000E7E50000}"/>
    <cellStyle name="Обычный 18" xfId="58773" xr:uid="{00000000-0005-0000-0000-0000E8E50000}"/>
    <cellStyle name="Обычный 18 2" xfId="58774" xr:uid="{00000000-0005-0000-0000-0000E9E50000}"/>
    <cellStyle name="Обычный 18 2 2" xfId="58775" xr:uid="{00000000-0005-0000-0000-0000EAE50000}"/>
    <cellStyle name="Обычный 18 2 2 2" xfId="58776" xr:uid="{00000000-0005-0000-0000-0000EBE50000}"/>
    <cellStyle name="Обычный 18 2 2 2 2" xfId="58777" xr:uid="{00000000-0005-0000-0000-0000ECE50000}"/>
    <cellStyle name="Обычный 18 2 2 2 3" xfId="58778" xr:uid="{00000000-0005-0000-0000-0000EDE50000}"/>
    <cellStyle name="Обычный 18 2 2 3" xfId="58779" xr:uid="{00000000-0005-0000-0000-0000EEE50000}"/>
    <cellStyle name="Обычный 18 2 2 3 2" xfId="58780" xr:uid="{00000000-0005-0000-0000-0000EFE50000}"/>
    <cellStyle name="Обычный 18 2 2 3 3" xfId="58781" xr:uid="{00000000-0005-0000-0000-0000F0E50000}"/>
    <cellStyle name="Обычный 18 2 2 4" xfId="58782" xr:uid="{00000000-0005-0000-0000-0000F1E50000}"/>
    <cellStyle name="Обычный 18 2 2 5" xfId="58783" xr:uid="{00000000-0005-0000-0000-0000F2E50000}"/>
    <cellStyle name="Обычный 18 2 3" xfId="58784" xr:uid="{00000000-0005-0000-0000-0000F3E50000}"/>
    <cellStyle name="Обычный 18 2 3 2" xfId="58785" xr:uid="{00000000-0005-0000-0000-0000F4E50000}"/>
    <cellStyle name="Обычный 18 2 3 3" xfId="58786" xr:uid="{00000000-0005-0000-0000-0000F5E50000}"/>
    <cellStyle name="Обычный 18 2 4" xfId="58787" xr:uid="{00000000-0005-0000-0000-0000F6E50000}"/>
    <cellStyle name="Обычный 18 2 4 2" xfId="58788" xr:uid="{00000000-0005-0000-0000-0000F7E50000}"/>
    <cellStyle name="Обычный 18 2 4 3" xfId="58789" xr:uid="{00000000-0005-0000-0000-0000F8E50000}"/>
    <cellStyle name="Обычный 18 2 5" xfId="58790" xr:uid="{00000000-0005-0000-0000-0000F9E50000}"/>
    <cellStyle name="Обычный 18 2 6" xfId="58791" xr:uid="{00000000-0005-0000-0000-0000FAE50000}"/>
    <cellStyle name="Обычный 18 2_объемы 2018г111" xfId="58792" xr:uid="{00000000-0005-0000-0000-0000FBE50000}"/>
    <cellStyle name="Обычный 18 3" xfId="58793" xr:uid="{00000000-0005-0000-0000-0000FCE50000}"/>
    <cellStyle name="Обычный 18 3 2" xfId="58794" xr:uid="{00000000-0005-0000-0000-0000FDE50000}"/>
    <cellStyle name="Обычный 18 3 2 2" xfId="58795" xr:uid="{00000000-0005-0000-0000-0000FEE50000}"/>
    <cellStyle name="Обычный 18 3 2 3" xfId="58796" xr:uid="{00000000-0005-0000-0000-0000FFE50000}"/>
    <cellStyle name="Обычный 18 3 3" xfId="58797" xr:uid="{00000000-0005-0000-0000-000000E60000}"/>
    <cellStyle name="Обычный 18 3 3 2" xfId="58798" xr:uid="{00000000-0005-0000-0000-000001E60000}"/>
    <cellStyle name="Обычный 18 3 3 3" xfId="58799" xr:uid="{00000000-0005-0000-0000-000002E60000}"/>
    <cellStyle name="Обычный 18 3 4" xfId="58800" xr:uid="{00000000-0005-0000-0000-000003E60000}"/>
    <cellStyle name="Обычный 18 3 5" xfId="58801" xr:uid="{00000000-0005-0000-0000-000004E60000}"/>
    <cellStyle name="Обычный 18 4" xfId="58802" xr:uid="{00000000-0005-0000-0000-000005E60000}"/>
    <cellStyle name="Обычный 18 4 2" xfId="58803" xr:uid="{00000000-0005-0000-0000-000006E60000}"/>
    <cellStyle name="Обычный 18 4 3" xfId="58804" xr:uid="{00000000-0005-0000-0000-000007E60000}"/>
    <cellStyle name="Обычный 18 5" xfId="58805" xr:uid="{00000000-0005-0000-0000-000008E60000}"/>
    <cellStyle name="Обычный 18 5 2" xfId="58806" xr:uid="{00000000-0005-0000-0000-000009E60000}"/>
    <cellStyle name="Обычный 18 5 3" xfId="58807" xr:uid="{00000000-0005-0000-0000-00000AE60000}"/>
    <cellStyle name="Обычный 18 6" xfId="58808" xr:uid="{00000000-0005-0000-0000-00000BE60000}"/>
    <cellStyle name="Обычный 18 7" xfId="58809" xr:uid="{00000000-0005-0000-0000-00000CE60000}"/>
    <cellStyle name="Обычный 18_объемы 2018г111" xfId="58810" xr:uid="{00000000-0005-0000-0000-00000DE60000}"/>
    <cellStyle name="Обычный 19" xfId="58811" xr:uid="{00000000-0005-0000-0000-00000EE60000}"/>
    <cellStyle name="Обычный 19 2" xfId="58812" xr:uid="{00000000-0005-0000-0000-00000FE60000}"/>
    <cellStyle name="Обычный 19 2 2" xfId="58813" xr:uid="{00000000-0005-0000-0000-000010E60000}"/>
    <cellStyle name="Обычный 19 2 2 2" xfId="58814" xr:uid="{00000000-0005-0000-0000-000011E60000}"/>
    <cellStyle name="Обычный 19 2 2 2 2" xfId="58815" xr:uid="{00000000-0005-0000-0000-000012E60000}"/>
    <cellStyle name="Обычный 19 2 2 2 3" xfId="58816" xr:uid="{00000000-0005-0000-0000-000013E60000}"/>
    <cellStyle name="Обычный 19 2 2 3" xfId="58817" xr:uid="{00000000-0005-0000-0000-000014E60000}"/>
    <cellStyle name="Обычный 19 2 2 3 2" xfId="58818" xr:uid="{00000000-0005-0000-0000-000015E60000}"/>
    <cellStyle name="Обычный 19 2 2 3 3" xfId="58819" xr:uid="{00000000-0005-0000-0000-000016E60000}"/>
    <cellStyle name="Обычный 19 2 2 4" xfId="58820" xr:uid="{00000000-0005-0000-0000-000017E60000}"/>
    <cellStyle name="Обычный 19 2 2 5" xfId="58821" xr:uid="{00000000-0005-0000-0000-000018E60000}"/>
    <cellStyle name="Обычный 19 2 3" xfId="58822" xr:uid="{00000000-0005-0000-0000-000019E60000}"/>
    <cellStyle name="Обычный 19 2 3 2" xfId="58823" xr:uid="{00000000-0005-0000-0000-00001AE60000}"/>
    <cellStyle name="Обычный 19 2 3 3" xfId="58824" xr:uid="{00000000-0005-0000-0000-00001BE60000}"/>
    <cellStyle name="Обычный 19 2 4" xfId="58825" xr:uid="{00000000-0005-0000-0000-00001CE60000}"/>
    <cellStyle name="Обычный 19 2 4 2" xfId="58826" xr:uid="{00000000-0005-0000-0000-00001DE60000}"/>
    <cellStyle name="Обычный 19 2 4 3" xfId="58827" xr:uid="{00000000-0005-0000-0000-00001EE60000}"/>
    <cellStyle name="Обычный 19 2 5" xfId="58828" xr:uid="{00000000-0005-0000-0000-00001FE60000}"/>
    <cellStyle name="Обычный 19 2 6" xfId="58829" xr:uid="{00000000-0005-0000-0000-000020E60000}"/>
    <cellStyle name="Обычный 19 2_объемы 2018г111" xfId="58830" xr:uid="{00000000-0005-0000-0000-000021E60000}"/>
    <cellStyle name="Обычный 19 3" xfId="58831" xr:uid="{00000000-0005-0000-0000-000022E60000}"/>
    <cellStyle name="Обычный 19 3 2" xfId="58832" xr:uid="{00000000-0005-0000-0000-000023E60000}"/>
    <cellStyle name="Обычный 19 3 2 2" xfId="58833" xr:uid="{00000000-0005-0000-0000-000024E60000}"/>
    <cellStyle name="Обычный 19 3 2 3" xfId="58834" xr:uid="{00000000-0005-0000-0000-000025E60000}"/>
    <cellStyle name="Обычный 19 3 3" xfId="58835" xr:uid="{00000000-0005-0000-0000-000026E60000}"/>
    <cellStyle name="Обычный 19 3 3 2" xfId="58836" xr:uid="{00000000-0005-0000-0000-000027E60000}"/>
    <cellStyle name="Обычный 19 3 3 3" xfId="58837" xr:uid="{00000000-0005-0000-0000-000028E60000}"/>
    <cellStyle name="Обычный 19 3 4" xfId="58838" xr:uid="{00000000-0005-0000-0000-000029E60000}"/>
    <cellStyle name="Обычный 19 3 5" xfId="58839" xr:uid="{00000000-0005-0000-0000-00002AE60000}"/>
    <cellStyle name="Обычный 19 4" xfId="58840" xr:uid="{00000000-0005-0000-0000-00002BE60000}"/>
    <cellStyle name="Обычный 19 4 2" xfId="58841" xr:uid="{00000000-0005-0000-0000-00002CE60000}"/>
    <cellStyle name="Обычный 19 4 2 2" xfId="58842" xr:uid="{00000000-0005-0000-0000-00002DE60000}"/>
    <cellStyle name="Обычный 19 4 2 3" xfId="58843" xr:uid="{00000000-0005-0000-0000-00002EE60000}"/>
    <cellStyle name="Обычный 19 4 3" xfId="58844" xr:uid="{00000000-0005-0000-0000-00002FE60000}"/>
    <cellStyle name="Обычный 19 4 3 2" xfId="58845" xr:uid="{00000000-0005-0000-0000-000030E60000}"/>
    <cellStyle name="Обычный 19 4 3 3" xfId="58846" xr:uid="{00000000-0005-0000-0000-000031E60000}"/>
    <cellStyle name="Обычный 19 4 4" xfId="58847" xr:uid="{00000000-0005-0000-0000-000032E60000}"/>
    <cellStyle name="Обычный 19 4 5" xfId="58848" xr:uid="{00000000-0005-0000-0000-000033E60000}"/>
    <cellStyle name="Обычный 19 5" xfId="58849" xr:uid="{00000000-0005-0000-0000-000034E60000}"/>
    <cellStyle name="Обычный 19 5 2" xfId="58850" xr:uid="{00000000-0005-0000-0000-000035E60000}"/>
    <cellStyle name="Обычный 19 5 2 2" xfId="58851" xr:uid="{00000000-0005-0000-0000-000036E60000}"/>
    <cellStyle name="Обычный 19 5 2 3" xfId="58852" xr:uid="{00000000-0005-0000-0000-000037E60000}"/>
    <cellStyle name="Обычный 19 5 3" xfId="58853" xr:uid="{00000000-0005-0000-0000-000038E60000}"/>
    <cellStyle name="Обычный 19 5 3 2" xfId="58854" xr:uid="{00000000-0005-0000-0000-000039E60000}"/>
    <cellStyle name="Обычный 19 5 3 3" xfId="58855" xr:uid="{00000000-0005-0000-0000-00003AE60000}"/>
    <cellStyle name="Обычный 19 5 4" xfId="58856" xr:uid="{00000000-0005-0000-0000-00003BE60000}"/>
    <cellStyle name="Обычный 19 5 5" xfId="58857" xr:uid="{00000000-0005-0000-0000-00003CE60000}"/>
    <cellStyle name="Обычный 19 6" xfId="58858" xr:uid="{00000000-0005-0000-0000-00003DE60000}"/>
    <cellStyle name="Обычный 19 6 2" xfId="58859" xr:uid="{00000000-0005-0000-0000-00003EE60000}"/>
    <cellStyle name="Обычный 19 6 3" xfId="58860" xr:uid="{00000000-0005-0000-0000-00003FE60000}"/>
    <cellStyle name="Обычный 19 7" xfId="58861" xr:uid="{00000000-0005-0000-0000-000040E60000}"/>
    <cellStyle name="Обычный 19 7 2" xfId="58862" xr:uid="{00000000-0005-0000-0000-000041E60000}"/>
    <cellStyle name="Обычный 19 7 3" xfId="58863" xr:uid="{00000000-0005-0000-0000-000042E60000}"/>
    <cellStyle name="Обычный 19 8" xfId="58864" xr:uid="{00000000-0005-0000-0000-000043E60000}"/>
    <cellStyle name="Обычный 19 9" xfId="58865" xr:uid="{00000000-0005-0000-0000-000044E60000}"/>
    <cellStyle name="Обычный 19_объемы 2018г111" xfId="58866" xr:uid="{00000000-0005-0000-0000-000045E60000}"/>
    <cellStyle name="Обычный 2" xfId="3" xr:uid="{00000000-0005-0000-0000-000046E60000}"/>
    <cellStyle name="Обычный 2 10" xfId="58867" xr:uid="{00000000-0005-0000-0000-000047E60000}"/>
    <cellStyle name="Обычный 2 100" xfId="58868" xr:uid="{00000000-0005-0000-0000-000048E60000}"/>
    <cellStyle name="Обычный 2 101" xfId="58869" xr:uid="{00000000-0005-0000-0000-000049E60000}"/>
    <cellStyle name="Обычный 2 102" xfId="58870" xr:uid="{00000000-0005-0000-0000-00004AE60000}"/>
    <cellStyle name="Обычный 2 103" xfId="58871" xr:uid="{00000000-0005-0000-0000-00004BE60000}"/>
    <cellStyle name="Обычный 2 104" xfId="58872" xr:uid="{00000000-0005-0000-0000-00004CE60000}"/>
    <cellStyle name="Обычный 2 105" xfId="58873" xr:uid="{00000000-0005-0000-0000-00004DE60000}"/>
    <cellStyle name="Обычный 2 106" xfId="58874" xr:uid="{00000000-0005-0000-0000-00004EE60000}"/>
    <cellStyle name="Обычный 2 107" xfId="58875" xr:uid="{00000000-0005-0000-0000-00004FE60000}"/>
    <cellStyle name="Обычный 2 108" xfId="58876" xr:uid="{00000000-0005-0000-0000-000050E60000}"/>
    <cellStyle name="Обычный 2 109" xfId="58877" xr:uid="{00000000-0005-0000-0000-000051E60000}"/>
    <cellStyle name="Обычный 2 11" xfId="58878" xr:uid="{00000000-0005-0000-0000-000052E60000}"/>
    <cellStyle name="Обычный 2 110" xfId="58879" xr:uid="{00000000-0005-0000-0000-000053E60000}"/>
    <cellStyle name="Обычный 2 111" xfId="58880" xr:uid="{00000000-0005-0000-0000-000054E60000}"/>
    <cellStyle name="Обычный 2 112" xfId="58881" xr:uid="{00000000-0005-0000-0000-000055E60000}"/>
    <cellStyle name="Обычный 2 113" xfId="58882" xr:uid="{00000000-0005-0000-0000-000056E60000}"/>
    <cellStyle name="Обычный 2 114" xfId="58883" xr:uid="{00000000-0005-0000-0000-000057E60000}"/>
    <cellStyle name="Обычный 2 115" xfId="58884" xr:uid="{00000000-0005-0000-0000-000058E60000}"/>
    <cellStyle name="Обычный 2 116" xfId="58885" xr:uid="{00000000-0005-0000-0000-000059E60000}"/>
    <cellStyle name="Обычный 2 117" xfId="58886" xr:uid="{00000000-0005-0000-0000-00005AE60000}"/>
    <cellStyle name="Обычный 2 118" xfId="58887" xr:uid="{00000000-0005-0000-0000-00005BE60000}"/>
    <cellStyle name="Обычный 2 119" xfId="58888" xr:uid="{00000000-0005-0000-0000-00005CE60000}"/>
    <cellStyle name="Обычный 2 12" xfId="58889" xr:uid="{00000000-0005-0000-0000-00005DE60000}"/>
    <cellStyle name="Обычный 2 120" xfId="58890" xr:uid="{00000000-0005-0000-0000-00005EE60000}"/>
    <cellStyle name="Обычный 2 121" xfId="58891" xr:uid="{00000000-0005-0000-0000-00005FE60000}"/>
    <cellStyle name="Обычный 2 122" xfId="58892" xr:uid="{00000000-0005-0000-0000-000060E60000}"/>
    <cellStyle name="Обычный 2 123" xfId="58893" xr:uid="{00000000-0005-0000-0000-000061E60000}"/>
    <cellStyle name="Обычный 2 124" xfId="58894" xr:uid="{00000000-0005-0000-0000-000062E60000}"/>
    <cellStyle name="Обычный 2 125" xfId="58895" xr:uid="{00000000-0005-0000-0000-000063E60000}"/>
    <cellStyle name="Обычный 2 126" xfId="58896" xr:uid="{00000000-0005-0000-0000-000064E60000}"/>
    <cellStyle name="Обычный 2 127" xfId="58897" xr:uid="{00000000-0005-0000-0000-000065E60000}"/>
    <cellStyle name="Обычный 2 128" xfId="58898" xr:uid="{00000000-0005-0000-0000-000066E60000}"/>
    <cellStyle name="Обычный 2 129" xfId="58899" xr:uid="{00000000-0005-0000-0000-000067E60000}"/>
    <cellStyle name="Обычный 2 13" xfId="58900" xr:uid="{00000000-0005-0000-0000-000068E60000}"/>
    <cellStyle name="Обычный 2 130" xfId="58901" xr:uid="{00000000-0005-0000-0000-000069E60000}"/>
    <cellStyle name="Обычный 2 131" xfId="58902" xr:uid="{00000000-0005-0000-0000-00006AE60000}"/>
    <cellStyle name="Обычный 2 132" xfId="58903" xr:uid="{00000000-0005-0000-0000-00006BE60000}"/>
    <cellStyle name="Обычный 2 133" xfId="58904" xr:uid="{00000000-0005-0000-0000-00006CE60000}"/>
    <cellStyle name="Обычный 2 134" xfId="58905" xr:uid="{00000000-0005-0000-0000-00006DE60000}"/>
    <cellStyle name="Обычный 2 135" xfId="58906" xr:uid="{00000000-0005-0000-0000-00006EE60000}"/>
    <cellStyle name="Обычный 2 136" xfId="1" xr:uid="{00000000-0005-0000-0000-00006FE60000}"/>
    <cellStyle name="Обычный 2 136 10" xfId="58907" xr:uid="{00000000-0005-0000-0000-000070E60000}"/>
    <cellStyle name="Обычный 2 136 11" xfId="58908" xr:uid="{00000000-0005-0000-0000-000071E60000}"/>
    <cellStyle name="Обычный 2 136 11 7" xfId="61295" xr:uid="{00000000-0005-0000-0000-000072E60000}"/>
    <cellStyle name="Обычный 2 136 11 7 10" xfId="61443" xr:uid="{00000000-0005-0000-0000-000073E60000}"/>
    <cellStyle name="Обычный 2 136 11 7 2" xfId="61303" xr:uid="{00000000-0005-0000-0000-000074E60000}"/>
    <cellStyle name="Обычный 2 136 11 7 3" xfId="61304" xr:uid="{00000000-0005-0000-0000-000075E60000}"/>
    <cellStyle name="Обычный 2 136 11 7 4" xfId="61325" xr:uid="{00000000-0005-0000-0000-000076E60000}"/>
    <cellStyle name="Обычный 2 136 11 7 4 10" xfId="61419" xr:uid="{00000000-0005-0000-0000-000077E60000}"/>
    <cellStyle name="Обычный 2 136 11 7 4 11" xfId="61431" xr:uid="{00000000-0005-0000-0000-000078E60000}"/>
    <cellStyle name="Обычный 2 136 11 7 4 12" xfId="61445" xr:uid="{00000000-0005-0000-0000-000079E60000}"/>
    <cellStyle name="Обычный 2 136 11 7 4 2" xfId="61336" xr:uid="{00000000-0005-0000-0000-00007AE60000}"/>
    <cellStyle name="Обычный 2 136 11 7 4 3" xfId="61338" xr:uid="{00000000-0005-0000-0000-00007BE60000}"/>
    <cellStyle name="Обычный 2 136 11 7 4 3 10" xfId="61447" xr:uid="{00000000-0005-0000-0000-00007CE60000}"/>
    <cellStyle name="Обычный 2 136 11 7 4 3 2" xfId="61358" xr:uid="{00000000-0005-0000-0000-00007DE60000}"/>
    <cellStyle name="Обычный 2 136 11 7 4 3 3" xfId="61367" xr:uid="{00000000-0005-0000-0000-00007EE60000}"/>
    <cellStyle name="Обычный 2 136 11 7 4 3 4" xfId="61378" xr:uid="{00000000-0005-0000-0000-00007FE60000}"/>
    <cellStyle name="Обычный 2 136 11 7 4 3 5" xfId="61387" xr:uid="{00000000-0005-0000-0000-000080E60000}"/>
    <cellStyle name="Обычный 2 136 11 7 4 3 6" xfId="61399" xr:uid="{00000000-0005-0000-0000-000081E60000}"/>
    <cellStyle name="Обычный 2 136 11 7 4 3 7" xfId="61412" xr:uid="{00000000-0005-0000-0000-000082E60000}"/>
    <cellStyle name="Обычный 2 136 11 7 4 3 8" xfId="61421" xr:uid="{00000000-0005-0000-0000-000083E60000}"/>
    <cellStyle name="Обычный 2 136 11 7 4 3 9" xfId="61433" xr:uid="{00000000-0005-0000-0000-000084E60000}"/>
    <cellStyle name="Обычный 2 136 11 7 4 4" xfId="61356" xr:uid="{00000000-0005-0000-0000-000085E60000}"/>
    <cellStyle name="Обычный 2 136 11 7 4 5" xfId="61365" xr:uid="{00000000-0005-0000-0000-000086E60000}"/>
    <cellStyle name="Обычный 2 136 11 7 4 6" xfId="61376" xr:uid="{00000000-0005-0000-0000-000087E60000}"/>
    <cellStyle name="Обычный 2 136 11 7 4 7" xfId="61385" xr:uid="{00000000-0005-0000-0000-000088E60000}"/>
    <cellStyle name="Обычный 2 136 11 7 4 8" xfId="61397" xr:uid="{00000000-0005-0000-0000-000089E60000}"/>
    <cellStyle name="Обычный 2 136 11 7 4 9" xfId="61410" xr:uid="{00000000-0005-0000-0000-00008AE60000}"/>
    <cellStyle name="Обычный 2 136 11 7 5" xfId="61383" xr:uid="{00000000-0005-0000-0000-00008BE60000}"/>
    <cellStyle name="Обычный 2 136 11 7 6" xfId="61395" xr:uid="{00000000-0005-0000-0000-00008CE60000}"/>
    <cellStyle name="Обычный 2 136 11 7 7" xfId="61408" xr:uid="{00000000-0005-0000-0000-00008DE60000}"/>
    <cellStyle name="Обычный 2 136 11 7 8" xfId="61417" xr:uid="{00000000-0005-0000-0000-00008EE60000}"/>
    <cellStyle name="Обычный 2 136 11 7 9" xfId="61429" xr:uid="{00000000-0005-0000-0000-00008FE60000}"/>
    <cellStyle name="Обычный 2 136 12" xfId="58909" xr:uid="{00000000-0005-0000-0000-000090E60000}"/>
    <cellStyle name="Обычный 2 136 13" xfId="58910" xr:uid="{00000000-0005-0000-0000-000091E60000}"/>
    <cellStyle name="Обычный 2 136 14" xfId="61334" xr:uid="{00000000-0005-0000-0000-000092E60000}"/>
    <cellStyle name="Обычный 2 136 15" xfId="61331" xr:uid="{00000000-0005-0000-0000-000093E60000}"/>
    <cellStyle name="Обычный 2 136 15 10" xfId="61426" xr:uid="{00000000-0005-0000-0000-000094E60000}"/>
    <cellStyle name="Обычный 2 136 15 11" xfId="61440" xr:uid="{00000000-0005-0000-0000-000095E60000}"/>
    <cellStyle name="Обычный 2 136 15 2" xfId="61343" xr:uid="{00000000-0005-0000-0000-000096E60000}"/>
    <cellStyle name="Обычный 2 136 15 3" xfId="61353" xr:uid="{00000000-0005-0000-0000-000097E60000}"/>
    <cellStyle name="Обычный 2 136 15 4" xfId="61362" xr:uid="{00000000-0005-0000-0000-000098E60000}"/>
    <cellStyle name="Обычный 2 136 15 5" xfId="61373" xr:uid="{00000000-0005-0000-0000-000099E60000}"/>
    <cellStyle name="Обычный 2 136 15 6" xfId="61380" xr:uid="{00000000-0005-0000-0000-00009AE60000}"/>
    <cellStyle name="Обычный 2 136 15 7" xfId="61392" xr:uid="{00000000-0005-0000-0000-00009BE60000}"/>
    <cellStyle name="Обычный 2 136 15 8" xfId="61405" xr:uid="{00000000-0005-0000-0000-00009CE60000}"/>
    <cellStyle name="Обычный 2 136 15 9" xfId="61414" xr:uid="{00000000-0005-0000-0000-00009DE60000}"/>
    <cellStyle name="Обычный 2 136 2" xfId="58911" xr:uid="{00000000-0005-0000-0000-00009EE60000}"/>
    <cellStyle name="Обычный 2 136 21" xfId="61296" xr:uid="{00000000-0005-0000-0000-00009FE60000}"/>
    <cellStyle name="Обычный 2 136 21 2" xfId="61305" xr:uid="{00000000-0005-0000-0000-0000A0E60000}"/>
    <cellStyle name="Обычный 2 136 23" xfId="61335" xr:uid="{00000000-0005-0000-0000-0000A1E60000}"/>
    <cellStyle name="Обычный 2 136 23 10" xfId="61430" xr:uid="{00000000-0005-0000-0000-0000A2E60000}"/>
    <cellStyle name="Обычный 2 136 23 11" xfId="61444" xr:uid="{00000000-0005-0000-0000-0000A3E60000}"/>
    <cellStyle name="Обычный 2 136 23 2" xfId="61339" xr:uid="{00000000-0005-0000-0000-0000A4E60000}"/>
    <cellStyle name="Обычный 2 136 23 3" xfId="61360" xr:uid="{00000000-0005-0000-0000-0000A5E60000}"/>
    <cellStyle name="Обычный 2 136 23 4" xfId="61369" xr:uid="{00000000-0005-0000-0000-0000A6E60000}"/>
    <cellStyle name="Обычный 2 136 23 5" xfId="61379" xr:uid="{00000000-0005-0000-0000-0000A7E60000}"/>
    <cellStyle name="Обычный 2 136 23 6" xfId="61384" xr:uid="{00000000-0005-0000-0000-0000A8E60000}"/>
    <cellStyle name="Обычный 2 136 23 7" xfId="61396" xr:uid="{00000000-0005-0000-0000-0000A9E60000}"/>
    <cellStyle name="Обычный 2 136 23 8" xfId="61409" xr:uid="{00000000-0005-0000-0000-0000AAE60000}"/>
    <cellStyle name="Обычный 2 136 23 9" xfId="61418" xr:uid="{00000000-0005-0000-0000-0000ABE60000}"/>
    <cellStyle name="Обычный 2 136 3" xfId="58912" xr:uid="{00000000-0005-0000-0000-0000ACE60000}"/>
    <cellStyle name="Обычный 2 136 4" xfId="58913" xr:uid="{00000000-0005-0000-0000-0000ADE60000}"/>
    <cellStyle name="Обычный 2 136 5" xfId="58914" xr:uid="{00000000-0005-0000-0000-0000AEE60000}"/>
    <cellStyle name="Обычный 2 136 6" xfId="58915" xr:uid="{00000000-0005-0000-0000-0000AFE60000}"/>
    <cellStyle name="Обычный 2 136 7" xfId="58916" xr:uid="{00000000-0005-0000-0000-0000B0E60000}"/>
    <cellStyle name="Обычный 2 136 7 2" xfId="58917" xr:uid="{00000000-0005-0000-0000-0000B1E60000}"/>
    <cellStyle name="Обычный 2 136 8" xfId="58918" xr:uid="{00000000-0005-0000-0000-0000B2E60000}"/>
    <cellStyle name="Обычный 2 136 9" xfId="58919" xr:uid="{00000000-0005-0000-0000-0000B3E60000}"/>
    <cellStyle name="Обычный 2 136 9 2" xfId="58920" xr:uid="{00000000-0005-0000-0000-0000B4E60000}"/>
    <cellStyle name="Обычный 2 137" xfId="58921" xr:uid="{00000000-0005-0000-0000-0000B5E60000}"/>
    <cellStyle name="Обычный 2 138" xfId="58922" xr:uid="{00000000-0005-0000-0000-0000B6E60000}"/>
    <cellStyle name="Обычный 2 139" xfId="58923" xr:uid="{00000000-0005-0000-0000-0000B7E60000}"/>
    <cellStyle name="Обычный 2 14" xfId="58924" xr:uid="{00000000-0005-0000-0000-0000B8E60000}"/>
    <cellStyle name="Обычный 2 140" xfId="58925" xr:uid="{00000000-0005-0000-0000-0000B9E60000}"/>
    <cellStyle name="Обычный 2 141" xfId="58926" xr:uid="{00000000-0005-0000-0000-0000BAE60000}"/>
    <cellStyle name="Обычный 2 142" xfId="58927" xr:uid="{00000000-0005-0000-0000-0000BBE60000}"/>
    <cellStyle name="Обычный 2 143" xfId="58928" xr:uid="{00000000-0005-0000-0000-0000BCE60000}"/>
    <cellStyle name="Обычный 2 144" xfId="58929" xr:uid="{00000000-0005-0000-0000-0000BDE60000}"/>
    <cellStyle name="Обычный 2 144 2" xfId="58930" xr:uid="{00000000-0005-0000-0000-0000BEE60000}"/>
    <cellStyle name="Обычный 2 145" xfId="58931" xr:uid="{00000000-0005-0000-0000-0000BFE60000}"/>
    <cellStyle name="Обычный 2 145 2" xfId="58932" xr:uid="{00000000-0005-0000-0000-0000C0E60000}"/>
    <cellStyle name="Обычный 2 146" xfId="58933" xr:uid="{00000000-0005-0000-0000-0000C1E60000}"/>
    <cellStyle name="Обычный 2 147" xfId="58934" xr:uid="{00000000-0005-0000-0000-0000C2E60000}"/>
    <cellStyle name="Обычный 2 148" xfId="61293" xr:uid="{00000000-0005-0000-0000-0000C3E60000}"/>
    <cellStyle name="Обычный 2 15" xfId="58935" xr:uid="{00000000-0005-0000-0000-0000C4E60000}"/>
    <cellStyle name="Обычный 2 16" xfId="58936" xr:uid="{00000000-0005-0000-0000-0000C5E60000}"/>
    <cellStyle name="Обычный 2 17" xfId="58937" xr:uid="{00000000-0005-0000-0000-0000C6E60000}"/>
    <cellStyle name="Обычный 2 18" xfId="58938" xr:uid="{00000000-0005-0000-0000-0000C7E60000}"/>
    <cellStyle name="Обычный 2 19" xfId="58939" xr:uid="{00000000-0005-0000-0000-0000C8E60000}"/>
    <cellStyle name="Обычный 2 2" xfId="58940" xr:uid="{00000000-0005-0000-0000-0000C9E60000}"/>
    <cellStyle name="Обычный 2 2 10" xfId="58941" xr:uid="{00000000-0005-0000-0000-0000CAE60000}"/>
    <cellStyle name="Обычный 2 2 2" xfId="58942" xr:uid="{00000000-0005-0000-0000-0000CBE60000}"/>
    <cellStyle name="Обычный 2 2 2 2" xfId="58943" xr:uid="{00000000-0005-0000-0000-0000CCE60000}"/>
    <cellStyle name="Обычный 2 2 2 2 2" xfId="58944" xr:uid="{00000000-0005-0000-0000-0000CDE60000}"/>
    <cellStyle name="Обычный 2 2 2 3" xfId="58945" xr:uid="{00000000-0005-0000-0000-0000CEE60000}"/>
    <cellStyle name="Обычный 2 2 2 3 2" xfId="58946" xr:uid="{00000000-0005-0000-0000-0000CFE60000}"/>
    <cellStyle name="Обычный 2 2 2 4" xfId="61390" xr:uid="{00000000-0005-0000-0000-0000D0E60000}"/>
    <cellStyle name="Обычный 2 2 3" xfId="58947" xr:uid="{00000000-0005-0000-0000-0000D1E60000}"/>
    <cellStyle name="Обычный 2 2 3 2" xfId="58948" xr:uid="{00000000-0005-0000-0000-0000D2E60000}"/>
    <cellStyle name="Обычный 2 2 3 3" xfId="58949" xr:uid="{00000000-0005-0000-0000-0000D3E60000}"/>
    <cellStyle name="Обычный 2 2 4" xfId="58950" xr:uid="{00000000-0005-0000-0000-0000D4E60000}"/>
    <cellStyle name="Обычный 2 2 4 2" xfId="58951" xr:uid="{00000000-0005-0000-0000-0000D5E60000}"/>
    <cellStyle name="Обычный 2 2 4 3" xfId="58952" xr:uid="{00000000-0005-0000-0000-0000D6E60000}"/>
    <cellStyle name="Обычный 2 2 5" xfId="58953" xr:uid="{00000000-0005-0000-0000-0000D7E60000}"/>
    <cellStyle name="Обычный 2 2 5 2" xfId="58954" xr:uid="{00000000-0005-0000-0000-0000D8E60000}"/>
    <cellStyle name="Обычный 2 2 5 3" xfId="58955" xr:uid="{00000000-0005-0000-0000-0000D9E60000}"/>
    <cellStyle name="Обычный 2 2 6" xfId="58956" xr:uid="{00000000-0005-0000-0000-0000DAE60000}"/>
    <cellStyle name="Обычный 2 2 6 2" xfId="58957" xr:uid="{00000000-0005-0000-0000-0000DBE60000}"/>
    <cellStyle name="Обычный 2 2 6 3" xfId="58958" xr:uid="{00000000-0005-0000-0000-0000DCE60000}"/>
    <cellStyle name="Обычный 2 2 7" xfId="58959" xr:uid="{00000000-0005-0000-0000-0000DDE60000}"/>
    <cellStyle name="Обычный 2 2 7 2" xfId="58960" xr:uid="{00000000-0005-0000-0000-0000DEE60000}"/>
    <cellStyle name="Обычный 2 2 7 3" xfId="58961" xr:uid="{00000000-0005-0000-0000-0000DFE60000}"/>
    <cellStyle name="Обычный 2 2 8" xfId="58962" xr:uid="{00000000-0005-0000-0000-0000E0E60000}"/>
    <cellStyle name="Обычный 2 2 9" xfId="58963" xr:uid="{00000000-0005-0000-0000-0000E1E60000}"/>
    <cellStyle name="Обычный 2 20" xfId="58964" xr:uid="{00000000-0005-0000-0000-0000E2E60000}"/>
    <cellStyle name="Обычный 2 21" xfId="58965" xr:uid="{00000000-0005-0000-0000-0000E3E60000}"/>
    <cellStyle name="Обычный 2 22" xfId="58966" xr:uid="{00000000-0005-0000-0000-0000E4E60000}"/>
    <cellStyle name="Обычный 2 23" xfId="58967" xr:uid="{00000000-0005-0000-0000-0000E5E60000}"/>
    <cellStyle name="Обычный 2 24" xfId="58968" xr:uid="{00000000-0005-0000-0000-0000E6E60000}"/>
    <cellStyle name="Обычный 2 25" xfId="58969" xr:uid="{00000000-0005-0000-0000-0000E7E60000}"/>
    <cellStyle name="Обычный 2 26" xfId="58970" xr:uid="{00000000-0005-0000-0000-0000E8E60000}"/>
    <cellStyle name="Обычный 2 27" xfId="58971" xr:uid="{00000000-0005-0000-0000-0000E9E60000}"/>
    <cellStyle name="Обычный 2 28" xfId="58972" xr:uid="{00000000-0005-0000-0000-0000EAE60000}"/>
    <cellStyle name="Обычный 2 29" xfId="58973" xr:uid="{00000000-0005-0000-0000-0000EBE60000}"/>
    <cellStyle name="Обычный 2 3" xfId="58974" xr:uid="{00000000-0005-0000-0000-0000ECE60000}"/>
    <cellStyle name="Обычный 2 3 2" xfId="58975" xr:uid="{00000000-0005-0000-0000-0000EDE60000}"/>
    <cellStyle name="Обычный 2 3 3" xfId="58976" xr:uid="{00000000-0005-0000-0000-0000EEE60000}"/>
    <cellStyle name="Обычный 2 30" xfId="58977" xr:uid="{00000000-0005-0000-0000-0000EFE60000}"/>
    <cellStyle name="Обычный 2 31" xfId="58978" xr:uid="{00000000-0005-0000-0000-0000F0E60000}"/>
    <cellStyle name="Обычный 2 32" xfId="58979" xr:uid="{00000000-0005-0000-0000-0000F1E60000}"/>
    <cellStyle name="Обычный 2 33" xfId="58980" xr:uid="{00000000-0005-0000-0000-0000F2E60000}"/>
    <cellStyle name="Обычный 2 34" xfId="58981" xr:uid="{00000000-0005-0000-0000-0000F3E60000}"/>
    <cellStyle name="Обычный 2 35" xfId="58982" xr:uid="{00000000-0005-0000-0000-0000F4E60000}"/>
    <cellStyle name="Обычный 2 36" xfId="58983" xr:uid="{00000000-0005-0000-0000-0000F5E60000}"/>
    <cellStyle name="Обычный 2 37" xfId="58984" xr:uid="{00000000-0005-0000-0000-0000F6E60000}"/>
    <cellStyle name="Обычный 2 38" xfId="58985" xr:uid="{00000000-0005-0000-0000-0000F7E60000}"/>
    <cellStyle name="Обычный 2 39" xfId="58986" xr:uid="{00000000-0005-0000-0000-0000F8E60000}"/>
    <cellStyle name="Обычный 2 4" xfId="58987" xr:uid="{00000000-0005-0000-0000-0000F9E60000}"/>
    <cellStyle name="Обычный 2 4 2" xfId="58988" xr:uid="{00000000-0005-0000-0000-0000FAE60000}"/>
    <cellStyle name="Обычный 2 40" xfId="58989" xr:uid="{00000000-0005-0000-0000-0000FBE60000}"/>
    <cellStyle name="Обычный 2 41" xfId="58990" xr:uid="{00000000-0005-0000-0000-0000FCE60000}"/>
    <cellStyle name="Обычный 2 42" xfId="58991" xr:uid="{00000000-0005-0000-0000-0000FDE60000}"/>
    <cellStyle name="Обычный 2 43" xfId="58992" xr:uid="{00000000-0005-0000-0000-0000FEE60000}"/>
    <cellStyle name="Обычный 2 44" xfId="58993" xr:uid="{00000000-0005-0000-0000-0000FFE60000}"/>
    <cellStyle name="Обычный 2 45" xfId="58994" xr:uid="{00000000-0005-0000-0000-000000E70000}"/>
    <cellStyle name="Обычный 2 46" xfId="58995" xr:uid="{00000000-0005-0000-0000-000001E70000}"/>
    <cellStyle name="Обычный 2 47" xfId="58996" xr:uid="{00000000-0005-0000-0000-000002E70000}"/>
    <cellStyle name="Обычный 2 48" xfId="58997" xr:uid="{00000000-0005-0000-0000-000003E70000}"/>
    <cellStyle name="Обычный 2 49" xfId="58998" xr:uid="{00000000-0005-0000-0000-000004E70000}"/>
    <cellStyle name="Обычный 2 5" xfId="58999" xr:uid="{00000000-0005-0000-0000-000005E70000}"/>
    <cellStyle name="Обычный 2 5 2" xfId="59000" xr:uid="{00000000-0005-0000-0000-000006E70000}"/>
    <cellStyle name="Обычный 2 5 3" xfId="59001" xr:uid="{00000000-0005-0000-0000-000007E70000}"/>
    <cellStyle name="Обычный 2 50" xfId="59002" xr:uid="{00000000-0005-0000-0000-000008E70000}"/>
    <cellStyle name="Обычный 2 51" xfId="59003" xr:uid="{00000000-0005-0000-0000-000009E70000}"/>
    <cellStyle name="Обычный 2 52" xfId="59004" xr:uid="{00000000-0005-0000-0000-00000AE70000}"/>
    <cellStyle name="Обычный 2 53" xfId="59005" xr:uid="{00000000-0005-0000-0000-00000BE70000}"/>
    <cellStyle name="Обычный 2 54" xfId="59006" xr:uid="{00000000-0005-0000-0000-00000CE70000}"/>
    <cellStyle name="Обычный 2 55" xfId="59007" xr:uid="{00000000-0005-0000-0000-00000DE70000}"/>
    <cellStyle name="Обычный 2 56" xfId="59008" xr:uid="{00000000-0005-0000-0000-00000EE70000}"/>
    <cellStyle name="Обычный 2 57" xfId="59009" xr:uid="{00000000-0005-0000-0000-00000FE70000}"/>
    <cellStyle name="Обычный 2 58" xfId="59010" xr:uid="{00000000-0005-0000-0000-000010E70000}"/>
    <cellStyle name="Обычный 2 59" xfId="59011" xr:uid="{00000000-0005-0000-0000-000011E70000}"/>
    <cellStyle name="Обычный 2 6" xfId="59012" xr:uid="{00000000-0005-0000-0000-000012E70000}"/>
    <cellStyle name="Обычный 2 6 2" xfId="59013" xr:uid="{00000000-0005-0000-0000-000013E70000}"/>
    <cellStyle name="Обычный 2 6 3" xfId="59014" xr:uid="{00000000-0005-0000-0000-000014E70000}"/>
    <cellStyle name="Обычный 2 60" xfId="59015" xr:uid="{00000000-0005-0000-0000-000015E70000}"/>
    <cellStyle name="Обычный 2 61" xfId="59016" xr:uid="{00000000-0005-0000-0000-000016E70000}"/>
    <cellStyle name="Обычный 2 62" xfId="59017" xr:uid="{00000000-0005-0000-0000-000017E70000}"/>
    <cellStyle name="Обычный 2 63" xfId="59018" xr:uid="{00000000-0005-0000-0000-000018E70000}"/>
    <cellStyle name="Обычный 2 64" xfId="59019" xr:uid="{00000000-0005-0000-0000-000019E70000}"/>
    <cellStyle name="Обычный 2 65" xfId="59020" xr:uid="{00000000-0005-0000-0000-00001AE70000}"/>
    <cellStyle name="Обычный 2 66" xfId="59021" xr:uid="{00000000-0005-0000-0000-00001BE70000}"/>
    <cellStyle name="Обычный 2 67" xfId="59022" xr:uid="{00000000-0005-0000-0000-00001CE70000}"/>
    <cellStyle name="Обычный 2 68" xfId="59023" xr:uid="{00000000-0005-0000-0000-00001DE70000}"/>
    <cellStyle name="Обычный 2 69" xfId="59024" xr:uid="{00000000-0005-0000-0000-00001EE70000}"/>
    <cellStyle name="Обычный 2 7" xfId="59025" xr:uid="{00000000-0005-0000-0000-00001FE70000}"/>
    <cellStyle name="Обычный 2 7 2" xfId="59026" xr:uid="{00000000-0005-0000-0000-000020E70000}"/>
    <cellStyle name="Обычный 2 70" xfId="59027" xr:uid="{00000000-0005-0000-0000-000021E70000}"/>
    <cellStyle name="Обычный 2 71" xfId="59028" xr:uid="{00000000-0005-0000-0000-000022E70000}"/>
    <cellStyle name="Обычный 2 72" xfId="59029" xr:uid="{00000000-0005-0000-0000-000023E70000}"/>
    <cellStyle name="Обычный 2 73" xfId="59030" xr:uid="{00000000-0005-0000-0000-000024E70000}"/>
    <cellStyle name="Обычный 2 74" xfId="59031" xr:uid="{00000000-0005-0000-0000-000025E70000}"/>
    <cellStyle name="Обычный 2 75" xfId="59032" xr:uid="{00000000-0005-0000-0000-000026E70000}"/>
    <cellStyle name="Обычный 2 76" xfId="59033" xr:uid="{00000000-0005-0000-0000-000027E70000}"/>
    <cellStyle name="Обычный 2 77" xfId="59034" xr:uid="{00000000-0005-0000-0000-000028E70000}"/>
    <cellStyle name="Обычный 2 78" xfId="59035" xr:uid="{00000000-0005-0000-0000-000029E70000}"/>
    <cellStyle name="Обычный 2 79" xfId="59036" xr:uid="{00000000-0005-0000-0000-00002AE70000}"/>
    <cellStyle name="Обычный 2 8" xfId="59037" xr:uid="{00000000-0005-0000-0000-00002BE70000}"/>
    <cellStyle name="Обычный 2 80" xfId="59038" xr:uid="{00000000-0005-0000-0000-00002CE70000}"/>
    <cellStyle name="Обычный 2 81" xfId="59039" xr:uid="{00000000-0005-0000-0000-00002DE70000}"/>
    <cellStyle name="Обычный 2 82" xfId="59040" xr:uid="{00000000-0005-0000-0000-00002EE70000}"/>
    <cellStyle name="Обычный 2 83" xfId="59041" xr:uid="{00000000-0005-0000-0000-00002FE70000}"/>
    <cellStyle name="Обычный 2 84" xfId="59042" xr:uid="{00000000-0005-0000-0000-000030E70000}"/>
    <cellStyle name="Обычный 2 85" xfId="59043" xr:uid="{00000000-0005-0000-0000-000031E70000}"/>
    <cellStyle name="Обычный 2 86" xfId="59044" xr:uid="{00000000-0005-0000-0000-000032E70000}"/>
    <cellStyle name="Обычный 2 87" xfId="59045" xr:uid="{00000000-0005-0000-0000-000033E70000}"/>
    <cellStyle name="Обычный 2 88" xfId="59046" xr:uid="{00000000-0005-0000-0000-000034E70000}"/>
    <cellStyle name="Обычный 2 89" xfId="59047" xr:uid="{00000000-0005-0000-0000-000035E70000}"/>
    <cellStyle name="Обычный 2 9" xfId="59048" xr:uid="{00000000-0005-0000-0000-000036E70000}"/>
    <cellStyle name="Обычный 2 90" xfId="59049" xr:uid="{00000000-0005-0000-0000-000037E70000}"/>
    <cellStyle name="Обычный 2 91" xfId="59050" xr:uid="{00000000-0005-0000-0000-000038E70000}"/>
    <cellStyle name="Обычный 2 92" xfId="59051" xr:uid="{00000000-0005-0000-0000-000039E70000}"/>
    <cellStyle name="Обычный 2 93" xfId="59052" xr:uid="{00000000-0005-0000-0000-00003AE70000}"/>
    <cellStyle name="Обычный 2 94" xfId="59053" xr:uid="{00000000-0005-0000-0000-00003BE70000}"/>
    <cellStyle name="Обычный 2 95" xfId="59054" xr:uid="{00000000-0005-0000-0000-00003CE70000}"/>
    <cellStyle name="Обычный 2 96" xfId="59055" xr:uid="{00000000-0005-0000-0000-00003DE70000}"/>
    <cellStyle name="Обычный 2 97" xfId="59056" xr:uid="{00000000-0005-0000-0000-00003EE70000}"/>
    <cellStyle name="Обычный 2 98" xfId="59057" xr:uid="{00000000-0005-0000-0000-00003FE70000}"/>
    <cellStyle name="Обычный 2 99" xfId="59058" xr:uid="{00000000-0005-0000-0000-000040E70000}"/>
    <cellStyle name="Обычный 2_npa105B" xfId="59059" xr:uid="{00000000-0005-0000-0000-000041E70000}"/>
    <cellStyle name="Обычный 20" xfId="59060" xr:uid="{00000000-0005-0000-0000-000042E70000}"/>
    <cellStyle name="Обычный 20 2" xfId="59061" xr:uid="{00000000-0005-0000-0000-000043E70000}"/>
    <cellStyle name="Обычный 20 2 2" xfId="59062" xr:uid="{00000000-0005-0000-0000-000044E70000}"/>
    <cellStyle name="Обычный 20 2 2 2" xfId="59063" xr:uid="{00000000-0005-0000-0000-000045E70000}"/>
    <cellStyle name="Обычный 20 2 2 2 2" xfId="59064" xr:uid="{00000000-0005-0000-0000-000046E70000}"/>
    <cellStyle name="Обычный 20 2 2 2 3" xfId="59065" xr:uid="{00000000-0005-0000-0000-000047E70000}"/>
    <cellStyle name="Обычный 20 2 2 3" xfId="59066" xr:uid="{00000000-0005-0000-0000-000048E70000}"/>
    <cellStyle name="Обычный 20 2 2 3 2" xfId="59067" xr:uid="{00000000-0005-0000-0000-000049E70000}"/>
    <cellStyle name="Обычный 20 2 2 3 3" xfId="59068" xr:uid="{00000000-0005-0000-0000-00004AE70000}"/>
    <cellStyle name="Обычный 20 2 2 4" xfId="59069" xr:uid="{00000000-0005-0000-0000-00004BE70000}"/>
    <cellStyle name="Обычный 20 2 2 5" xfId="59070" xr:uid="{00000000-0005-0000-0000-00004CE70000}"/>
    <cellStyle name="Обычный 20 2 3" xfId="59071" xr:uid="{00000000-0005-0000-0000-00004DE70000}"/>
    <cellStyle name="Обычный 20 2 3 2" xfId="59072" xr:uid="{00000000-0005-0000-0000-00004EE70000}"/>
    <cellStyle name="Обычный 20 2 3 3" xfId="59073" xr:uid="{00000000-0005-0000-0000-00004FE70000}"/>
    <cellStyle name="Обычный 20 2 4" xfId="59074" xr:uid="{00000000-0005-0000-0000-000050E70000}"/>
    <cellStyle name="Обычный 20 2 4 2" xfId="59075" xr:uid="{00000000-0005-0000-0000-000051E70000}"/>
    <cellStyle name="Обычный 20 2 4 3" xfId="59076" xr:uid="{00000000-0005-0000-0000-000052E70000}"/>
    <cellStyle name="Обычный 20 2 5" xfId="59077" xr:uid="{00000000-0005-0000-0000-000053E70000}"/>
    <cellStyle name="Обычный 20 2 6" xfId="59078" xr:uid="{00000000-0005-0000-0000-000054E70000}"/>
    <cellStyle name="Обычный 20 2_объемы 2018г111" xfId="59079" xr:uid="{00000000-0005-0000-0000-000055E70000}"/>
    <cellStyle name="Обычный 20 3" xfId="59080" xr:uid="{00000000-0005-0000-0000-000056E70000}"/>
    <cellStyle name="Обычный 20 3 2" xfId="59081" xr:uid="{00000000-0005-0000-0000-000057E70000}"/>
    <cellStyle name="Обычный 20 3 2 2" xfId="59082" xr:uid="{00000000-0005-0000-0000-000058E70000}"/>
    <cellStyle name="Обычный 20 3 2 3" xfId="59083" xr:uid="{00000000-0005-0000-0000-000059E70000}"/>
    <cellStyle name="Обычный 20 3 3" xfId="59084" xr:uid="{00000000-0005-0000-0000-00005AE70000}"/>
    <cellStyle name="Обычный 20 3 3 2" xfId="59085" xr:uid="{00000000-0005-0000-0000-00005BE70000}"/>
    <cellStyle name="Обычный 20 3 3 3" xfId="59086" xr:uid="{00000000-0005-0000-0000-00005CE70000}"/>
    <cellStyle name="Обычный 20 3 4" xfId="59087" xr:uid="{00000000-0005-0000-0000-00005DE70000}"/>
    <cellStyle name="Обычный 20 3 5" xfId="59088" xr:uid="{00000000-0005-0000-0000-00005EE70000}"/>
    <cellStyle name="Обычный 20 4" xfId="59089" xr:uid="{00000000-0005-0000-0000-00005FE70000}"/>
    <cellStyle name="Обычный 20 4 2" xfId="59090" xr:uid="{00000000-0005-0000-0000-000060E70000}"/>
    <cellStyle name="Обычный 20 4 2 2" xfId="59091" xr:uid="{00000000-0005-0000-0000-000061E70000}"/>
    <cellStyle name="Обычный 20 4 2 3" xfId="59092" xr:uid="{00000000-0005-0000-0000-000062E70000}"/>
    <cellStyle name="Обычный 20 4 3" xfId="59093" xr:uid="{00000000-0005-0000-0000-000063E70000}"/>
    <cellStyle name="Обычный 20 4 3 2" xfId="59094" xr:uid="{00000000-0005-0000-0000-000064E70000}"/>
    <cellStyle name="Обычный 20 4 4" xfId="59095" xr:uid="{00000000-0005-0000-0000-000065E70000}"/>
    <cellStyle name="Обычный 20 4 5" xfId="59096" xr:uid="{00000000-0005-0000-0000-000066E70000}"/>
    <cellStyle name="Обычный 20 4 5 2" xfId="59097" xr:uid="{00000000-0005-0000-0000-000067E70000}"/>
    <cellStyle name="Обычный 20 4 5 3" xfId="59098" xr:uid="{00000000-0005-0000-0000-000068E70000}"/>
    <cellStyle name="Обычный 20 4 5 3 2" xfId="59099" xr:uid="{00000000-0005-0000-0000-000069E70000}"/>
    <cellStyle name="Обычный 20 4 5 4" xfId="59100" xr:uid="{00000000-0005-0000-0000-00006AE70000}"/>
    <cellStyle name="Обычный 20 4 6" xfId="59101" xr:uid="{00000000-0005-0000-0000-00006BE70000}"/>
    <cellStyle name="Обычный 20 5" xfId="59102" xr:uid="{00000000-0005-0000-0000-00006CE70000}"/>
    <cellStyle name="Обычный 20 5 2" xfId="59103" xr:uid="{00000000-0005-0000-0000-00006DE70000}"/>
    <cellStyle name="Обычный 20 5 3" xfId="59104" xr:uid="{00000000-0005-0000-0000-00006EE70000}"/>
    <cellStyle name="Обычный 20 6" xfId="59105" xr:uid="{00000000-0005-0000-0000-00006FE70000}"/>
    <cellStyle name="Обычный 20 6 2" xfId="59106" xr:uid="{00000000-0005-0000-0000-000070E70000}"/>
    <cellStyle name="Обычный 20 6 3" xfId="59107" xr:uid="{00000000-0005-0000-0000-000071E70000}"/>
    <cellStyle name="Обычный 20 7" xfId="59108" xr:uid="{00000000-0005-0000-0000-000072E70000}"/>
    <cellStyle name="Обычный 20 7 2" xfId="59109" xr:uid="{00000000-0005-0000-0000-000073E70000}"/>
    <cellStyle name="Обычный 20 8" xfId="59110" xr:uid="{00000000-0005-0000-0000-000074E70000}"/>
    <cellStyle name="Обычный 20 9" xfId="59111" xr:uid="{00000000-0005-0000-0000-000075E70000}"/>
    <cellStyle name="Обычный 20_объемы 2018г111" xfId="59112" xr:uid="{00000000-0005-0000-0000-000076E70000}"/>
    <cellStyle name="Обычный 21" xfId="59113" xr:uid="{00000000-0005-0000-0000-000077E70000}"/>
    <cellStyle name="Обычный 21 2" xfId="59114" xr:uid="{00000000-0005-0000-0000-000078E70000}"/>
    <cellStyle name="Обычный 21 2 2" xfId="59115" xr:uid="{00000000-0005-0000-0000-000079E70000}"/>
    <cellStyle name="Обычный 21 2 2 2" xfId="59116" xr:uid="{00000000-0005-0000-0000-00007AE70000}"/>
    <cellStyle name="Обычный 21 2 2 2 2" xfId="59117" xr:uid="{00000000-0005-0000-0000-00007BE70000}"/>
    <cellStyle name="Обычный 21 2 2 2 3" xfId="59118" xr:uid="{00000000-0005-0000-0000-00007CE70000}"/>
    <cellStyle name="Обычный 21 2 2 3" xfId="59119" xr:uid="{00000000-0005-0000-0000-00007DE70000}"/>
    <cellStyle name="Обычный 21 2 2 3 2" xfId="59120" xr:uid="{00000000-0005-0000-0000-00007EE70000}"/>
    <cellStyle name="Обычный 21 2 2 3 3" xfId="59121" xr:uid="{00000000-0005-0000-0000-00007FE70000}"/>
    <cellStyle name="Обычный 21 2 2 4" xfId="59122" xr:uid="{00000000-0005-0000-0000-000080E70000}"/>
    <cellStyle name="Обычный 21 2 2 5" xfId="59123" xr:uid="{00000000-0005-0000-0000-000081E70000}"/>
    <cellStyle name="Обычный 21 2 3" xfId="59124" xr:uid="{00000000-0005-0000-0000-000082E70000}"/>
    <cellStyle name="Обычный 21 2 3 2" xfId="59125" xr:uid="{00000000-0005-0000-0000-000083E70000}"/>
    <cellStyle name="Обычный 21 2 3 3" xfId="59126" xr:uid="{00000000-0005-0000-0000-000084E70000}"/>
    <cellStyle name="Обычный 21 2 4" xfId="59127" xr:uid="{00000000-0005-0000-0000-000085E70000}"/>
    <cellStyle name="Обычный 21 2 4 2" xfId="59128" xr:uid="{00000000-0005-0000-0000-000086E70000}"/>
    <cellStyle name="Обычный 21 2 4 3" xfId="59129" xr:uid="{00000000-0005-0000-0000-000087E70000}"/>
    <cellStyle name="Обычный 21 2 5" xfId="59130" xr:uid="{00000000-0005-0000-0000-000088E70000}"/>
    <cellStyle name="Обычный 21 2 6" xfId="59131" xr:uid="{00000000-0005-0000-0000-000089E70000}"/>
    <cellStyle name="Обычный 21 2_объемы 2018г111" xfId="59132" xr:uid="{00000000-0005-0000-0000-00008AE70000}"/>
    <cellStyle name="Обычный 21 3" xfId="59133" xr:uid="{00000000-0005-0000-0000-00008BE70000}"/>
    <cellStyle name="Обычный 21 3 2" xfId="59134" xr:uid="{00000000-0005-0000-0000-00008CE70000}"/>
    <cellStyle name="Обычный 21 3 2 2" xfId="59135" xr:uid="{00000000-0005-0000-0000-00008DE70000}"/>
    <cellStyle name="Обычный 21 3 2 3" xfId="59136" xr:uid="{00000000-0005-0000-0000-00008EE70000}"/>
    <cellStyle name="Обычный 21 3 3" xfId="59137" xr:uid="{00000000-0005-0000-0000-00008FE70000}"/>
    <cellStyle name="Обычный 21 3 3 2" xfId="59138" xr:uid="{00000000-0005-0000-0000-000090E70000}"/>
    <cellStyle name="Обычный 21 3 3 3" xfId="59139" xr:uid="{00000000-0005-0000-0000-000091E70000}"/>
    <cellStyle name="Обычный 21 3 4" xfId="59140" xr:uid="{00000000-0005-0000-0000-000092E70000}"/>
    <cellStyle name="Обычный 21 3 5" xfId="59141" xr:uid="{00000000-0005-0000-0000-000093E70000}"/>
    <cellStyle name="Обычный 21 4" xfId="59142" xr:uid="{00000000-0005-0000-0000-000094E70000}"/>
    <cellStyle name="Обычный 21 4 2" xfId="59143" xr:uid="{00000000-0005-0000-0000-000095E70000}"/>
    <cellStyle name="Обычный 21 4 3" xfId="59144" xr:uid="{00000000-0005-0000-0000-000096E70000}"/>
    <cellStyle name="Обычный 21 5" xfId="59145" xr:uid="{00000000-0005-0000-0000-000097E70000}"/>
    <cellStyle name="Обычный 21 5 2" xfId="59146" xr:uid="{00000000-0005-0000-0000-000098E70000}"/>
    <cellStyle name="Обычный 21 5 3" xfId="59147" xr:uid="{00000000-0005-0000-0000-000099E70000}"/>
    <cellStyle name="Обычный 21 6" xfId="59148" xr:uid="{00000000-0005-0000-0000-00009AE70000}"/>
    <cellStyle name="Обычный 21 7" xfId="59149" xr:uid="{00000000-0005-0000-0000-00009BE70000}"/>
    <cellStyle name="Обычный 21_объемы 2018г111" xfId="59150" xr:uid="{00000000-0005-0000-0000-00009CE70000}"/>
    <cellStyle name="Обычный 22" xfId="59151" xr:uid="{00000000-0005-0000-0000-00009DE70000}"/>
    <cellStyle name="Обычный 22 2" xfId="59152" xr:uid="{00000000-0005-0000-0000-00009EE70000}"/>
    <cellStyle name="Обычный 22 2 2" xfId="59153" xr:uid="{00000000-0005-0000-0000-00009FE70000}"/>
    <cellStyle name="Обычный 22 2 2 2" xfId="59154" xr:uid="{00000000-0005-0000-0000-0000A0E70000}"/>
    <cellStyle name="Обычный 22 2 2 3" xfId="59155" xr:uid="{00000000-0005-0000-0000-0000A1E70000}"/>
    <cellStyle name="Обычный 22 2 3" xfId="59156" xr:uid="{00000000-0005-0000-0000-0000A2E70000}"/>
    <cellStyle name="Обычный 22 2 3 2" xfId="59157" xr:uid="{00000000-0005-0000-0000-0000A3E70000}"/>
    <cellStyle name="Обычный 22 2 3 3" xfId="59158" xr:uid="{00000000-0005-0000-0000-0000A4E70000}"/>
    <cellStyle name="Обычный 22 2 4" xfId="59159" xr:uid="{00000000-0005-0000-0000-0000A5E70000}"/>
    <cellStyle name="Обычный 22 2 5" xfId="59160" xr:uid="{00000000-0005-0000-0000-0000A6E70000}"/>
    <cellStyle name="Обычный 22 3" xfId="59161" xr:uid="{00000000-0005-0000-0000-0000A7E70000}"/>
    <cellStyle name="Обычный 22 3 2" xfId="59162" xr:uid="{00000000-0005-0000-0000-0000A8E70000}"/>
    <cellStyle name="Обычный 22 3 2 2" xfId="59163" xr:uid="{00000000-0005-0000-0000-0000A9E70000}"/>
    <cellStyle name="Обычный 22 3 2 3" xfId="59164" xr:uid="{00000000-0005-0000-0000-0000AAE70000}"/>
    <cellStyle name="Обычный 22 3 3" xfId="59165" xr:uid="{00000000-0005-0000-0000-0000ABE70000}"/>
    <cellStyle name="Обычный 22 3 3 2" xfId="59166" xr:uid="{00000000-0005-0000-0000-0000ACE70000}"/>
    <cellStyle name="Обычный 22 3 3 3" xfId="59167" xr:uid="{00000000-0005-0000-0000-0000ADE70000}"/>
    <cellStyle name="Обычный 22 3 4" xfId="59168" xr:uid="{00000000-0005-0000-0000-0000AEE70000}"/>
    <cellStyle name="Обычный 22 3 5" xfId="59169" xr:uid="{00000000-0005-0000-0000-0000AFE70000}"/>
    <cellStyle name="Обычный 22 4" xfId="59170" xr:uid="{00000000-0005-0000-0000-0000B0E70000}"/>
    <cellStyle name="Обычный 22 4 2" xfId="59171" xr:uid="{00000000-0005-0000-0000-0000B1E70000}"/>
    <cellStyle name="Обычный 22 4 3" xfId="59172" xr:uid="{00000000-0005-0000-0000-0000B2E70000}"/>
    <cellStyle name="Обычный 22 5" xfId="59173" xr:uid="{00000000-0005-0000-0000-0000B3E70000}"/>
    <cellStyle name="Обычный 22 5 2" xfId="59174" xr:uid="{00000000-0005-0000-0000-0000B4E70000}"/>
    <cellStyle name="Обычный 22 5 3" xfId="59175" xr:uid="{00000000-0005-0000-0000-0000B5E70000}"/>
    <cellStyle name="Обычный 22 6" xfId="59176" xr:uid="{00000000-0005-0000-0000-0000B6E70000}"/>
    <cellStyle name="Обычный 22 7" xfId="59177" xr:uid="{00000000-0005-0000-0000-0000B7E70000}"/>
    <cellStyle name="Обычный 22_объемы 2018г111" xfId="59178" xr:uid="{00000000-0005-0000-0000-0000B8E70000}"/>
    <cellStyle name="Обычный 23" xfId="59179" xr:uid="{00000000-0005-0000-0000-0000B9E70000}"/>
    <cellStyle name="Обычный 23 2" xfId="59180" xr:uid="{00000000-0005-0000-0000-0000BAE70000}"/>
    <cellStyle name="Обычный 23 3" xfId="59181" xr:uid="{00000000-0005-0000-0000-0000BBE70000}"/>
    <cellStyle name="Обычный 23 3 2" xfId="59182" xr:uid="{00000000-0005-0000-0000-0000BCE70000}"/>
    <cellStyle name="Обычный 23 3 3" xfId="59183" xr:uid="{00000000-0005-0000-0000-0000BDE70000}"/>
    <cellStyle name="Обычный 23 4" xfId="59184" xr:uid="{00000000-0005-0000-0000-0000BEE70000}"/>
    <cellStyle name="Обычный 23 4 2" xfId="59185" xr:uid="{00000000-0005-0000-0000-0000BFE70000}"/>
    <cellStyle name="Обычный 23 4 3" xfId="59186" xr:uid="{00000000-0005-0000-0000-0000C0E70000}"/>
    <cellStyle name="Обычный 23 5" xfId="59187" xr:uid="{00000000-0005-0000-0000-0000C1E70000}"/>
    <cellStyle name="Обычный 23 6" xfId="59188" xr:uid="{00000000-0005-0000-0000-0000C2E70000}"/>
    <cellStyle name="Обычный 23_объемы 2018г111" xfId="59189" xr:uid="{00000000-0005-0000-0000-0000C3E70000}"/>
    <cellStyle name="Обычный 24" xfId="59190" xr:uid="{00000000-0005-0000-0000-0000C4E70000}"/>
    <cellStyle name="Обычный 24 2" xfId="59191" xr:uid="{00000000-0005-0000-0000-0000C5E70000}"/>
    <cellStyle name="Обычный 24 3" xfId="59192" xr:uid="{00000000-0005-0000-0000-0000C6E70000}"/>
    <cellStyle name="Обычный 24 3 2" xfId="59193" xr:uid="{00000000-0005-0000-0000-0000C7E70000}"/>
    <cellStyle name="Обычный 24 3 3" xfId="59194" xr:uid="{00000000-0005-0000-0000-0000C8E70000}"/>
    <cellStyle name="Обычный 24 4" xfId="59195" xr:uid="{00000000-0005-0000-0000-0000C9E70000}"/>
    <cellStyle name="Обычный 24 4 2" xfId="59196" xr:uid="{00000000-0005-0000-0000-0000CAE70000}"/>
    <cellStyle name="Обычный 24 4 3" xfId="59197" xr:uid="{00000000-0005-0000-0000-0000CBE70000}"/>
    <cellStyle name="Обычный 24 5" xfId="59198" xr:uid="{00000000-0005-0000-0000-0000CCE70000}"/>
    <cellStyle name="Обычный 24 6" xfId="59199" xr:uid="{00000000-0005-0000-0000-0000CDE70000}"/>
    <cellStyle name="Обычный 24_объемы 2018г111" xfId="59200" xr:uid="{00000000-0005-0000-0000-0000CEE70000}"/>
    <cellStyle name="Обычный 25" xfId="59201" xr:uid="{00000000-0005-0000-0000-0000CFE70000}"/>
    <cellStyle name="Обычный 25 2" xfId="59202" xr:uid="{00000000-0005-0000-0000-0000D0E70000}"/>
    <cellStyle name="Обычный 25 2 2" xfId="59203" xr:uid="{00000000-0005-0000-0000-0000D1E70000}"/>
    <cellStyle name="Обычный 25 2 3" xfId="59204" xr:uid="{00000000-0005-0000-0000-0000D2E70000}"/>
    <cellStyle name="Обычный 25 3" xfId="59205" xr:uid="{00000000-0005-0000-0000-0000D3E70000}"/>
    <cellStyle name="Обычный 25 3 2" xfId="59206" xr:uid="{00000000-0005-0000-0000-0000D4E70000}"/>
    <cellStyle name="Обычный 25 3 3" xfId="59207" xr:uid="{00000000-0005-0000-0000-0000D5E70000}"/>
    <cellStyle name="Обычный 25 4" xfId="59208" xr:uid="{00000000-0005-0000-0000-0000D6E70000}"/>
    <cellStyle name="Обычный 25 5" xfId="59209" xr:uid="{00000000-0005-0000-0000-0000D7E70000}"/>
    <cellStyle name="Обычный 26" xfId="59210" xr:uid="{00000000-0005-0000-0000-0000D8E70000}"/>
    <cellStyle name="Обычный 26 10" xfId="59211" xr:uid="{00000000-0005-0000-0000-0000D9E70000}"/>
    <cellStyle name="Обычный 26 11" xfId="59212" xr:uid="{00000000-0005-0000-0000-0000DAE70000}"/>
    <cellStyle name="Обычный 26 12" xfId="59213" xr:uid="{00000000-0005-0000-0000-0000DBE70000}"/>
    <cellStyle name="Обычный 26 13" xfId="59214" xr:uid="{00000000-0005-0000-0000-0000DCE70000}"/>
    <cellStyle name="Обычный 26 14" xfId="59215" xr:uid="{00000000-0005-0000-0000-0000DDE70000}"/>
    <cellStyle name="Обычный 26 15" xfId="59216" xr:uid="{00000000-0005-0000-0000-0000DEE70000}"/>
    <cellStyle name="Обычный 26 2" xfId="59217" xr:uid="{00000000-0005-0000-0000-0000DFE70000}"/>
    <cellStyle name="Обычный 26 2 2" xfId="59218" xr:uid="{00000000-0005-0000-0000-0000E0E70000}"/>
    <cellStyle name="Обычный 26 2 2 2" xfId="59219" xr:uid="{00000000-0005-0000-0000-0000E1E70000}"/>
    <cellStyle name="Обычный 26 2 3" xfId="59220" xr:uid="{00000000-0005-0000-0000-0000E2E70000}"/>
    <cellStyle name="Обычный 26 3" xfId="59221" xr:uid="{00000000-0005-0000-0000-0000E3E70000}"/>
    <cellStyle name="Обычный 26 3 2" xfId="59222" xr:uid="{00000000-0005-0000-0000-0000E4E70000}"/>
    <cellStyle name="Обычный 26 3 3" xfId="59223" xr:uid="{00000000-0005-0000-0000-0000E5E70000}"/>
    <cellStyle name="Обычный 26 4" xfId="59224" xr:uid="{00000000-0005-0000-0000-0000E6E70000}"/>
    <cellStyle name="Обычный 26 4 2" xfId="59225" xr:uid="{00000000-0005-0000-0000-0000E7E70000}"/>
    <cellStyle name="Обычный 26 4 2 2" xfId="59226" xr:uid="{00000000-0005-0000-0000-0000E8E70000}"/>
    <cellStyle name="Обычный 26 4 3" xfId="59227" xr:uid="{00000000-0005-0000-0000-0000E9E70000}"/>
    <cellStyle name="Обычный 26 5" xfId="59228" xr:uid="{00000000-0005-0000-0000-0000EAE70000}"/>
    <cellStyle name="Обычный 26 5 2" xfId="59229" xr:uid="{00000000-0005-0000-0000-0000EBE70000}"/>
    <cellStyle name="Обычный 26 6" xfId="59230" xr:uid="{00000000-0005-0000-0000-0000ECE70000}"/>
    <cellStyle name="Обычный 26 6 2" xfId="59231" xr:uid="{00000000-0005-0000-0000-0000EDE70000}"/>
    <cellStyle name="Обычный 26 7" xfId="59232" xr:uid="{00000000-0005-0000-0000-0000EEE70000}"/>
    <cellStyle name="Обычный 26 8" xfId="59233" xr:uid="{00000000-0005-0000-0000-0000EFE70000}"/>
    <cellStyle name="Обычный 26 9" xfId="59234" xr:uid="{00000000-0005-0000-0000-0000F0E70000}"/>
    <cellStyle name="Обычный 27" xfId="59235" xr:uid="{00000000-0005-0000-0000-0000F1E70000}"/>
    <cellStyle name="Обычный 27 2" xfId="59236" xr:uid="{00000000-0005-0000-0000-0000F2E70000}"/>
    <cellStyle name="Обычный 27 2 2" xfId="59237" xr:uid="{00000000-0005-0000-0000-0000F3E70000}"/>
    <cellStyle name="Обычный 27 2 2 2" xfId="59238" xr:uid="{00000000-0005-0000-0000-0000F4E70000}"/>
    <cellStyle name="Обычный 27 2 3" xfId="59239" xr:uid="{00000000-0005-0000-0000-0000F5E70000}"/>
    <cellStyle name="Обычный 27 3" xfId="59240" xr:uid="{00000000-0005-0000-0000-0000F6E70000}"/>
    <cellStyle name="Обычный 27 3 2" xfId="59241" xr:uid="{00000000-0005-0000-0000-0000F7E70000}"/>
    <cellStyle name="Обычный 27 3 3" xfId="59242" xr:uid="{00000000-0005-0000-0000-0000F8E70000}"/>
    <cellStyle name="Обычный 27 4" xfId="59243" xr:uid="{00000000-0005-0000-0000-0000F9E70000}"/>
    <cellStyle name="Обычный 27 4 2" xfId="59244" xr:uid="{00000000-0005-0000-0000-0000FAE70000}"/>
    <cellStyle name="Обычный 27 5" xfId="59245" xr:uid="{00000000-0005-0000-0000-0000FBE70000}"/>
    <cellStyle name="Обычный 27 6" xfId="59246" xr:uid="{00000000-0005-0000-0000-0000FCE70000}"/>
    <cellStyle name="Обычный 27 7" xfId="59247" xr:uid="{00000000-0005-0000-0000-0000FDE70000}"/>
    <cellStyle name="Обычный 27 8" xfId="59248" xr:uid="{00000000-0005-0000-0000-0000FEE70000}"/>
    <cellStyle name="Обычный 27 9" xfId="59249" xr:uid="{00000000-0005-0000-0000-0000FFE70000}"/>
    <cellStyle name="Обычный 28" xfId="59250" xr:uid="{00000000-0005-0000-0000-000000E80000}"/>
    <cellStyle name="Обычный 28 2" xfId="59251" xr:uid="{00000000-0005-0000-0000-000001E80000}"/>
    <cellStyle name="Обычный 28 2 2" xfId="59252" xr:uid="{00000000-0005-0000-0000-000002E80000}"/>
    <cellStyle name="Обычный 28 2 2 2" xfId="59253" xr:uid="{00000000-0005-0000-0000-000003E80000}"/>
    <cellStyle name="Обычный 28 2 3" xfId="59254" xr:uid="{00000000-0005-0000-0000-000004E80000}"/>
    <cellStyle name="Обычный 28 3" xfId="59255" xr:uid="{00000000-0005-0000-0000-000005E80000}"/>
    <cellStyle name="Обычный 28 3 2" xfId="59256" xr:uid="{00000000-0005-0000-0000-000006E80000}"/>
    <cellStyle name="Обычный 28 3 3" xfId="59257" xr:uid="{00000000-0005-0000-0000-000007E80000}"/>
    <cellStyle name="Обычный 28 4" xfId="59258" xr:uid="{00000000-0005-0000-0000-000008E80000}"/>
    <cellStyle name="Обычный 28 4 2" xfId="59259" xr:uid="{00000000-0005-0000-0000-000009E80000}"/>
    <cellStyle name="Обычный 28 5" xfId="59260" xr:uid="{00000000-0005-0000-0000-00000AE80000}"/>
    <cellStyle name="Обычный 28 6" xfId="59261" xr:uid="{00000000-0005-0000-0000-00000BE80000}"/>
    <cellStyle name="Обычный 28 7" xfId="59262" xr:uid="{00000000-0005-0000-0000-00000CE80000}"/>
    <cellStyle name="Обычный 28 8" xfId="59263" xr:uid="{00000000-0005-0000-0000-00000DE80000}"/>
    <cellStyle name="Обычный 28 9" xfId="59264" xr:uid="{00000000-0005-0000-0000-00000EE80000}"/>
    <cellStyle name="Обычный 29" xfId="59265" xr:uid="{00000000-0005-0000-0000-00000FE80000}"/>
    <cellStyle name="Обычный 29 2" xfId="59266" xr:uid="{00000000-0005-0000-0000-000010E80000}"/>
    <cellStyle name="Обычный 29 2 2" xfId="59267" xr:uid="{00000000-0005-0000-0000-000011E80000}"/>
    <cellStyle name="Обычный 29 2 2 2" xfId="59268" xr:uid="{00000000-0005-0000-0000-000012E80000}"/>
    <cellStyle name="Обычный 29 2 3" xfId="59269" xr:uid="{00000000-0005-0000-0000-000013E80000}"/>
    <cellStyle name="Обычный 29 3" xfId="59270" xr:uid="{00000000-0005-0000-0000-000014E80000}"/>
    <cellStyle name="Обычный 29 3 2" xfId="59271" xr:uid="{00000000-0005-0000-0000-000015E80000}"/>
    <cellStyle name="Обычный 29 3 3" xfId="59272" xr:uid="{00000000-0005-0000-0000-000016E80000}"/>
    <cellStyle name="Обычный 29 4" xfId="59273" xr:uid="{00000000-0005-0000-0000-000017E80000}"/>
    <cellStyle name="Обычный 29 4 2" xfId="59274" xr:uid="{00000000-0005-0000-0000-000018E80000}"/>
    <cellStyle name="Обычный 29 5" xfId="59275" xr:uid="{00000000-0005-0000-0000-000019E80000}"/>
    <cellStyle name="Обычный 29 6" xfId="59276" xr:uid="{00000000-0005-0000-0000-00001AE80000}"/>
    <cellStyle name="Обычный 29 7" xfId="59277" xr:uid="{00000000-0005-0000-0000-00001BE80000}"/>
    <cellStyle name="Обычный 29 8" xfId="59278" xr:uid="{00000000-0005-0000-0000-00001CE80000}"/>
    <cellStyle name="Обычный 29 9" xfId="59279" xr:uid="{00000000-0005-0000-0000-00001DE80000}"/>
    <cellStyle name="Обычный 3" xfId="59280" xr:uid="{00000000-0005-0000-0000-00001EE80000}"/>
    <cellStyle name="Обычный 3 10" xfId="59281" xr:uid="{00000000-0005-0000-0000-00001FE80000}"/>
    <cellStyle name="Обычный 3 10 2" xfId="59282" xr:uid="{00000000-0005-0000-0000-000020E80000}"/>
    <cellStyle name="Обычный 3 10 2 2" xfId="59283" xr:uid="{00000000-0005-0000-0000-000021E80000}"/>
    <cellStyle name="Обычный 3 10 2 3" xfId="59284" xr:uid="{00000000-0005-0000-0000-000022E80000}"/>
    <cellStyle name="Обычный 3 10 3" xfId="59285" xr:uid="{00000000-0005-0000-0000-000023E80000}"/>
    <cellStyle name="Обычный 3 10 3 2" xfId="59286" xr:uid="{00000000-0005-0000-0000-000024E80000}"/>
    <cellStyle name="Обычный 3 10 3 3" xfId="59287" xr:uid="{00000000-0005-0000-0000-000025E80000}"/>
    <cellStyle name="Обычный 3 10 4" xfId="59288" xr:uid="{00000000-0005-0000-0000-000026E80000}"/>
    <cellStyle name="Обычный 3 10 5" xfId="59289" xr:uid="{00000000-0005-0000-0000-000027E80000}"/>
    <cellStyle name="Обычный 3 11" xfId="59290" xr:uid="{00000000-0005-0000-0000-000028E80000}"/>
    <cellStyle name="Обычный 3 11 2" xfId="59291" xr:uid="{00000000-0005-0000-0000-000029E80000}"/>
    <cellStyle name="Обычный 3 11 2 2" xfId="59292" xr:uid="{00000000-0005-0000-0000-00002AE80000}"/>
    <cellStyle name="Обычный 3 11 2 3" xfId="59293" xr:uid="{00000000-0005-0000-0000-00002BE80000}"/>
    <cellStyle name="Обычный 3 11 3" xfId="59294" xr:uid="{00000000-0005-0000-0000-00002CE80000}"/>
    <cellStyle name="Обычный 3 11 3 2" xfId="59295" xr:uid="{00000000-0005-0000-0000-00002DE80000}"/>
    <cellStyle name="Обычный 3 11 3 3" xfId="59296" xr:uid="{00000000-0005-0000-0000-00002EE80000}"/>
    <cellStyle name="Обычный 3 11 4" xfId="59297" xr:uid="{00000000-0005-0000-0000-00002FE80000}"/>
    <cellStyle name="Обычный 3 11 5" xfId="59298" xr:uid="{00000000-0005-0000-0000-000030E80000}"/>
    <cellStyle name="Обычный 3 12" xfId="59299" xr:uid="{00000000-0005-0000-0000-000031E80000}"/>
    <cellStyle name="Обычный 3 12 2" xfId="59300" xr:uid="{00000000-0005-0000-0000-000032E80000}"/>
    <cellStyle name="Обычный 3 12 2 2" xfId="59301" xr:uid="{00000000-0005-0000-0000-000033E80000}"/>
    <cellStyle name="Обычный 3 12 2 3" xfId="59302" xr:uid="{00000000-0005-0000-0000-000034E80000}"/>
    <cellStyle name="Обычный 3 12 3" xfId="59303" xr:uid="{00000000-0005-0000-0000-000035E80000}"/>
    <cellStyle name="Обычный 3 12 3 2" xfId="59304" xr:uid="{00000000-0005-0000-0000-000036E80000}"/>
    <cellStyle name="Обычный 3 12 3 3" xfId="59305" xr:uid="{00000000-0005-0000-0000-000037E80000}"/>
    <cellStyle name="Обычный 3 12 4" xfId="59306" xr:uid="{00000000-0005-0000-0000-000038E80000}"/>
    <cellStyle name="Обычный 3 12 5" xfId="59307" xr:uid="{00000000-0005-0000-0000-000039E80000}"/>
    <cellStyle name="Обычный 3 13" xfId="59308" xr:uid="{00000000-0005-0000-0000-00003AE80000}"/>
    <cellStyle name="Обычный 3 13 2" xfId="59309" xr:uid="{00000000-0005-0000-0000-00003BE80000}"/>
    <cellStyle name="Обычный 3 13 2 2" xfId="59310" xr:uid="{00000000-0005-0000-0000-00003CE80000}"/>
    <cellStyle name="Обычный 3 13 2 3" xfId="59311" xr:uid="{00000000-0005-0000-0000-00003DE80000}"/>
    <cellStyle name="Обычный 3 13 3" xfId="59312" xr:uid="{00000000-0005-0000-0000-00003EE80000}"/>
    <cellStyle name="Обычный 3 13 3 2" xfId="59313" xr:uid="{00000000-0005-0000-0000-00003FE80000}"/>
    <cellStyle name="Обычный 3 13 3 3" xfId="59314" xr:uid="{00000000-0005-0000-0000-000040E80000}"/>
    <cellStyle name="Обычный 3 13 4" xfId="59315" xr:uid="{00000000-0005-0000-0000-000041E80000}"/>
    <cellStyle name="Обычный 3 13 5" xfId="59316" xr:uid="{00000000-0005-0000-0000-000042E80000}"/>
    <cellStyle name="Обычный 3 14" xfId="59317" xr:uid="{00000000-0005-0000-0000-000043E80000}"/>
    <cellStyle name="Обычный 3 14 2" xfId="59318" xr:uid="{00000000-0005-0000-0000-000044E80000}"/>
    <cellStyle name="Обычный 3 14 2 2" xfId="59319" xr:uid="{00000000-0005-0000-0000-000045E80000}"/>
    <cellStyle name="Обычный 3 14 2 3" xfId="59320" xr:uid="{00000000-0005-0000-0000-000046E80000}"/>
    <cellStyle name="Обычный 3 14 3" xfId="59321" xr:uid="{00000000-0005-0000-0000-000047E80000}"/>
    <cellStyle name="Обычный 3 14 3 2" xfId="59322" xr:uid="{00000000-0005-0000-0000-000048E80000}"/>
    <cellStyle name="Обычный 3 14 3 3" xfId="59323" xr:uid="{00000000-0005-0000-0000-000049E80000}"/>
    <cellStyle name="Обычный 3 14 4" xfId="59324" xr:uid="{00000000-0005-0000-0000-00004AE80000}"/>
    <cellStyle name="Обычный 3 14 5" xfId="59325" xr:uid="{00000000-0005-0000-0000-00004BE80000}"/>
    <cellStyle name="Обычный 3 15" xfId="59326" xr:uid="{00000000-0005-0000-0000-00004CE80000}"/>
    <cellStyle name="Обычный 3 15 2" xfId="59327" xr:uid="{00000000-0005-0000-0000-00004DE80000}"/>
    <cellStyle name="Обычный 3 15 2 2" xfId="59328" xr:uid="{00000000-0005-0000-0000-00004EE80000}"/>
    <cellStyle name="Обычный 3 15 2 3" xfId="59329" xr:uid="{00000000-0005-0000-0000-00004FE80000}"/>
    <cellStyle name="Обычный 3 15 3" xfId="59330" xr:uid="{00000000-0005-0000-0000-000050E80000}"/>
    <cellStyle name="Обычный 3 15 3 2" xfId="59331" xr:uid="{00000000-0005-0000-0000-000051E80000}"/>
    <cellStyle name="Обычный 3 15 3 3" xfId="59332" xr:uid="{00000000-0005-0000-0000-000052E80000}"/>
    <cellStyle name="Обычный 3 15 4" xfId="59333" xr:uid="{00000000-0005-0000-0000-000053E80000}"/>
    <cellStyle name="Обычный 3 15 5" xfId="59334" xr:uid="{00000000-0005-0000-0000-000054E80000}"/>
    <cellStyle name="Обычный 3 16" xfId="59335" xr:uid="{00000000-0005-0000-0000-000055E80000}"/>
    <cellStyle name="Обычный 3 16 2" xfId="59336" xr:uid="{00000000-0005-0000-0000-000056E80000}"/>
    <cellStyle name="Обычный 3 16 2 2" xfId="59337" xr:uid="{00000000-0005-0000-0000-000057E80000}"/>
    <cellStyle name="Обычный 3 16 2 3" xfId="59338" xr:uid="{00000000-0005-0000-0000-000058E80000}"/>
    <cellStyle name="Обычный 3 16 3" xfId="59339" xr:uid="{00000000-0005-0000-0000-000059E80000}"/>
    <cellStyle name="Обычный 3 16 3 2" xfId="59340" xr:uid="{00000000-0005-0000-0000-00005AE80000}"/>
    <cellStyle name="Обычный 3 16 3 3" xfId="59341" xr:uid="{00000000-0005-0000-0000-00005BE80000}"/>
    <cellStyle name="Обычный 3 16 4" xfId="59342" xr:uid="{00000000-0005-0000-0000-00005CE80000}"/>
    <cellStyle name="Обычный 3 16 5" xfId="59343" xr:uid="{00000000-0005-0000-0000-00005DE80000}"/>
    <cellStyle name="Обычный 3 17" xfId="59344" xr:uid="{00000000-0005-0000-0000-00005EE80000}"/>
    <cellStyle name="Обычный 3 17 2" xfId="59345" xr:uid="{00000000-0005-0000-0000-00005FE80000}"/>
    <cellStyle name="Обычный 3 17 2 2" xfId="59346" xr:uid="{00000000-0005-0000-0000-000060E80000}"/>
    <cellStyle name="Обычный 3 17 2 3" xfId="59347" xr:uid="{00000000-0005-0000-0000-000061E80000}"/>
    <cellStyle name="Обычный 3 17 3" xfId="59348" xr:uid="{00000000-0005-0000-0000-000062E80000}"/>
    <cellStyle name="Обычный 3 17 3 2" xfId="59349" xr:uid="{00000000-0005-0000-0000-000063E80000}"/>
    <cellStyle name="Обычный 3 17 3 3" xfId="59350" xr:uid="{00000000-0005-0000-0000-000064E80000}"/>
    <cellStyle name="Обычный 3 17 4" xfId="59351" xr:uid="{00000000-0005-0000-0000-000065E80000}"/>
    <cellStyle name="Обычный 3 17 5" xfId="59352" xr:uid="{00000000-0005-0000-0000-000066E80000}"/>
    <cellStyle name="Обычный 3 18" xfId="59353" xr:uid="{00000000-0005-0000-0000-000067E80000}"/>
    <cellStyle name="Обычный 3 18 2" xfId="59354" xr:uid="{00000000-0005-0000-0000-000068E80000}"/>
    <cellStyle name="Обычный 3 18 2 2" xfId="59355" xr:uid="{00000000-0005-0000-0000-000069E80000}"/>
    <cellStyle name="Обычный 3 18 2 3" xfId="59356" xr:uid="{00000000-0005-0000-0000-00006AE80000}"/>
    <cellStyle name="Обычный 3 18 3" xfId="59357" xr:uid="{00000000-0005-0000-0000-00006BE80000}"/>
    <cellStyle name="Обычный 3 18 3 2" xfId="59358" xr:uid="{00000000-0005-0000-0000-00006CE80000}"/>
    <cellStyle name="Обычный 3 18 3 3" xfId="59359" xr:uid="{00000000-0005-0000-0000-00006DE80000}"/>
    <cellStyle name="Обычный 3 18 4" xfId="59360" xr:uid="{00000000-0005-0000-0000-00006EE80000}"/>
    <cellStyle name="Обычный 3 18 5" xfId="59361" xr:uid="{00000000-0005-0000-0000-00006FE80000}"/>
    <cellStyle name="Обычный 3 19" xfId="59362" xr:uid="{00000000-0005-0000-0000-000070E80000}"/>
    <cellStyle name="Обычный 3 19 2" xfId="59363" xr:uid="{00000000-0005-0000-0000-000071E80000}"/>
    <cellStyle name="Обычный 3 19 3" xfId="59364" xr:uid="{00000000-0005-0000-0000-000072E80000}"/>
    <cellStyle name="Обычный 3 2" xfId="59365" xr:uid="{00000000-0005-0000-0000-000073E80000}"/>
    <cellStyle name="Обычный 3 20" xfId="59366" xr:uid="{00000000-0005-0000-0000-000074E80000}"/>
    <cellStyle name="Обычный 3 20 2" xfId="59367" xr:uid="{00000000-0005-0000-0000-000075E80000}"/>
    <cellStyle name="Обычный 3 20 3" xfId="59368" xr:uid="{00000000-0005-0000-0000-000076E80000}"/>
    <cellStyle name="Обычный 3 21" xfId="59369" xr:uid="{00000000-0005-0000-0000-000077E80000}"/>
    <cellStyle name="Обычный 3 22" xfId="59370" xr:uid="{00000000-0005-0000-0000-000078E80000}"/>
    <cellStyle name="Обычный 3 23" xfId="59371" xr:uid="{00000000-0005-0000-0000-000079E80000}"/>
    <cellStyle name="Обычный 3 24" xfId="59372" xr:uid="{00000000-0005-0000-0000-00007AE80000}"/>
    <cellStyle name="Обычный 3 3" xfId="59373" xr:uid="{00000000-0005-0000-0000-00007BE80000}"/>
    <cellStyle name="Обычный 3 3 2" xfId="59374" xr:uid="{00000000-0005-0000-0000-00007CE80000}"/>
    <cellStyle name="Обычный 3 3 3" xfId="59375" xr:uid="{00000000-0005-0000-0000-00007DE80000}"/>
    <cellStyle name="Обычный 3 4" xfId="59376" xr:uid="{00000000-0005-0000-0000-00007EE80000}"/>
    <cellStyle name="Обычный 3 4 2" xfId="59377" xr:uid="{00000000-0005-0000-0000-00007FE80000}"/>
    <cellStyle name="Обычный 3 4 2 2" xfId="59378" xr:uid="{00000000-0005-0000-0000-000080E80000}"/>
    <cellStyle name="Обычный 3 4 2 2 2" xfId="59379" xr:uid="{00000000-0005-0000-0000-000081E80000}"/>
    <cellStyle name="Обычный 3 4 2 2 2 2" xfId="59380" xr:uid="{00000000-0005-0000-0000-000082E80000}"/>
    <cellStyle name="Обычный 3 4 2 2 2 3" xfId="59381" xr:uid="{00000000-0005-0000-0000-000083E80000}"/>
    <cellStyle name="Обычный 3 4 2 2 3" xfId="59382" xr:uid="{00000000-0005-0000-0000-000084E80000}"/>
    <cellStyle name="Обычный 3 4 2 2 3 2" xfId="59383" xr:uid="{00000000-0005-0000-0000-000085E80000}"/>
    <cellStyle name="Обычный 3 4 2 2 3 3" xfId="59384" xr:uid="{00000000-0005-0000-0000-000086E80000}"/>
    <cellStyle name="Обычный 3 4 2 2 4" xfId="59385" xr:uid="{00000000-0005-0000-0000-000087E80000}"/>
    <cellStyle name="Обычный 3 4 2 2 5" xfId="59386" xr:uid="{00000000-0005-0000-0000-000088E80000}"/>
    <cellStyle name="Обычный 3 4 2 3" xfId="59387" xr:uid="{00000000-0005-0000-0000-000089E80000}"/>
    <cellStyle name="Обычный 3 4 2 3 2" xfId="59388" xr:uid="{00000000-0005-0000-0000-00008AE80000}"/>
    <cellStyle name="Обычный 3 4 2 3 3" xfId="59389" xr:uid="{00000000-0005-0000-0000-00008BE80000}"/>
    <cellStyle name="Обычный 3 4 2 4" xfId="59390" xr:uid="{00000000-0005-0000-0000-00008CE80000}"/>
    <cellStyle name="Обычный 3 4 2 4 2" xfId="59391" xr:uid="{00000000-0005-0000-0000-00008DE80000}"/>
    <cellStyle name="Обычный 3 4 2 4 3" xfId="59392" xr:uid="{00000000-0005-0000-0000-00008EE80000}"/>
    <cellStyle name="Обычный 3 4 2 5" xfId="59393" xr:uid="{00000000-0005-0000-0000-00008FE80000}"/>
    <cellStyle name="Обычный 3 4 2 6" xfId="59394" xr:uid="{00000000-0005-0000-0000-000090E80000}"/>
    <cellStyle name="Обычный 3 4 2_объемы 2018г111" xfId="59395" xr:uid="{00000000-0005-0000-0000-000091E80000}"/>
    <cellStyle name="Обычный 3 4 3" xfId="59396" xr:uid="{00000000-0005-0000-0000-000092E80000}"/>
    <cellStyle name="Обычный 3 4 3 2" xfId="59397" xr:uid="{00000000-0005-0000-0000-000093E80000}"/>
    <cellStyle name="Обычный 3 4 3 2 2" xfId="59398" xr:uid="{00000000-0005-0000-0000-000094E80000}"/>
    <cellStyle name="Обычный 3 4 3 2 3" xfId="59399" xr:uid="{00000000-0005-0000-0000-000095E80000}"/>
    <cellStyle name="Обычный 3 4 3 3" xfId="59400" xr:uid="{00000000-0005-0000-0000-000096E80000}"/>
    <cellStyle name="Обычный 3 4 3 3 2" xfId="59401" xr:uid="{00000000-0005-0000-0000-000097E80000}"/>
    <cellStyle name="Обычный 3 4 3 3 3" xfId="59402" xr:uid="{00000000-0005-0000-0000-000098E80000}"/>
    <cellStyle name="Обычный 3 4 3 4" xfId="59403" xr:uid="{00000000-0005-0000-0000-000099E80000}"/>
    <cellStyle name="Обычный 3 4 3 5" xfId="59404" xr:uid="{00000000-0005-0000-0000-00009AE80000}"/>
    <cellStyle name="Обычный 3 4 4" xfId="59405" xr:uid="{00000000-0005-0000-0000-00009BE80000}"/>
    <cellStyle name="Обычный 3 4 4 2" xfId="59406" xr:uid="{00000000-0005-0000-0000-00009CE80000}"/>
    <cellStyle name="Обычный 3 4 4 3" xfId="59407" xr:uid="{00000000-0005-0000-0000-00009DE80000}"/>
    <cellStyle name="Обычный 3 4 5" xfId="59408" xr:uid="{00000000-0005-0000-0000-00009EE80000}"/>
    <cellStyle name="Обычный 3 4 5 2" xfId="59409" xr:uid="{00000000-0005-0000-0000-00009FE80000}"/>
    <cellStyle name="Обычный 3 4 5 3" xfId="59410" xr:uid="{00000000-0005-0000-0000-0000A0E80000}"/>
    <cellStyle name="Обычный 3 4 6" xfId="59411" xr:uid="{00000000-0005-0000-0000-0000A1E80000}"/>
    <cellStyle name="Обычный 3 4 7" xfId="59412" xr:uid="{00000000-0005-0000-0000-0000A2E80000}"/>
    <cellStyle name="Обычный 3 4_объемы 2018г111" xfId="59413" xr:uid="{00000000-0005-0000-0000-0000A3E80000}"/>
    <cellStyle name="Обычный 3 5" xfId="59414" xr:uid="{00000000-0005-0000-0000-0000A4E80000}"/>
    <cellStyle name="Обычный 3 5 2" xfId="59415" xr:uid="{00000000-0005-0000-0000-0000A5E80000}"/>
    <cellStyle name="Обычный 3 5 2 2" xfId="59416" xr:uid="{00000000-0005-0000-0000-0000A6E80000}"/>
    <cellStyle name="Обычный 3 5 2 2 2" xfId="59417" xr:uid="{00000000-0005-0000-0000-0000A7E80000}"/>
    <cellStyle name="Обычный 3 5 2 2 2 2" xfId="59418" xr:uid="{00000000-0005-0000-0000-0000A8E80000}"/>
    <cellStyle name="Обычный 3 5 2 2 2 3" xfId="59419" xr:uid="{00000000-0005-0000-0000-0000A9E80000}"/>
    <cellStyle name="Обычный 3 5 2 2 3" xfId="59420" xr:uid="{00000000-0005-0000-0000-0000AAE80000}"/>
    <cellStyle name="Обычный 3 5 2 2 3 2" xfId="59421" xr:uid="{00000000-0005-0000-0000-0000ABE80000}"/>
    <cellStyle name="Обычный 3 5 2 2 3 3" xfId="59422" xr:uid="{00000000-0005-0000-0000-0000ACE80000}"/>
    <cellStyle name="Обычный 3 5 2 2 4" xfId="59423" xr:uid="{00000000-0005-0000-0000-0000ADE80000}"/>
    <cellStyle name="Обычный 3 5 2 2 5" xfId="59424" xr:uid="{00000000-0005-0000-0000-0000AEE80000}"/>
    <cellStyle name="Обычный 3 5 2 3" xfId="59425" xr:uid="{00000000-0005-0000-0000-0000AFE80000}"/>
    <cellStyle name="Обычный 3 5 2 3 2" xfId="59426" xr:uid="{00000000-0005-0000-0000-0000B0E80000}"/>
    <cellStyle name="Обычный 3 5 2 3 3" xfId="59427" xr:uid="{00000000-0005-0000-0000-0000B1E80000}"/>
    <cellStyle name="Обычный 3 5 2 4" xfId="59428" xr:uid="{00000000-0005-0000-0000-0000B2E80000}"/>
    <cellStyle name="Обычный 3 5 2 4 2" xfId="59429" xr:uid="{00000000-0005-0000-0000-0000B3E80000}"/>
    <cellStyle name="Обычный 3 5 2 4 3" xfId="59430" xr:uid="{00000000-0005-0000-0000-0000B4E80000}"/>
    <cellStyle name="Обычный 3 5 2 5" xfId="59431" xr:uid="{00000000-0005-0000-0000-0000B5E80000}"/>
    <cellStyle name="Обычный 3 5 2 6" xfId="59432" xr:uid="{00000000-0005-0000-0000-0000B6E80000}"/>
    <cellStyle name="Обычный 3 5 2_объемы 2018г111" xfId="59433" xr:uid="{00000000-0005-0000-0000-0000B7E80000}"/>
    <cellStyle name="Обычный 3 5 3" xfId="59434" xr:uid="{00000000-0005-0000-0000-0000B8E80000}"/>
    <cellStyle name="Обычный 3 5 3 2" xfId="59435" xr:uid="{00000000-0005-0000-0000-0000B9E80000}"/>
    <cellStyle name="Обычный 3 5 3 2 2" xfId="59436" xr:uid="{00000000-0005-0000-0000-0000BAE80000}"/>
    <cellStyle name="Обычный 3 5 3 2 3" xfId="59437" xr:uid="{00000000-0005-0000-0000-0000BBE80000}"/>
    <cellStyle name="Обычный 3 5 3 3" xfId="59438" xr:uid="{00000000-0005-0000-0000-0000BCE80000}"/>
    <cellStyle name="Обычный 3 5 3 3 2" xfId="59439" xr:uid="{00000000-0005-0000-0000-0000BDE80000}"/>
    <cellStyle name="Обычный 3 5 3 3 3" xfId="59440" xr:uid="{00000000-0005-0000-0000-0000BEE80000}"/>
    <cellStyle name="Обычный 3 5 3 4" xfId="59441" xr:uid="{00000000-0005-0000-0000-0000BFE80000}"/>
    <cellStyle name="Обычный 3 5 3 5" xfId="59442" xr:uid="{00000000-0005-0000-0000-0000C0E80000}"/>
    <cellStyle name="Обычный 3 5 4" xfId="59443" xr:uid="{00000000-0005-0000-0000-0000C1E80000}"/>
    <cellStyle name="Обычный 3 5 4 2" xfId="59444" xr:uid="{00000000-0005-0000-0000-0000C2E80000}"/>
    <cellStyle name="Обычный 3 5 4 3" xfId="59445" xr:uid="{00000000-0005-0000-0000-0000C3E80000}"/>
    <cellStyle name="Обычный 3 5 5" xfId="59446" xr:uid="{00000000-0005-0000-0000-0000C4E80000}"/>
    <cellStyle name="Обычный 3 5 5 2" xfId="59447" xr:uid="{00000000-0005-0000-0000-0000C5E80000}"/>
    <cellStyle name="Обычный 3 5 5 3" xfId="59448" xr:uid="{00000000-0005-0000-0000-0000C6E80000}"/>
    <cellStyle name="Обычный 3 5 6" xfId="59449" xr:uid="{00000000-0005-0000-0000-0000C7E80000}"/>
    <cellStyle name="Обычный 3 5 7" xfId="59450" xr:uid="{00000000-0005-0000-0000-0000C8E80000}"/>
    <cellStyle name="Обычный 3 5_объемы 2018г111" xfId="59451" xr:uid="{00000000-0005-0000-0000-0000C9E80000}"/>
    <cellStyle name="Обычный 3 6" xfId="59452" xr:uid="{00000000-0005-0000-0000-0000CAE80000}"/>
    <cellStyle name="Обычный 3 6 2" xfId="59453" xr:uid="{00000000-0005-0000-0000-0000CBE80000}"/>
    <cellStyle name="Обычный 3 6 2 2" xfId="59454" xr:uid="{00000000-0005-0000-0000-0000CCE80000}"/>
    <cellStyle name="Обычный 3 6 2 2 2" xfId="59455" xr:uid="{00000000-0005-0000-0000-0000CDE80000}"/>
    <cellStyle name="Обычный 3 6 2 2 3" xfId="59456" xr:uid="{00000000-0005-0000-0000-0000CEE80000}"/>
    <cellStyle name="Обычный 3 6 2 3" xfId="59457" xr:uid="{00000000-0005-0000-0000-0000CFE80000}"/>
    <cellStyle name="Обычный 3 6 2 3 2" xfId="59458" xr:uid="{00000000-0005-0000-0000-0000D0E80000}"/>
    <cellStyle name="Обычный 3 6 2 3 3" xfId="59459" xr:uid="{00000000-0005-0000-0000-0000D1E80000}"/>
    <cellStyle name="Обычный 3 6 2 4" xfId="59460" xr:uid="{00000000-0005-0000-0000-0000D2E80000}"/>
    <cellStyle name="Обычный 3 6 2 5" xfId="59461" xr:uid="{00000000-0005-0000-0000-0000D3E80000}"/>
    <cellStyle name="Обычный 3 6 3" xfId="59462" xr:uid="{00000000-0005-0000-0000-0000D4E80000}"/>
    <cellStyle name="Обычный 3 6 3 2" xfId="59463" xr:uid="{00000000-0005-0000-0000-0000D5E80000}"/>
    <cellStyle name="Обычный 3 6 3 3" xfId="59464" xr:uid="{00000000-0005-0000-0000-0000D6E80000}"/>
    <cellStyle name="Обычный 3 6 4" xfId="59465" xr:uid="{00000000-0005-0000-0000-0000D7E80000}"/>
    <cellStyle name="Обычный 3 6 4 2" xfId="59466" xr:uid="{00000000-0005-0000-0000-0000D8E80000}"/>
    <cellStyle name="Обычный 3 6 4 3" xfId="59467" xr:uid="{00000000-0005-0000-0000-0000D9E80000}"/>
    <cellStyle name="Обычный 3 6 5" xfId="59468" xr:uid="{00000000-0005-0000-0000-0000DAE80000}"/>
    <cellStyle name="Обычный 3 6 6" xfId="59469" xr:uid="{00000000-0005-0000-0000-0000DBE80000}"/>
    <cellStyle name="Обычный 3 6_объемы 2018г111" xfId="59470" xr:uid="{00000000-0005-0000-0000-0000DCE80000}"/>
    <cellStyle name="Обычный 3 7" xfId="59471" xr:uid="{00000000-0005-0000-0000-0000DDE80000}"/>
    <cellStyle name="Обычный 3 7 2" xfId="59472" xr:uid="{00000000-0005-0000-0000-0000DEE80000}"/>
    <cellStyle name="Обычный 3 7 2 2" xfId="59473" xr:uid="{00000000-0005-0000-0000-0000DFE80000}"/>
    <cellStyle name="Обычный 3 7 2 3" xfId="59474" xr:uid="{00000000-0005-0000-0000-0000E0E80000}"/>
    <cellStyle name="Обычный 3 7 3" xfId="59475" xr:uid="{00000000-0005-0000-0000-0000E1E80000}"/>
    <cellStyle name="Обычный 3 7 3 2" xfId="59476" xr:uid="{00000000-0005-0000-0000-0000E2E80000}"/>
    <cellStyle name="Обычный 3 7 3 3" xfId="59477" xr:uid="{00000000-0005-0000-0000-0000E3E80000}"/>
    <cellStyle name="Обычный 3 7 4" xfId="59478" xr:uid="{00000000-0005-0000-0000-0000E4E80000}"/>
    <cellStyle name="Обычный 3 7 5" xfId="59479" xr:uid="{00000000-0005-0000-0000-0000E5E80000}"/>
    <cellStyle name="Обычный 3 8" xfId="59480" xr:uid="{00000000-0005-0000-0000-0000E6E80000}"/>
    <cellStyle name="Обычный 3 8 2" xfId="59481" xr:uid="{00000000-0005-0000-0000-0000E7E80000}"/>
    <cellStyle name="Обычный 3 8 2 2" xfId="59482" xr:uid="{00000000-0005-0000-0000-0000E8E80000}"/>
    <cellStyle name="Обычный 3 8 2 3" xfId="59483" xr:uid="{00000000-0005-0000-0000-0000E9E80000}"/>
    <cellStyle name="Обычный 3 8 3" xfId="59484" xr:uid="{00000000-0005-0000-0000-0000EAE80000}"/>
    <cellStyle name="Обычный 3 8 3 2" xfId="59485" xr:uid="{00000000-0005-0000-0000-0000EBE80000}"/>
    <cellStyle name="Обычный 3 8 3 3" xfId="59486" xr:uid="{00000000-0005-0000-0000-0000ECE80000}"/>
    <cellStyle name="Обычный 3 8 4" xfId="59487" xr:uid="{00000000-0005-0000-0000-0000EDE80000}"/>
    <cellStyle name="Обычный 3 8 5" xfId="59488" xr:uid="{00000000-0005-0000-0000-0000EEE80000}"/>
    <cellStyle name="Обычный 3 9" xfId="59489" xr:uid="{00000000-0005-0000-0000-0000EFE80000}"/>
    <cellStyle name="Обычный 3 9 2" xfId="59490" xr:uid="{00000000-0005-0000-0000-0000F0E80000}"/>
    <cellStyle name="Обычный 3 9 2 2" xfId="59491" xr:uid="{00000000-0005-0000-0000-0000F1E80000}"/>
    <cellStyle name="Обычный 3 9 2 3" xfId="59492" xr:uid="{00000000-0005-0000-0000-0000F2E80000}"/>
    <cellStyle name="Обычный 3 9 3" xfId="59493" xr:uid="{00000000-0005-0000-0000-0000F3E80000}"/>
    <cellStyle name="Обычный 3 9 3 2" xfId="59494" xr:uid="{00000000-0005-0000-0000-0000F4E80000}"/>
    <cellStyle name="Обычный 3 9 3 3" xfId="59495" xr:uid="{00000000-0005-0000-0000-0000F5E80000}"/>
    <cellStyle name="Обычный 3 9 4" xfId="59496" xr:uid="{00000000-0005-0000-0000-0000F6E80000}"/>
    <cellStyle name="Обычный 3 9 5" xfId="59497" xr:uid="{00000000-0005-0000-0000-0000F7E80000}"/>
    <cellStyle name="Обычный 3_объемы 2018г111" xfId="59498" xr:uid="{00000000-0005-0000-0000-0000F8E80000}"/>
    <cellStyle name="Обычный 30" xfId="59499" xr:uid="{00000000-0005-0000-0000-0000F9E80000}"/>
    <cellStyle name="Обычный 30 2" xfId="59500" xr:uid="{00000000-0005-0000-0000-0000FAE80000}"/>
    <cellStyle name="Обычный 30 2 2" xfId="59501" xr:uid="{00000000-0005-0000-0000-0000FBE80000}"/>
    <cellStyle name="Обычный 30 3" xfId="59502" xr:uid="{00000000-0005-0000-0000-0000FCE80000}"/>
    <cellStyle name="Обычный 30 3 2" xfId="59503" xr:uid="{00000000-0005-0000-0000-0000FDE80000}"/>
    <cellStyle name="Обычный 30 4" xfId="59504" xr:uid="{00000000-0005-0000-0000-0000FEE80000}"/>
    <cellStyle name="Обычный 30 5" xfId="59505" xr:uid="{00000000-0005-0000-0000-0000FFE80000}"/>
    <cellStyle name="Обычный 30 6" xfId="59506" xr:uid="{00000000-0005-0000-0000-000000E90000}"/>
    <cellStyle name="Обычный 30 7" xfId="59507" xr:uid="{00000000-0005-0000-0000-000001E90000}"/>
    <cellStyle name="Обычный 30 8" xfId="59508" xr:uid="{00000000-0005-0000-0000-000002E90000}"/>
    <cellStyle name="Обычный 31" xfId="59509" xr:uid="{00000000-0005-0000-0000-000003E90000}"/>
    <cellStyle name="Обычный 31 2" xfId="59510" xr:uid="{00000000-0005-0000-0000-000004E90000}"/>
    <cellStyle name="Обычный 31 2 2" xfId="59511" xr:uid="{00000000-0005-0000-0000-000005E90000}"/>
    <cellStyle name="Обычный 31 2 3" xfId="59512" xr:uid="{00000000-0005-0000-0000-000006E90000}"/>
    <cellStyle name="Обычный 31 3" xfId="59513" xr:uid="{00000000-0005-0000-0000-000007E90000}"/>
    <cellStyle name="Обычный 31 3 2" xfId="59514" xr:uid="{00000000-0005-0000-0000-000008E90000}"/>
    <cellStyle name="Обычный 31 3 3" xfId="59515" xr:uid="{00000000-0005-0000-0000-000009E90000}"/>
    <cellStyle name="Обычный 31 4" xfId="59516" xr:uid="{00000000-0005-0000-0000-00000AE90000}"/>
    <cellStyle name="Обычный 31 5" xfId="59517" xr:uid="{00000000-0005-0000-0000-00000BE90000}"/>
    <cellStyle name="Обычный 32" xfId="59518" xr:uid="{00000000-0005-0000-0000-00000CE90000}"/>
    <cellStyle name="Обычный 32 2" xfId="59519" xr:uid="{00000000-0005-0000-0000-00000DE90000}"/>
    <cellStyle name="Обычный 32 2 2" xfId="59520" xr:uid="{00000000-0005-0000-0000-00000EE90000}"/>
    <cellStyle name="Обычный 32 2 3" xfId="59521" xr:uid="{00000000-0005-0000-0000-00000FE90000}"/>
    <cellStyle name="Обычный 32 3" xfId="59522" xr:uid="{00000000-0005-0000-0000-000010E90000}"/>
    <cellStyle name="Обычный 32 3 2" xfId="59523" xr:uid="{00000000-0005-0000-0000-000011E90000}"/>
    <cellStyle name="Обычный 32 3 3" xfId="59524" xr:uid="{00000000-0005-0000-0000-000012E90000}"/>
    <cellStyle name="Обычный 32 4" xfId="59525" xr:uid="{00000000-0005-0000-0000-000013E90000}"/>
    <cellStyle name="Обычный 32 5" xfId="59526" xr:uid="{00000000-0005-0000-0000-000014E90000}"/>
    <cellStyle name="Обычный 33" xfId="59527" xr:uid="{00000000-0005-0000-0000-000015E90000}"/>
    <cellStyle name="Обычный 33 2" xfId="59528" xr:uid="{00000000-0005-0000-0000-000016E90000}"/>
    <cellStyle name="Обычный 33 2 2" xfId="59529" xr:uid="{00000000-0005-0000-0000-000017E90000}"/>
    <cellStyle name="Обычный 33 2 3" xfId="59530" xr:uid="{00000000-0005-0000-0000-000018E90000}"/>
    <cellStyle name="Обычный 33 3" xfId="59531" xr:uid="{00000000-0005-0000-0000-000019E90000}"/>
    <cellStyle name="Обычный 33 3 2" xfId="59532" xr:uid="{00000000-0005-0000-0000-00001AE90000}"/>
    <cellStyle name="Обычный 33 3 3" xfId="59533" xr:uid="{00000000-0005-0000-0000-00001BE90000}"/>
    <cellStyle name="Обычный 33 4" xfId="59534" xr:uid="{00000000-0005-0000-0000-00001CE90000}"/>
    <cellStyle name="Обычный 33 5" xfId="59535" xr:uid="{00000000-0005-0000-0000-00001DE90000}"/>
    <cellStyle name="Обычный 34" xfId="59536" xr:uid="{00000000-0005-0000-0000-00001EE90000}"/>
    <cellStyle name="Обычный 34 2" xfId="59537" xr:uid="{00000000-0005-0000-0000-00001FE90000}"/>
    <cellStyle name="Обычный 34 2 2" xfId="59538" xr:uid="{00000000-0005-0000-0000-000020E90000}"/>
    <cellStyle name="Обычный 34 2 3" xfId="59539" xr:uid="{00000000-0005-0000-0000-000021E90000}"/>
    <cellStyle name="Обычный 34 3" xfId="59540" xr:uid="{00000000-0005-0000-0000-000022E90000}"/>
    <cellStyle name="Обычный 34 3 2" xfId="59541" xr:uid="{00000000-0005-0000-0000-000023E90000}"/>
    <cellStyle name="Обычный 34 3 3" xfId="59542" xr:uid="{00000000-0005-0000-0000-000024E90000}"/>
    <cellStyle name="Обычный 34 4" xfId="59543" xr:uid="{00000000-0005-0000-0000-000025E90000}"/>
    <cellStyle name="Обычный 34 5" xfId="59544" xr:uid="{00000000-0005-0000-0000-000026E90000}"/>
    <cellStyle name="Обычный 35" xfId="59545" xr:uid="{00000000-0005-0000-0000-000027E90000}"/>
    <cellStyle name="Обычный 35 2" xfId="59546" xr:uid="{00000000-0005-0000-0000-000028E90000}"/>
    <cellStyle name="Обычный 35 2 2" xfId="59547" xr:uid="{00000000-0005-0000-0000-000029E90000}"/>
    <cellStyle name="Обычный 35 2 3" xfId="59548" xr:uid="{00000000-0005-0000-0000-00002AE90000}"/>
    <cellStyle name="Обычный 35 3" xfId="59549" xr:uid="{00000000-0005-0000-0000-00002BE90000}"/>
    <cellStyle name="Обычный 35 3 2" xfId="59550" xr:uid="{00000000-0005-0000-0000-00002CE90000}"/>
    <cellStyle name="Обычный 35 3 3" xfId="59551" xr:uid="{00000000-0005-0000-0000-00002DE90000}"/>
    <cellStyle name="Обычный 35 4" xfId="59552" xr:uid="{00000000-0005-0000-0000-00002EE90000}"/>
    <cellStyle name="Обычный 35 5" xfId="59553" xr:uid="{00000000-0005-0000-0000-00002FE90000}"/>
    <cellStyle name="Обычный 36" xfId="59554" xr:uid="{00000000-0005-0000-0000-000030E90000}"/>
    <cellStyle name="Обычный 36 2" xfId="59555" xr:uid="{00000000-0005-0000-0000-000031E90000}"/>
    <cellStyle name="Обычный 36 2 2" xfId="59556" xr:uid="{00000000-0005-0000-0000-000032E90000}"/>
    <cellStyle name="Обычный 36 2 3" xfId="59557" xr:uid="{00000000-0005-0000-0000-000033E90000}"/>
    <cellStyle name="Обычный 36 3" xfId="59558" xr:uid="{00000000-0005-0000-0000-000034E90000}"/>
    <cellStyle name="Обычный 36 3 2" xfId="59559" xr:uid="{00000000-0005-0000-0000-000035E90000}"/>
    <cellStyle name="Обычный 36 3 3" xfId="59560" xr:uid="{00000000-0005-0000-0000-000036E90000}"/>
    <cellStyle name="Обычный 36 4" xfId="59561" xr:uid="{00000000-0005-0000-0000-000037E90000}"/>
    <cellStyle name="Обычный 36 5" xfId="59562" xr:uid="{00000000-0005-0000-0000-000038E90000}"/>
    <cellStyle name="Обычный 37" xfId="59563" xr:uid="{00000000-0005-0000-0000-000039E90000}"/>
    <cellStyle name="Обычный 37 2" xfId="59564" xr:uid="{00000000-0005-0000-0000-00003AE90000}"/>
    <cellStyle name="Обычный 37 2 2" xfId="59565" xr:uid="{00000000-0005-0000-0000-00003BE90000}"/>
    <cellStyle name="Обычный 37 2 3" xfId="59566" xr:uid="{00000000-0005-0000-0000-00003CE90000}"/>
    <cellStyle name="Обычный 37 3" xfId="59567" xr:uid="{00000000-0005-0000-0000-00003DE90000}"/>
    <cellStyle name="Обычный 37 3 2" xfId="59568" xr:uid="{00000000-0005-0000-0000-00003EE90000}"/>
    <cellStyle name="Обычный 37 3 3" xfId="59569" xr:uid="{00000000-0005-0000-0000-00003FE90000}"/>
    <cellStyle name="Обычный 37 4" xfId="59570" xr:uid="{00000000-0005-0000-0000-000040E90000}"/>
    <cellStyle name="Обычный 37 5" xfId="59571" xr:uid="{00000000-0005-0000-0000-000041E90000}"/>
    <cellStyle name="Обычный 38" xfId="59572" xr:uid="{00000000-0005-0000-0000-000042E90000}"/>
    <cellStyle name="Обычный 38 2" xfId="59573" xr:uid="{00000000-0005-0000-0000-000043E90000}"/>
    <cellStyle name="Обычный 38 2 2" xfId="59574" xr:uid="{00000000-0005-0000-0000-000044E90000}"/>
    <cellStyle name="Обычный 38 2 3" xfId="59575" xr:uid="{00000000-0005-0000-0000-000045E90000}"/>
    <cellStyle name="Обычный 38 3" xfId="59576" xr:uid="{00000000-0005-0000-0000-000046E90000}"/>
    <cellStyle name="Обычный 38 3 2" xfId="59577" xr:uid="{00000000-0005-0000-0000-000047E90000}"/>
    <cellStyle name="Обычный 38 3 3" xfId="59578" xr:uid="{00000000-0005-0000-0000-000048E90000}"/>
    <cellStyle name="Обычный 38 4" xfId="59579" xr:uid="{00000000-0005-0000-0000-000049E90000}"/>
    <cellStyle name="Обычный 38 5" xfId="59580" xr:uid="{00000000-0005-0000-0000-00004AE90000}"/>
    <cellStyle name="Обычный 39" xfId="59581" xr:uid="{00000000-0005-0000-0000-00004BE90000}"/>
    <cellStyle name="Обычный 39 2" xfId="59582" xr:uid="{00000000-0005-0000-0000-00004CE90000}"/>
    <cellStyle name="Обычный 39 2 2" xfId="59583" xr:uid="{00000000-0005-0000-0000-00004DE90000}"/>
    <cellStyle name="Обычный 39 2 3" xfId="59584" xr:uid="{00000000-0005-0000-0000-00004EE90000}"/>
    <cellStyle name="Обычный 39 3" xfId="59585" xr:uid="{00000000-0005-0000-0000-00004FE90000}"/>
    <cellStyle name="Обычный 39 3 2" xfId="59586" xr:uid="{00000000-0005-0000-0000-000050E90000}"/>
    <cellStyle name="Обычный 39 3 3" xfId="59587" xr:uid="{00000000-0005-0000-0000-000051E90000}"/>
    <cellStyle name="Обычный 39 4" xfId="59588" xr:uid="{00000000-0005-0000-0000-000052E90000}"/>
    <cellStyle name="Обычный 39 5" xfId="59589" xr:uid="{00000000-0005-0000-0000-000053E90000}"/>
    <cellStyle name="Обычный 4" xfId="59590" xr:uid="{00000000-0005-0000-0000-000054E90000}"/>
    <cellStyle name="Обычный 4 10" xfId="59591" xr:uid="{00000000-0005-0000-0000-000055E90000}"/>
    <cellStyle name="Обычный 4 10 2" xfId="59592" xr:uid="{00000000-0005-0000-0000-000056E90000}"/>
    <cellStyle name="Обычный 4 10 2 2" xfId="59593" xr:uid="{00000000-0005-0000-0000-000057E90000}"/>
    <cellStyle name="Обычный 4 10 2 2 2" xfId="59594" xr:uid="{00000000-0005-0000-0000-000058E90000}"/>
    <cellStyle name="Обычный 4 10 2 2 3" xfId="59595" xr:uid="{00000000-0005-0000-0000-000059E90000}"/>
    <cellStyle name="Обычный 4 10 2 2 3 2" xfId="59596" xr:uid="{00000000-0005-0000-0000-00005AE90000}"/>
    <cellStyle name="Обычный 4 10 2 2 4" xfId="59597" xr:uid="{00000000-0005-0000-0000-00005BE90000}"/>
    <cellStyle name="Обычный 4 10 2 3" xfId="59598" xr:uid="{00000000-0005-0000-0000-00005CE90000}"/>
    <cellStyle name="Обычный 4 10 3" xfId="59599" xr:uid="{00000000-0005-0000-0000-00005DE90000}"/>
    <cellStyle name="Обычный 4 10 3 2" xfId="59600" xr:uid="{00000000-0005-0000-0000-00005EE90000}"/>
    <cellStyle name="Обычный 4 10 3 3" xfId="59601" xr:uid="{00000000-0005-0000-0000-00005FE90000}"/>
    <cellStyle name="Обычный 4 10 4" xfId="59602" xr:uid="{00000000-0005-0000-0000-000060E90000}"/>
    <cellStyle name="Обычный 4 10 5" xfId="59603" xr:uid="{00000000-0005-0000-0000-000061E90000}"/>
    <cellStyle name="Обычный 4 11" xfId="59604" xr:uid="{00000000-0005-0000-0000-000062E90000}"/>
    <cellStyle name="Обычный 4 11 2" xfId="59605" xr:uid="{00000000-0005-0000-0000-000063E90000}"/>
    <cellStyle name="Обычный 4 11 2 2" xfId="59606" xr:uid="{00000000-0005-0000-0000-000064E90000}"/>
    <cellStyle name="Обычный 4 11 2 3" xfId="59607" xr:uid="{00000000-0005-0000-0000-000065E90000}"/>
    <cellStyle name="Обычный 4 11 3" xfId="59608" xr:uid="{00000000-0005-0000-0000-000066E90000}"/>
    <cellStyle name="Обычный 4 11 3 2" xfId="59609" xr:uid="{00000000-0005-0000-0000-000067E90000}"/>
    <cellStyle name="Обычный 4 11 3 3" xfId="59610" xr:uid="{00000000-0005-0000-0000-000068E90000}"/>
    <cellStyle name="Обычный 4 11 4" xfId="59611" xr:uid="{00000000-0005-0000-0000-000069E90000}"/>
    <cellStyle name="Обычный 4 11 5" xfId="59612" xr:uid="{00000000-0005-0000-0000-00006AE90000}"/>
    <cellStyle name="Обычный 4 12" xfId="59613" xr:uid="{00000000-0005-0000-0000-00006BE90000}"/>
    <cellStyle name="Обычный 4 12 2" xfId="59614" xr:uid="{00000000-0005-0000-0000-00006CE90000}"/>
    <cellStyle name="Обычный 4 12 2 2" xfId="59615" xr:uid="{00000000-0005-0000-0000-00006DE90000}"/>
    <cellStyle name="Обычный 4 12 2 3" xfId="59616" xr:uid="{00000000-0005-0000-0000-00006EE90000}"/>
    <cellStyle name="Обычный 4 12 3" xfId="59617" xr:uid="{00000000-0005-0000-0000-00006FE90000}"/>
    <cellStyle name="Обычный 4 12 3 2" xfId="59618" xr:uid="{00000000-0005-0000-0000-000070E90000}"/>
    <cellStyle name="Обычный 4 12 3 3" xfId="59619" xr:uid="{00000000-0005-0000-0000-000071E90000}"/>
    <cellStyle name="Обычный 4 12 4" xfId="59620" xr:uid="{00000000-0005-0000-0000-000072E90000}"/>
    <cellStyle name="Обычный 4 12 5" xfId="59621" xr:uid="{00000000-0005-0000-0000-000073E90000}"/>
    <cellStyle name="Обычный 4 13" xfId="59622" xr:uid="{00000000-0005-0000-0000-000074E90000}"/>
    <cellStyle name="Обычный 4 13 2" xfId="59623" xr:uid="{00000000-0005-0000-0000-000075E90000}"/>
    <cellStyle name="Обычный 4 13 2 2" xfId="59624" xr:uid="{00000000-0005-0000-0000-000076E90000}"/>
    <cellStyle name="Обычный 4 13 2 3" xfId="59625" xr:uid="{00000000-0005-0000-0000-000077E90000}"/>
    <cellStyle name="Обычный 4 13 3" xfId="59626" xr:uid="{00000000-0005-0000-0000-000078E90000}"/>
    <cellStyle name="Обычный 4 13 3 2" xfId="59627" xr:uid="{00000000-0005-0000-0000-000079E90000}"/>
    <cellStyle name="Обычный 4 13 3 3" xfId="59628" xr:uid="{00000000-0005-0000-0000-00007AE90000}"/>
    <cellStyle name="Обычный 4 13 4" xfId="59629" xr:uid="{00000000-0005-0000-0000-00007BE90000}"/>
    <cellStyle name="Обычный 4 13 5" xfId="59630" xr:uid="{00000000-0005-0000-0000-00007CE90000}"/>
    <cellStyle name="Обычный 4 14" xfId="59631" xr:uid="{00000000-0005-0000-0000-00007DE90000}"/>
    <cellStyle name="Обычный 4 14 2" xfId="59632" xr:uid="{00000000-0005-0000-0000-00007EE90000}"/>
    <cellStyle name="Обычный 4 14 2 2" xfId="59633" xr:uid="{00000000-0005-0000-0000-00007FE90000}"/>
    <cellStyle name="Обычный 4 14 2 3" xfId="59634" xr:uid="{00000000-0005-0000-0000-000080E90000}"/>
    <cellStyle name="Обычный 4 14 3" xfId="59635" xr:uid="{00000000-0005-0000-0000-000081E90000}"/>
    <cellStyle name="Обычный 4 14 3 2" xfId="59636" xr:uid="{00000000-0005-0000-0000-000082E90000}"/>
    <cellStyle name="Обычный 4 14 3 3" xfId="59637" xr:uid="{00000000-0005-0000-0000-000083E90000}"/>
    <cellStyle name="Обычный 4 14 4" xfId="59638" xr:uid="{00000000-0005-0000-0000-000084E90000}"/>
    <cellStyle name="Обычный 4 14 5" xfId="59639" xr:uid="{00000000-0005-0000-0000-000085E90000}"/>
    <cellStyle name="Обычный 4 15" xfId="59640" xr:uid="{00000000-0005-0000-0000-000086E90000}"/>
    <cellStyle name="Обычный 4 15 2" xfId="59641" xr:uid="{00000000-0005-0000-0000-000087E90000}"/>
    <cellStyle name="Обычный 4 15 2 2" xfId="59642" xr:uid="{00000000-0005-0000-0000-000088E90000}"/>
    <cellStyle name="Обычный 4 15 2 3" xfId="59643" xr:uid="{00000000-0005-0000-0000-000089E90000}"/>
    <cellStyle name="Обычный 4 15 3" xfId="59644" xr:uid="{00000000-0005-0000-0000-00008AE90000}"/>
    <cellStyle name="Обычный 4 15 3 2" xfId="59645" xr:uid="{00000000-0005-0000-0000-00008BE90000}"/>
    <cellStyle name="Обычный 4 15 3 3" xfId="59646" xr:uid="{00000000-0005-0000-0000-00008CE90000}"/>
    <cellStyle name="Обычный 4 15 4" xfId="59647" xr:uid="{00000000-0005-0000-0000-00008DE90000}"/>
    <cellStyle name="Обычный 4 15 5" xfId="59648" xr:uid="{00000000-0005-0000-0000-00008EE90000}"/>
    <cellStyle name="Обычный 4 16" xfId="59649" xr:uid="{00000000-0005-0000-0000-00008FE90000}"/>
    <cellStyle name="Обычный 4 16 2" xfId="59650" xr:uid="{00000000-0005-0000-0000-000090E90000}"/>
    <cellStyle name="Обычный 4 16 2 2" xfId="59651" xr:uid="{00000000-0005-0000-0000-000091E90000}"/>
    <cellStyle name="Обычный 4 16 2 3" xfId="59652" xr:uid="{00000000-0005-0000-0000-000092E90000}"/>
    <cellStyle name="Обычный 4 16 3" xfId="59653" xr:uid="{00000000-0005-0000-0000-000093E90000}"/>
    <cellStyle name="Обычный 4 16 3 2" xfId="59654" xr:uid="{00000000-0005-0000-0000-000094E90000}"/>
    <cellStyle name="Обычный 4 16 3 3" xfId="59655" xr:uid="{00000000-0005-0000-0000-000095E90000}"/>
    <cellStyle name="Обычный 4 16 4" xfId="59656" xr:uid="{00000000-0005-0000-0000-000096E90000}"/>
    <cellStyle name="Обычный 4 16 5" xfId="59657" xr:uid="{00000000-0005-0000-0000-000097E90000}"/>
    <cellStyle name="Обычный 4 17" xfId="59658" xr:uid="{00000000-0005-0000-0000-000098E90000}"/>
    <cellStyle name="Обычный 4 17 2" xfId="59659" xr:uid="{00000000-0005-0000-0000-000099E90000}"/>
    <cellStyle name="Обычный 4 17 2 2" xfId="59660" xr:uid="{00000000-0005-0000-0000-00009AE90000}"/>
    <cellStyle name="Обычный 4 17 2 3" xfId="59661" xr:uid="{00000000-0005-0000-0000-00009BE90000}"/>
    <cellStyle name="Обычный 4 17 3" xfId="59662" xr:uid="{00000000-0005-0000-0000-00009CE90000}"/>
    <cellStyle name="Обычный 4 17 3 2" xfId="59663" xr:uid="{00000000-0005-0000-0000-00009DE90000}"/>
    <cellStyle name="Обычный 4 17 3 3" xfId="59664" xr:uid="{00000000-0005-0000-0000-00009EE90000}"/>
    <cellStyle name="Обычный 4 17 4" xfId="59665" xr:uid="{00000000-0005-0000-0000-00009FE90000}"/>
    <cellStyle name="Обычный 4 17 5" xfId="59666" xr:uid="{00000000-0005-0000-0000-0000A0E90000}"/>
    <cellStyle name="Обычный 4 18" xfId="59667" xr:uid="{00000000-0005-0000-0000-0000A1E90000}"/>
    <cellStyle name="Обычный 4 18 2" xfId="59668" xr:uid="{00000000-0005-0000-0000-0000A2E90000}"/>
    <cellStyle name="Обычный 4 18 2 2" xfId="59669" xr:uid="{00000000-0005-0000-0000-0000A3E90000}"/>
    <cellStyle name="Обычный 4 18 2 3" xfId="59670" xr:uid="{00000000-0005-0000-0000-0000A4E90000}"/>
    <cellStyle name="Обычный 4 18 3" xfId="59671" xr:uid="{00000000-0005-0000-0000-0000A5E90000}"/>
    <cellStyle name="Обычный 4 18 3 2" xfId="59672" xr:uid="{00000000-0005-0000-0000-0000A6E90000}"/>
    <cellStyle name="Обычный 4 18 3 3" xfId="59673" xr:uid="{00000000-0005-0000-0000-0000A7E90000}"/>
    <cellStyle name="Обычный 4 18 4" xfId="59674" xr:uid="{00000000-0005-0000-0000-0000A8E90000}"/>
    <cellStyle name="Обычный 4 18 5" xfId="59675" xr:uid="{00000000-0005-0000-0000-0000A9E90000}"/>
    <cellStyle name="Обычный 4 19" xfId="59676" xr:uid="{00000000-0005-0000-0000-0000AAE90000}"/>
    <cellStyle name="Обычный 4 19 2" xfId="59677" xr:uid="{00000000-0005-0000-0000-0000ABE90000}"/>
    <cellStyle name="Обычный 4 19 3" xfId="59678" xr:uid="{00000000-0005-0000-0000-0000ACE90000}"/>
    <cellStyle name="Обычный 4 2" xfId="59679" xr:uid="{00000000-0005-0000-0000-0000ADE90000}"/>
    <cellStyle name="Обычный 4 2 2" xfId="59680" xr:uid="{00000000-0005-0000-0000-0000AEE90000}"/>
    <cellStyle name="Обычный 4 20" xfId="59681" xr:uid="{00000000-0005-0000-0000-0000AFE90000}"/>
    <cellStyle name="Обычный 4 20 2" xfId="59682" xr:uid="{00000000-0005-0000-0000-0000B0E90000}"/>
    <cellStyle name="Обычный 4 20 3" xfId="59683" xr:uid="{00000000-0005-0000-0000-0000B1E90000}"/>
    <cellStyle name="Обычный 4 21" xfId="59684" xr:uid="{00000000-0005-0000-0000-0000B2E90000}"/>
    <cellStyle name="Обычный 4 21 2" xfId="59685" xr:uid="{00000000-0005-0000-0000-0000B3E90000}"/>
    <cellStyle name="Обычный 4 22" xfId="59686" xr:uid="{00000000-0005-0000-0000-0000B4E90000}"/>
    <cellStyle name="Обычный 4 23" xfId="59687" xr:uid="{00000000-0005-0000-0000-0000B5E90000}"/>
    <cellStyle name="Обычный 4 24" xfId="59688" xr:uid="{00000000-0005-0000-0000-0000B6E90000}"/>
    <cellStyle name="Обычный 4 25" xfId="59689" xr:uid="{00000000-0005-0000-0000-0000B7E90000}"/>
    <cellStyle name="Обычный 4 26" xfId="59690" xr:uid="{00000000-0005-0000-0000-0000B8E90000}"/>
    <cellStyle name="Обычный 4 27" xfId="59691" xr:uid="{00000000-0005-0000-0000-0000B9E90000}"/>
    <cellStyle name="Обычный 4 28" xfId="59692" xr:uid="{00000000-0005-0000-0000-0000BAE90000}"/>
    <cellStyle name="Обычный 4 29" xfId="59693" xr:uid="{00000000-0005-0000-0000-0000BBE90000}"/>
    <cellStyle name="Обычный 4 3" xfId="59694" xr:uid="{00000000-0005-0000-0000-0000BCE90000}"/>
    <cellStyle name="Обычный 4 3 2" xfId="59695" xr:uid="{00000000-0005-0000-0000-0000BDE90000}"/>
    <cellStyle name="Обычный 4 3 2 2" xfId="59696" xr:uid="{00000000-0005-0000-0000-0000BEE90000}"/>
    <cellStyle name="Обычный 4 3 2 2 2" xfId="59697" xr:uid="{00000000-0005-0000-0000-0000BFE90000}"/>
    <cellStyle name="Обычный 4 3 2 2 2 2" xfId="59698" xr:uid="{00000000-0005-0000-0000-0000C0E90000}"/>
    <cellStyle name="Обычный 4 3 2 2 2 3" xfId="59699" xr:uid="{00000000-0005-0000-0000-0000C1E90000}"/>
    <cellStyle name="Обычный 4 3 2 2 3" xfId="59700" xr:uid="{00000000-0005-0000-0000-0000C2E90000}"/>
    <cellStyle name="Обычный 4 3 2 2 3 2" xfId="59701" xr:uid="{00000000-0005-0000-0000-0000C3E90000}"/>
    <cellStyle name="Обычный 4 3 2 2 3 3" xfId="59702" xr:uid="{00000000-0005-0000-0000-0000C4E90000}"/>
    <cellStyle name="Обычный 4 3 2 2 4" xfId="59703" xr:uid="{00000000-0005-0000-0000-0000C5E90000}"/>
    <cellStyle name="Обычный 4 3 2 2 5" xfId="59704" xr:uid="{00000000-0005-0000-0000-0000C6E90000}"/>
    <cellStyle name="Обычный 4 3 2 3" xfId="59705" xr:uid="{00000000-0005-0000-0000-0000C7E90000}"/>
    <cellStyle name="Обычный 4 3 2 3 2" xfId="59706" xr:uid="{00000000-0005-0000-0000-0000C8E90000}"/>
    <cellStyle name="Обычный 4 3 2 3 3" xfId="59707" xr:uid="{00000000-0005-0000-0000-0000C9E90000}"/>
    <cellStyle name="Обычный 4 3 2 4" xfId="59708" xr:uid="{00000000-0005-0000-0000-0000CAE90000}"/>
    <cellStyle name="Обычный 4 3 2 4 2" xfId="59709" xr:uid="{00000000-0005-0000-0000-0000CBE90000}"/>
    <cellStyle name="Обычный 4 3 2 4 3" xfId="59710" xr:uid="{00000000-0005-0000-0000-0000CCE90000}"/>
    <cellStyle name="Обычный 4 3 2 5" xfId="59711" xr:uid="{00000000-0005-0000-0000-0000CDE90000}"/>
    <cellStyle name="Обычный 4 3 2 6" xfId="59712" xr:uid="{00000000-0005-0000-0000-0000CEE90000}"/>
    <cellStyle name="Обычный 4 3 2_объемы 2018г111" xfId="59713" xr:uid="{00000000-0005-0000-0000-0000CFE90000}"/>
    <cellStyle name="Обычный 4 3 3" xfId="59714" xr:uid="{00000000-0005-0000-0000-0000D0E90000}"/>
    <cellStyle name="Обычный 4 3 3 2" xfId="59715" xr:uid="{00000000-0005-0000-0000-0000D1E90000}"/>
    <cellStyle name="Обычный 4 3 3 2 2" xfId="59716" xr:uid="{00000000-0005-0000-0000-0000D2E90000}"/>
    <cellStyle name="Обычный 4 3 3 2 3" xfId="59717" xr:uid="{00000000-0005-0000-0000-0000D3E90000}"/>
    <cellStyle name="Обычный 4 3 3 3" xfId="59718" xr:uid="{00000000-0005-0000-0000-0000D4E90000}"/>
    <cellStyle name="Обычный 4 3 3 3 2" xfId="59719" xr:uid="{00000000-0005-0000-0000-0000D5E90000}"/>
    <cellStyle name="Обычный 4 3 3 3 3" xfId="59720" xr:uid="{00000000-0005-0000-0000-0000D6E90000}"/>
    <cellStyle name="Обычный 4 3 3 4" xfId="59721" xr:uid="{00000000-0005-0000-0000-0000D7E90000}"/>
    <cellStyle name="Обычный 4 3 3 5" xfId="59722" xr:uid="{00000000-0005-0000-0000-0000D8E90000}"/>
    <cellStyle name="Обычный 4 3 4" xfId="59723" xr:uid="{00000000-0005-0000-0000-0000D9E90000}"/>
    <cellStyle name="Обычный 4 3 4 2" xfId="59724" xr:uid="{00000000-0005-0000-0000-0000DAE90000}"/>
    <cellStyle name="Обычный 4 3 4 3" xfId="59725" xr:uid="{00000000-0005-0000-0000-0000DBE90000}"/>
    <cellStyle name="Обычный 4 3 5" xfId="59726" xr:uid="{00000000-0005-0000-0000-0000DCE90000}"/>
    <cellStyle name="Обычный 4 3 5 2" xfId="59727" xr:uid="{00000000-0005-0000-0000-0000DDE90000}"/>
    <cellStyle name="Обычный 4 3 5 3" xfId="59728" xr:uid="{00000000-0005-0000-0000-0000DEE90000}"/>
    <cellStyle name="Обычный 4 3 6" xfId="59729" xr:uid="{00000000-0005-0000-0000-0000DFE90000}"/>
    <cellStyle name="Обычный 4 3 7" xfId="59730" xr:uid="{00000000-0005-0000-0000-0000E0E90000}"/>
    <cellStyle name="Обычный 4 3_объемы 2018г111" xfId="59731" xr:uid="{00000000-0005-0000-0000-0000E1E90000}"/>
    <cellStyle name="Обычный 4 30" xfId="59732" xr:uid="{00000000-0005-0000-0000-0000E2E90000}"/>
    <cellStyle name="Обычный 4 31" xfId="59733" xr:uid="{00000000-0005-0000-0000-0000E3E90000}"/>
    <cellStyle name="Обычный 4 32" xfId="59734" xr:uid="{00000000-0005-0000-0000-0000E4E90000}"/>
    <cellStyle name="Обычный 4 33" xfId="61321" xr:uid="{00000000-0005-0000-0000-0000E5E90000}"/>
    <cellStyle name="Обычный 4 4" xfId="59735" xr:uid="{00000000-0005-0000-0000-0000E6E90000}"/>
    <cellStyle name="Обычный 4 4 2" xfId="59736" xr:uid="{00000000-0005-0000-0000-0000E7E90000}"/>
    <cellStyle name="Обычный 4 4 2 2" xfId="59737" xr:uid="{00000000-0005-0000-0000-0000E8E90000}"/>
    <cellStyle name="Обычный 4 4 2 2 2" xfId="59738" xr:uid="{00000000-0005-0000-0000-0000E9E90000}"/>
    <cellStyle name="Обычный 4 4 2 2 2 2" xfId="59739" xr:uid="{00000000-0005-0000-0000-0000EAE90000}"/>
    <cellStyle name="Обычный 4 4 2 2 2 3" xfId="59740" xr:uid="{00000000-0005-0000-0000-0000EBE90000}"/>
    <cellStyle name="Обычный 4 4 2 2 3" xfId="59741" xr:uid="{00000000-0005-0000-0000-0000ECE90000}"/>
    <cellStyle name="Обычный 4 4 2 2 3 2" xfId="59742" xr:uid="{00000000-0005-0000-0000-0000EDE90000}"/>
    <cellStyle name="Обычный 4 4 2 2 3 3" xfId="59743" xr:uid="{00000000-0005-0000-0000-0000EEE90000}"/>
    <cellStyle name="Обычный 4 4 2 2 4" xfId="59744" xr:uid="{00000000-0005-0000-0000-0000EFE90000}"/>
    <cellStyle name="Обычный 4 4 2 2 5" xfId="59745" xr:uid="{00000000-0005-0000-0000-0000F0E90000}"/>
    <cellStyle name="Обычный 4 4 2 3" xfId="59746" xr:uid="{00000000-0005-0000-0000-0000F1E90000}"/>
    <cellStyle name="Обычный 4 4 2 3 2" xfId="59747" xr:uid="{00000000-0005-0000-0000-0000F2E90000}"/>
    <cellStyle name="Обычный 4 4 2 3 3" xfId="59748" xr:uid="{00000000-0005-0000-0000-0000F3E90000}"/>
    <cellStyle name="Обычный 4 4 2 4" xfId="59749" xr:uid="{00000000-0005-0000-0000-0000F4E90000}"/>
    <cellStyle name="Обычный 4 4 2 4 2" xfId="59750" xr:uid="{00000000-0005-0000-0000-0000F5E90000}"/>
    <cellStyle name="Обычный 4 4 2 4 3" xfId="59751" xr:uid="{00000000-0005-0000-0000-0000F6E90000}"/>
    <cellStyle name="Обычный 4 4 2 5" xfId="59752" xr:uid="{00000000-0005-0000-0000-0000F7E90000}"/>
    <cellStyle name="Обычный 4 4 2 6" xfId="59753" xr:uid="{00000000-0005-0000-0000-0000F8E90000}"/>
    <cellStyle name="Обычный 4 4 2_объемы 2018г111" xfId="59754" xr:uid="{00000000-0005-0000-0000-0000F9E90000}"/>
    <cellStyle name="Обычный 4 4 3" xfId="59755" xr:uid="{00000000-0005-0000-0000-0000FAE90000}"/>
    <cellStyle name="Обычный 4 4 3 2" xfId="59756" xr:uid="{00000000-0005-0000-0000-0000FBE90000}"/>
    <cellStyle name="Обычный 4 4 3 2 2" xfId="59757" xr:uid="{00000000-0005-0000-0000-0000FCE90000}"/>
    <cellStyle name="Обычный 4 4 3 2 3" xfId="59758" xr:uid="{00000000-0005-0000-0000-0000FDE90000}"/>
    <cellStyle name="Обычный 4 4 3 3" xfId="59759" xr:uid="{00000000-0005-0000-0000-0000FEE90000}"/>
    <cellStyle name="Обычный 4 4 3 3 2" xfId="59760" xr:uid="{00000000-0005-0000-0000-0000FFE90000}"/>
    <cellStyle name="Обычный 4 4 3 3 3" xfId="59761" xr:uid="{00000000-0005-0000-0000-000000EA0000}"/>
    <cellStyle name="Обычный 4 4 3 4" xfId="59762" xr:uid="{00000000-0005-0000-0000-000001EA0000}"/>
    <cellStyle name="Обычный 4 4 3 5" xfId="59763" xr:uid="{00000000-0005-0000-0000-000002EA0000}"/>
    <cellStyle name="Обычный 4 4 4" xfId="59764" xr:uid="{00000000-0005-0000-0000-000003EA0000}"/>
    <cellStyle name="Обычный 4 4 4 2" xfId="59765" xr:uid="{00000000-0005-0000-0000-000004EA0000}"/>
    <cellStyle name="Обычный 4 4 4 3" xfId="59766" xr:uid="{00000000-0005-0000-0000-000005EA0000}"/>
    <cellStyle name="Обычный 4 4 5" xfId="59767" xr:uid="{00000000-0005-0000-0000-000006EA0000}"/>
    <cellStyle name="Обычный 4 4 5 2" xfId="59768" xr:uid="{00000000-0005-0000-0000-000007EA0000}"/>
    <cellStyle name="Обычный 4 4 5 3" xfId="59769" xr:uid="{00000000-0005-0000-0000-000008EA0000}"/>
    <cellStyle name="Обычный 4 4 6" xfId="59770" xr:uid="{00000000-0005-0000-0000-000009EA0000}"/>
    <cellStyle name="Обычный 4 4 7" xfId="59771" xr:uid="{00000000-0005-0000-0000-00000AEA0000}"/>
    <cellStyle name="Обычный 4 4_объемы 2018г111" xfId="59772" xr:uid="{00000000-0005-0000-0000-00000BEA0000}"/>
    <cellStyle name="Обычный 4 5" xfId="59773" xr:uid="{00000000-0005-0000-0000-00000CEA0000}"/>
    <cellStyle name="Обычный 4 5 2" xfId="59774" xr:uid="{00000000-0005-0000-0000-00000DEA0000}"/>
    <cellStyle name="Обычный 4 5 2 2" xfId="59775" xr:uid="{00000000-0005-0000-0000-00000EEA0000}"/>
    <cellStyle name="Обычный 4 5 2 2 2" xfId="59776" xr:uid="{00000000-0005-0000-0000-00000FEA0000}"/>
    <cellStyle name="Обычный 4 5 2 2 3" xfId="59777" xr:uid="{00000000-0005-0000-0000-000010EA0000}"/>
    <cellStyle name="Обычный 4 5 2 3" xfId="59778" xr:uid="{00000000-0005-0000-0000-000011EA0000}"/>
    <cellStyle name="Обычный 4 5 2 3 2" xfId="59779" xr:uid="{00000000-0005-0000-0000-000012EA0000}"/>
    <cellStyle name="Обычный 4 5 2 3 3" xfId="59780" xr:uid="{00000000-0005-0000-0000-000013EA0000}"/>
    <cellStyle name="Обычный 4 5 2 4" xfId="59781" xr:uid="{00000000-0005-0000-0000-000014EA0000}"/>
    <cellStyle name="Обычный 4 5 2 5" xfId="59782" xr:uid="{00000000-0005-0000-0000-000015EA0000}"/>
    <cellStyle name="Обычный 4 5 3" xfId="59783" xr:uid="{00000000-0005-0000-0000-000016EA0000}"/>
    <cellStyle name="Обычный 4 5 3 2" xfId="59784" xr:uid="{00000000-0005-0000-0000-000017EA0000}"/>
    <cellStyle name="Обычный 4 5 3 3" xfId="59785" xr:uid="{00000000-0005-0000-0000-000018EA0000}"/>
    <cellStyle name="Обычный 4 5 4" xfId="59786" xr:uid="{00000000-0005-0000-0000-000019EA0000}"/>
    <cellStyle name="Обычный 4 5 4 2" xfId="59787" xr:uid="{00000000-0005-0000-0000-00001AEA0000}"/>
    <cellStyle name="Обычный 4 5 4 3" xfId="59788" xr:uid="{00000000-0005-0000-0000-00001BEA0000}"/>
    <cellStyle name="Обычный 4 5 5" xfId="59789" xr:uid="{00000000-0005-0000-0000-00001CEA0000}"/>
    <cellStyle name="Обычный 4 5 6" xfId="59790" xr:uid="{00000000-0005-0000-0000-00001DEA0000}"/>
    <cellStyle name="Обычный 4 5_объемы 2018г111" xfId="59791" xr:uid="{00000000-0005-0000-0000-00001EEA0000}"/>
    <cellStyle name="Обычный 4 6" xfId="59792" xr:uid="{00000000-0005-0000-0000-00001FEA0000}"/>
    <cellStyle name="Обычный 4 6 2" xfId="59793" xr:uid="{00000000-0005-0000-0000-000020EA0000}"/>
    <cellStyle name="Обычный 4 6 2 2" xfId="59794" xr:uid="{00000000-0005-0000-0000-000021EA0000}"/>
    <cellStyle name="Обычный 4 6 2 3" xfId="59795" xr:uid="{00000000-0005-0000-0000-000022EA0000}"/>
    <cellStyle name="Обычный 4 6 3" xfId="59796" xr:uid="{00000000-0005-0000-0000-000023EA0000}"/>
    <cellStyle name="Обычный 4 6 3 2" xfId="59797" xr:uid="{00000000-0005-0000-0000-000024EA0000}"/>
    <cellStyle name="Обычный 4 6 3 3" xfId="59798" xr:uid="{00000000-0005-0000-0000-000025EA0000}"/>
    <cellStyle name="Обычный 4 6 4" xfId="59799" xr:uid="{00000000-0005-0000-0000-000026EA0000}"/>
    <cellStyle name="Обычный 4 6 5" xfId="59800" xr:uid="{00000000-0005-0000-0000-000027EA0000}"/>
    <cellStyle name="Обычный 4 7" xfId="59801" xr:uid="{00000000-0005-0000-0000-000028EA0000}"/>
    <cellStyle name="Обычный 4 7 2" xfId="59802" xr:uid="{00000000-0005-0000-0000-000029EA0000}"/>
    <cellStyle name="Обычный 4 7 2 2" xfId="59803" xr:uid="{00000000-0005-0000-0000-00002AEA0000}"/>
    <cellStyle name="Обычный 4 7 2 3" xfId="59804" xr:uid="{00000000-0005-0000-0000-00002BEA0000}"/>
    <cellStyle name="Обычный 4 7 3" xfId="59805" xr:uid="{00000000-0005-0000-0000-00002CEA0000}"/>
    <cellStyle name="Обычный 4 7 3 2" xfId="59806" xr:uid="{00000000-0005-0000-0000-00002DEA0000}"/>
    <cellStyle name="Обычный 4 7 3 3" xfId="59807" xr:uid="{00000000-0005-0000-0000-00002EEA0000}"/>
    <cellStyle name="Обычный 4 7 4" xfId="59808" xr:uid="{00000000-0005-0000-0000-00002FEA0000}"/>
    <cellStyle name="Обычный 4 7 5" xfId="59809" xr:uid="{00000000-0005-0000-0000-000030EA0000}"/>
    <cellStyle name="Обычный 4 8" xfId="59810" xr:uid="{00000000-0005-0000-0000-000031EA0000}"/>
    <cellStyle name="Обычный 4 8 2" xfId="59811" xr:uid="{00000000-0005-0000-0000-000032EA0000}"/>
    <cellStyle name="Обычный 4 8 2 2" xfId="59812" xr:uid="{00000000-0005-0000-0000-000033EA0000}"/>
    <cellStyle name="Обычный 4 8 2 3" xfId="59813" xr:uid="{00000000-0005-0000-0000-000034EA0000}"/>
    <cellStyle name="Обычный 4 8 3" xfId="59814" xr:uid="{00000000-0005-0000-0000-000035EA0000}"/>
    <cellStyle name="Обычный 4 8 3 2" xfId="59815" xr:uid="{00000000-0005-0000-0000-000036EA0000}"/>
    <cellStyle name="Обычный 4 8 3 3" xfId="59816" xr:uid="{00000000-0005-0000-0000-000037EA0000}"/>
    <cellStyle name="Обычный 4 8 4" xfId="59817" xr:uid="{00000000-0005-0000-0000-000038EA0000}"/>
    <cellStyle name="Обычный 4 8 5" xfId="59818" xr:uid="{00000000-0005-0000-0000-000039EA0000}"/>
    <cellStyle name="Обычный 4 9" xfId="59819" xr:uid="{00000000-0005-0000-0000-00003AEA0000}"/>
    <cellStyle name="Обычный 4 9 2" xfId="59820" xr:uid="{00000000-0005-0000-0000-00003BEA0000}"/>
    <cellStyle name="Обычный 4 9 2 2" xfId="59821" xr:uid="{00000000-0005-0000-0000-00003CEA0000}"/>
    <cellStyle name="Обычный 4 9 2 3" xfId="59822" xr:uid="{00000000-0005-0000-0000-00003DEA0000}"/>
    <cellStyle name="Обычный 4 9 3" xfId="59823" xr:uid="{00000000-0005-0000-0000-00003EEA0000}"/>
    <cellStyle name="Обычный 4 9 3 2" xfId="59824" xr:uid="{00000000-0005-0000-0000-00003FEA0000}"/>
    <cellStyle name="Обычный 4 9 3 3" xfId="59825" xr:uid="{00000000-0005-0000-0000-000040EA0000}"/>
    <cellStyle name="Обычный 4 9 4" xfId="59826" xr:uid="{00000000-0005-0000-0000-000041EA0000}"/>
    <cellStyle name="Обычный 4 9 5" xfId="59827" xr:uid="{00000000-0005-0000-0000-000042EA0000}"/>
    <cellStyle name="Обычный 4_объемы 2018г111" xfId="59828" xr:uid="{00000000-0005-0000-0000-000043EA0000}"/>
    <cellStyle name="Обычный 40" xfId="59829" xr:uid="{00000000-0005-0000-0000-000044EA0000}"/>
    <cellStyle name="Обычный 40 2" xfId="59830" xr:uid="{00000000-0005-0000-0000-000045EA0000}"/>
    <cellStyle name="Обычный 40 2 2" xfId="59831" xr:uid="{00000000-0005-0000-0000-000046EA0000}"/>
    <cellStyle name="Обычный 40 2 3" xfId="59832" xr:uid="{00000000-0005-0000-0000-000047EA0000}"/>
    <cellStyle name="Обычный 40 3" xfId="59833" xr:uid="{00000000-0005-0000-0000-000048EA0000}"/>
    <cellStyle name="Обычный 40 3 2" xfId="59834" xr:uid="{00000000-0005-0000-0000-000049EA0000}"/>
    <cellStyle name="Обычный 40 3 3" xfId="59835" xr:uid="{00000000-0005-0000-0000-00004AEA0000}"/>
    <cellStyle name="Обычный 40 4" xfId="59836" xr:uid="{00000000-0005-0000-0000-00004BEA0000}"/>
    <cellStyle name="Обычный 40 5" xfId="59837" xr:uid="{00000000-0005-0000-0000-00004CEA0000}"/>
    <cellStyle name="Обычный 41" xfId="59838" xr:uid="{00000000-0005-0000-0000-00004DEA0000}"/>
    <cellStyle name="Обычный 41 2" xfId="59839" xr:uid="{00000000-0005-0000-0000-00004EEA0000}"/>
    <cellStyle name="Обычный 41 2 2" xfId="59840" xr:uid="{00000000-0005-0000-0000-00004FEA0000}"/>
    <cellStyle name="Обычный 41 2 3" xfId="59841" xr:uid="{00000000-0005-0000-0000-000050EA0000}"/>
    <cellStyle name="Обычный 41 3" xfId="59842" xr:uid="{00000000-0005-0000-0000-000051EA0000}"/>
    <cellStyle name="Обычный 41 3 2" xfId="59843" xr:uid="{00000000-0005-0000-0000-000052EA0000}"/>
    <cellStyle name="Обычный 41 3 3" xfId="59844" xr:uid="{00000000-0005-0000-0000-000053EA0000}"/>
    <cellStyle name="Обычный 41 4" xfId="59845" xr:uid="{00000000-0005-0000-0000-000054EA0000}"/>
    <cellStyle name="Обычный 41 5" xfId="59846" xr:uid="{00000000-0005-0000-0000-000055EA0000}"/>
    <cellStyle name="Обычный 42" xfId="59847" xr:uid="{00000000-0005-0000-0000-000056EA0000}"/>
    <cellStyle name="Обычный 42 2" xfId="59848" xr:uid="{00000000-0005-0000-0000-000057EA0000}"/>
    <cellStyle name="Обычный 42 2 2" xfId="59849" xr:uid="{00000000-0005-0000-0000-000058EA0000}"/>
    <cellStyle name="Обычный 42 2 3" xfId="59850" xr:uid="{00000000-0005-0000-0000-000059EA0000}"/>
    <cellStyle name="Обычный 42 3" xfId="59851" xr:uid="{00000000-0005-0000-0000-00005AEA0000}"/>
    <cellStyle name="Обычный 42 3 2" xfId="59852" xr:uid="{00000000-0005-0000-0000-00005BEA0000}"/>
    <cellStyle name="Обычный 42 3 3" xfId="59853" xr:uid="{00000000-0005-0000-0000-00005CEA0000}"/>
    <cellStyle name="Обычный 42 4" xfId="59854" xr:uid="{00000000-0005-0000-0000-00005DEA0000}"/>
    <cellStyle name="Обычный 42 5" xfId="59855" xr:uid="{00000000-0005-0000-0000-00005EEA0000}"/>
    <cellStyle name="Обычный 43" xfId="59856" xr:uid="{00000000-0005-0000-0000-00005FEA0000}"/>
    <cellStyle name="Обычный 43 2" xfId="59857" xr:uid="{00000000-0005-0000-0000-000060EA0000}"/>
    <cellStyle name="Обычный 43 2 2" xfId="59858" xr:uid="{00000000-0005-0000-0000-000061EA0000}"/>
    <cellStyle name="Обычный 43 2 3" xfId="59859" xr:uid="{00000000-0005-0000-0000-000062EA0000}"/>
    <cellStyle name="Обычный 43 3" xfId="59860" xr:uid="{00000000-0005-0000-0000-000063EA0000}"/>
    <cellStyle name="Обычный 43 3 2" xfId="59861" xr:uid="{00000000-0005-0000-0000-000064EA0000}"/>
    <cellStyle name="Обычный 43 3 3" xfId="59862" xr:uid="{00000000-0005-0000-0000-000065EA0000}"/>
    <cellStyle name="Обычный 43 4" xfId="59863" xr:uid="{00000000-0005-0000-0000-000066EA0000}"/>
    <cellStyle name="Обычный 43 5" xfId="59864" xr:uid="{00000000-0005-0000-0000-000067EA0000}"/>
    <cellStyle name="Обычный 44" xfId="59865" xr:uid="{00000000-0005-0000-0000-000068EA0000}"/>
    <cellStyle name="Обычный 44 2" xfId="59866" xr:uid="{00000000-0005-0000-0000-000069EA0000}"/>
    <cellStyle name="Обычный 44 2 2" xfId="59867" xr:uid="{00000000-0005-0000-0000-00006AEA0000}"/>
    <cellStyle name="Обычный 44 2 3" xfId="59868" xr:uid="{00000000-0005-0000-0000-00006BEA0000}"/>
    <cellStyle name="Обычный 44 3" xfId="59869" xr:uid="{00000000-0005-0000-0000-00006CEA0000}"/>
    <cellStyle name="Обычный 44 3 2" xfId="59870" xr:uid="{00000000-0005-0000-0000-00006DEA0000}"/>
    <cellStyle name="Обычный 44 3 3" xfId="59871" xr:uid="{00000000-0005-0000-0000-00006EEA0000}"/>
    <cellStyle name="Обычный 44 4" xfId="59872" xr:uid="{00000000-0005-0000-0000-00006FEA0000}"/>
    <cellStyle name="Обычный 44 5" xfId="59873" xr:uid="{00000000-0005-0000-0000-000070EA0000}"/>
    <cellStyle name="Обычный 45" xfId="59874" xr:uid="{00000000-0005-0000-0000-000071EA0000}"/>
    <cellStyle name="Обычный 45 2" xfId="59875" xr:uid="{00000000-0005-0000-0000-000072EA0000}"/>
    <cellStyle name="Обычный 45 2 2" xfId="59876" xr:uid="{00000000-0005-0000-0000-000073EA0000}"/>
    <cellStyle name="Обычный 45 2 3" xfId="59877" xr:uid="{00000000-0005-0000-0000-000074EA0000}"/>
    <cellStyle name="Обычный 45 3" xfId="59878" xr:uid="{00000000-0005-0000-0000-000075EA0000}"/>
    <cellStyle name="Обычный 45 3 2" xfId="59879" xr:uid="{00000000-0005-0000-0000-000076EA0000}"/>
    <cellStyle name="Обычный 45 3 3" xfId="59880" xr:uid="{00000000-0005-0000-0000-000077EA0000}"/>
    <cellStyle name="Обычный 45 4" xfId="59881" xr:uid="{00000000-0005-0000-0000-000078EA0000}"/>
    <cellStyle name="Обычный 45 5" xfId="59882" xr:uid="{00000000-0005-0000-0000-000079EA0000}"/>
    <cellStyle name="Обычный 46" xfId="59883" xr:uid="{00000000-0005-0000-0000-00007AEA0000}"/>
    <cellStyle name="Обычный 46 2" xfId="59884" xr:uid="{00000000-0005-0000-0000-00007BEA0000}"/>
    <cellStyle name="Обычный 46 2 2" xfId="59885" xr:uid="{00000000-0005-0000-0000-00007CEA0000}"/>
    <cellStyle name="Обычный 46 2 3" xfId="59886" xr:uid="{00000000-0005-0000-0000-00007DEA0000}"/>
    <cellStyle name="Обычный 46 3" xfId="59887" xr:uid="{00000000-0005-0000-0000-00007EEA0000}"/>
    <cellStyle name="Обычный 46 3 2" xfId="59888" xr:uid="{00000000-0005-0000-0000-00007FEA0000}"/>
    <cellStyle name="Обычный 46 3 3" xfId="59889" xr:uid="{00000000-0005-0000-0000-000080EA0000}"/>
    <cellStyle name="Обычный 46 4" xfId="59890" xr:uid="{00000000-0005-0000-0000-000081EA0000}"/>
    <cellStyle name="Обычный 46 5" xfId="59891" xr:uid="{00000000-0005-0000-0000-000082EA0000}"/>
    <cellStyle name="Обычный 47" xfId="59892" xr:uid="{00000000-0005-0000-0000-000083EA0000}"/>
    <cellStyle name="Обычный 47 2" xfId="59893" xr:uid="{00000000-0005-0000-0000-000084EA0000}"/>
    <cellStyle name="Обычный 47 2 2" xfId="59894" xr:uid="{00000000-0005-0000-0000-000085EA0000}"/>
    <cellStyle name="Обычный 47 2 3" xfId="59895" xr:uid="{00000000-0005-0000-0000-000086EA0000}"/>
    <cellStyle name="Обычный 47 3" xfId="59896" xr:uid="{00000000-0005-0000-0000-000087EA0000}"/>
    <cellStyle name="Обычный 47 3 2" xfId="59897" xr:uid="{00000000-0005-0000-0000-000088EA0000}"/>
    <cellStyle name="Обычный 47 3 3" xfId="59898" xr:uid="{00000000-0005-0000-0000-000089EA0000}"/>
    <cellStyle name="Обычный 47 4" xfId="59899" xr:uid="{00000000-0005-0000-0000-00008AEA0000}"/>
    <cellStyle name="Обычный 47 5" xfId="59900" xr:uid="{00000000-0005-0000-0000-00008BEA0000}"/>
    <cellStyle name="Обычный 48" xfId="59901" xr:uid="{00000000-0005-0000-0000-00008CEA0000}"/>
    <cellStyle name="Обычный 48 2" xfId="59902" xr:uid="{00000000-0005-0000-0000-00008DEA0000}"/>
    <cellStyle name="Обычный 48 2 2" xfId="59903" xr:uid="{00000000-0005-0000-0000-00008EEA0000}"/>
    <cellStyle name="Обычный 48 2 3" xfId="59904" xr:uid="{00000000-0005-0000-0000-00008FEA0000}"/>
    <cellStyle name="Обычный 48 3" xfId="59905" xr:uid="{00000000-0005-0000-0000-000090EA0000}"/>
    <cellStyle name="Обычный 48 3 2" xfId="59906" xr:uid="{00000000-0005-0000-0000-000091EA0000}"/>
    <cellStyle name="Обычный 48 3 3" xfId="59907" xr:uid="{00000000-0005-0000-0000-000092EA0000}"/>
    <cellStyle name="Обычный 48 4" xfId="59908" xr:uid="{00000000-0005-0000-0000-000093EA0000}"/>
    <cellStyle name="Обычный 48 5" xfId="59909" xr:uid="{00000000-0005-0000-0000-000094EA0000}"/>
    <cellStyle name="Обычный 49" xfId="59910" xr:uid="{00000000-0005-0000-0000-000095EA0000}"/>
    <cellStyle name="Обычный 49 2" xfId="59911" xr:uid="{00000000-0005-0000-0000-000096EA0000}"/>
    <cellStyle name="Обычный 49 2 2" xfId="59912" xr:uid="{00000000-0005-0000-0000-000097EA0000}"/>
    <cellStyle name="Обычный 49 2 3" xfId="59913" xr:uid="{00000000-0005-0000-0000-000098EA0000}"/>
    <cellStyle name="Обычный 49 3" xfId="59914" xr:uid="{00000000-0005-0000-0000-000099EA0000}"/>
    <cellStyle name="Обычный 49 3 2" xfId="59915" xr:uid="{00000000-0005-0000-0000-00009AEA0000}"/>
    <cellStyle name="Обычный 49 3 3" xfId="59916" xr:uid="{00000000-0005-0000-0000-00009BEA0000}"/>
    <cellStyle name="Обычный 49 4" xfId="59917" xr:uid="{00000000-0005-0000-0000-00009CEA0000}"/>
    <cellStyle name="Обычный 49 5" xfId="59918" xr:uid="{00000000-0005-0000-0000-00009DEA0000}"/>
    <cellStyle name="Обычный 5" xfId="59919" xr:uid="{00000000-0005-0000-0000-00009EEA0000}"/>
    <cellStyle name="Обычный 5 2" xfId="59920" xr:uid="{00000000-0005-0000-0000-00009FEA0000}"/>
    <cellStyle name="Обычный 5 3" xfId="59921" xr:uid="{00000000-0005-0000-0000-0000A0EA0000}"/>
    <cellStyle name="Обычный 50" xfId="59922" xr:uid="{00000000-0005-0000-0000-0000A1EA0000}"/>
    <cellStyle name="Обычный 50 2" xfId="59923" xr:uid="{00000000-0005-0000-0000-0000A2EA0000}"/>
    <cellStyle name="Обычный 50 2 2" xfId="59924" xr:uid="{00000000-0005-0000-0000-0000A3EA0000}"/>
    <cellStyle name="Обычный 50 2 3" xfId="59925" xr:uid="{00000000-0005-0000-0000-0000A4EA0000}"/>
    <cellStyle name="Обычный 50 3" xfId="59926" xr:uid="{00000000-0005-0000-0000-0000A5EA0000}"/>
    <cellStyle name="Обычный 50 3 2" xfId="59927" xr:uid="{00000000-0005-0000-0000-0000A6EA0000}"/>
    <cellStyle name="Обычный 50 3 3" xfId="59928" xr:uid="{00000000-0005-0000-0000-0000A7EA0000}"/>
    <cellStyle name="Обычный 50 4" xfId="59929" xr:uid="{00000000-0005-0000-0000-0000A8EA0000}"/>
    <cellStyle name="Обычный 50 5" xfId="59930" xr:uid="{00000000-0005-0000-0000-0000A9EA0000}"/>
    <cellStyle name="Обычный 51" xfId="59931" xr:uid="{00000000-0005-0000-0000-0000AAEA0000}"/>
    <cellStyle name="Обычный 51 2" xfId="59932" xr:uid="{00000000-0005-0000-0000-0000ABEA0000}"/>
    <cellStyle name="Обычный 51 2 2" xfId="59933" xr:uid="{00000000-0005-0000-0000-0000ACEA0000}"/>
    <cellStyle name="Обычный 51 2 3" xfId="59934" xr:uid="{00000000-0005-0000-0000-0000ADEA0000}"/>
    <cellStyle name="Обычный 51 3" xfId="59935" xr:uid="{00000000-0005-0000-0000-0000AEEA0000}"/>
    <cellStyle name="Обычный 51 3 2" xfId="59936" xr:uid="{00000000-0005-0000-0000-0000AFEA0000}"/>
    <cellStyle name="Обычный 51 3 3" xfId="59937" xr:uid="{00000000-0005-0000-0000-0000B0EA0000}"/>
    <cellStyle name="Обычный 51 4" xfId="59938" xr:uid="{00000000-0005-0000-0000-0000B1EA0000}"/>
    <cellStyle name="Обычный 51 5" xfId="59939" xr:uid="{00000000-0005-0000-0000-0000B2EA0000}"/>
    <cellStyle name="Обычный 52" xfId="59940" xr:uid="{00000000-0005-0000-0000-0000B3EA0000}"/>
    <cellStyle name="Обычный 52 2" xfId="59941" xr:uid="{00000000-0005-0000-0000-0000B4EA0000}"/>
    <cellStyle name="Обычный 52 2 2" xfId="59942" xr:uid="{00000000-0005-0000-0000-0000B5EA0000}"/>
    <cellStyle name="Обычный 52 2 3" xfId="59943" xr:uid="{00000000-0005-0000-0000-0000B6EA0000}"/>
    <cellStyle name="Обычный 52 3" xfId="59944" xr:uid="{00000000-0005-0000-0000-0000B7EA0000}"/>
    <cellStyle name="Обычный 52 3 2" xfId="59945" xr:uid="{00000000-0005-0000-0000-0000B8EA0000}"/>
    <cellStyle name="Обычный 52 3 3" xfId="59946" xr:uid="{00000000-0005-0000-0000-0000B9EA0000}"/>
    <cellStyle name="Обычный 52 4" xfId="59947" xr:uid="{00000000-0005-0000-0000-0000BAEA0000}"/>
    <cellStyle name="Обычный 52 5" xfId="59948" xr:uid="{00000000-0005-0000-0000-0000BBEA0000}"/>
    <cellStyle name="Обычный 53" xfId="59949" xr:uid="{00000000-0005-0000-0000-0000BCEA0000}"/>
    <cellStyle name="Обычный 53 2" xfId="59950" xr:uid="{00000000-0005-0000-0000-0000BDEA0000}"/>
    <cellStyle name="Обычный 53 2 2" xfId="59951" xr:uid="{00000000-0005-0000-0000-0000BEEA0000}"/>
    <cellStyle name="Обычный 53 2 3" xfId="59952" xr:uid="{00000000-0005-0000-0000-0000BFEA0000}"/>
    <cellStyle name="Обычный 53 3" xfId="59953" xr:uid="{00000000-0005-0000-0000-0000C0EA0000}"/>
    <cellStyle name="Обычный 53 3 2" xfId="59954" xr:uid="{00000000-0005-0000-0000-0000C1EA0000}"/>
    <cellStyle name="Обычный 53 3 3" xfId="59955" xr:uid="{00000000-0005-0000-0000-0000C2EA0000}"/>
    <cellStyle name="Обычный 53 4" xfId="59956" xr:uid="{00000000-0005-0000-0000-0000C3EA0000}"/>
    <cellStyle name="Обычный 53 5" xfId="59957" xr:uid="{00000000-0005-0000-0000-0000C4EA0000}"/>
    <cellStyle name="Обычный 54" xfId="59958" xr:uid="{00000000-0005-0000-0000-0000C5EA0000}"/>
    <cellStyle name="Обычный 54 2" xfId="59959" xr:uid="{00000000-0005-0000-0000-0000C6EA0000}"/>
    <cellStyle name="Обычный 54 2 2" xfId="59960" xr:uid="{00000000-0005-0000-0000-0000C7EA0000}"/>
    <cellStyle name="Обычный 54 2 3" xfId="59961" xr:uid="{00000000-0005-0000-0000-0000C8EA0000}"/>
    <cellStyle name="Обычный 54 3" xfId="59962" xr:uid="{00000000-0005-0000-0000-0000C9EA0000}"/>
    <cellStyle name="Обычный 54 3 2" xfId="59963" xr:uid="{00000000-0005-0000-0000-0000CAEA0000}"/>
    <cellStyle name="Обычный 54 3 3" xfId="59964" xr:uid="{00000000-0005-0000-0000-0000CBEA0000}"/>
    <cellStyle name="Обычный 54 4" xfId="59965" xr:uid="{00000000-0005-0000-0000-0000CCEA0000}"/>
    <cellStyle name="Обычный 54 5" xfId="59966" xr:uid="{00000000-0005-0000-0000-0000CDEA0000}"/>
    <cellStyle name="Обычный 55" xfId="59967" xr:uid="{00000000-0005-0000-0000-0000CEEA0000}"/>
    <cellStyle name="Обычный 55 2" xfId="59968" xr:uid="{00000000-0005-0000-0000-0000CFEA0000}"/>
    <cellStyle name="Обычный 55 2 2" xfId="59969" xr:uid="{00000000-0005-0000-0000-0000D0EA0000}"/>
    <cellStyle name="Обычный 55 2 3" xfId="59970" xr:uid="{00000000-0005-0000-0000-0000D1EA0000}"/>
    <cellStyle name="Обычный 55 3" xfId="59971" xr:uid="{00000000-0005-0000-0000-0000D2EA0000}"/>
    <cellStyle name="Обычный 55 3 2" xfId="59972" xr:uid="{00000000-0005-0000-0000-0000D3EA0000}"/>
    <cellStyle name="Обычный 55 3 3" xfId="59973" xr:uid="{00000000-0005-0000-0000-0000D4EA0000}"/>
    <cellStyle name="Обычный 55 4" xfId="59974" xr:uid="{00000000-0005-0000-0000-0000D5EA0000}"/>
    <cellStyle name="Обычный 55 5" xfId="59975" xr:uid="{00000000-0005-0000-0000-0000D6EA0000}"/>
    <cellStyle name="Обычный 56" xfId="59976" xr:uid="{00000000-0005-0000-0000-0000D7EA0000}"/>
    <cellStyle name="Обычный 56 2" xfId="59977" xr:uid="{00000000-0005-0000-0000-0000D8EA0000}"/>
    <cellStyle name="Обычный 56 2 2" xfId="59978" xr:uid="{00000000-0005-0000-0000-0000D9EA0000}"/>
    <cellStyle name="Обычный 56 2 3" xfId="59979" xr:uid="{00000000-0005-0000-0000-0000DAEA0000}"/>
    <cellStyle name="Обычный 56 3" xfId="59980" xr:uid="{00000000-0005-0000-0000-0000DBEA0000}"/>
    <cellStyle name="Обычный 56 3 2" xfId="59981" xr:uid="{00000000-0005-0000-0000-0000DCEA0000}"/>
    <cellStyle name="Обычный 56 3 3" xfId="59982" xr:uid="{00000000-0005-0000-0000-0000DDEA0000}"/>
    <cellStyle name="Обычный 56 4" xfId="59983" xr:uid="{00000000-0005-0000-0000-0000DEEA0000}"/>
    <cellStyle name="Обычный 56 5" xfId="59984" xr:uid="{00000000-0005-0000-0000-0000DFEA0000}"/>
    <cellStyle name="Обычный 57" xfId="59985" xr:uid="{00000000-0005-0000-0000-0000E0EA0000}"/>
    <cellStyle name="Обычный 57 2" xfId="59986" xr:uid="{00000000-0005-0000-0000-0000E1EA0000}"/>
    <cellStyle name="Обычный 57 2 2" xfId="59987" xr:uid="{00000000-0005-0000-0000-0000E2EA0000}"/>
    <cellStyle name="Обычный 57 2 3" xfId="59988" xr:uid="{00000000-0005-0000-0000-0000E3EA0000}"/>
    <cellStyle name="Обычный 57 3" xfId="59989" xr:uid="{00000000-0005-0000-0000-0000E4EA0000}"/>
    <cellStyle name="Обычный 57 3 2" xfId="59990" xr:uid="{00000000-0005-0000-0000-0000E5EA0000}"/>
    <cellStyle name="Обычный 57 3 3" xfId="59991" xr:uid="{00000000-0005-0000-0000-0000E6EA0000}"/>
    <cellStyle name="Обычный 57 4" xfId="59992" xr:uid="{00000000-0005-0000-0000-0000E7EA0000}"/>
    <cellStyle name="Обычный 57 5" xfId="59993" xr:uid="{00000000-0005-0000-0000-0000E8EA0000}"/>
    <cellStyle name="Обычный 58" xfId="59994" xr:uid="{00000000-0005-0000-0000-0000E9EA0000}"/>
    <cellStyle name="Обычный 58 2" xfId="59995" xr:uid="{00000000-0005-0000-0000-0000EAEA0000}"/>
    <cellStyle name="Обычный 58 2 2" xfId="59996" xr:uid="{00000000-0005-0000-0000-0000EBEA0000}"/>
    <cellStyle name="Обычный 58 2 3" xfId="59997" xr:uid="{00000000-0005-0000-0000-0000ECEA0000}"/>
    <cellStyle name="Обычный 58 3" xfId="59998" xr:uid="{00000000-0005-0000-0000-0000EDEA0000}"/>
    <cellStyle name="Обычный 58 3 2" xfId="59999" xr:uid="{00000000-0005-0000-0000-0000EEEA0000}"/>
    <cellStyle name="Обычный 58 3 3" xfId="60000" xr:uid="{00000000-0005-0000-0000-0000EFEA0000}"/>
    <cellStyle name="Обычный 58 4" xfId="60001" xr:uid="{00000000-0005-0000-0000-0000F0EA0000}"/>
    <cellStyle name="Обычный 58 5" xfId="60002" xr:uid="{00000000-0005-0000-0000-0000F1EA0000}"/>
    <cellStyle name="Обычный 59" xfId="60003" xr:uid="{00000000-0005-0000-0000-0000F2EA0000}"/>
    <cellStyle name="Обычный 59 2" xfId="60004" xr:uid="{00000000-0005-0000-0000-0000F3EA0000}"/>
    <cellStyle name="Обычный 59 2 2" xfId="60005" xr:uid="{00000000-0005-0000-0000-0000F4EA0000}"/>
    <cellStyle name="Обычный 59 2 3" xfId="60006" xr:uid="{00000000-0005-0000-0000-0000F5EA0000}"/>
    <cellStyle name="Обычный 59 3" xfId="60007" xr:uid="{00000000-0005-0000-0000-0000F6EA0000}"/>
    <cellStyle name="Обычный 59 3 2" xfId="60008" xr:uid="{00000000-0005-0000-0000-0000F7EA0000}"/>
    <cellStyle name="Обычный 59 3 3" xfId="60009" xr:uid="{00000000-0005-0000-0000-0000F8EA0000}"/>
    <cellStyle name="Обычный 59 4" xfId="60010" xr:uid="{00000000-0005-0000-0000-0000F9EA0000}"/>
    <cellStyle name="Обычный 59 5" xfId="60011" xr:uid="{00000000-0005-0000-0000-0000FAEA0000}"/>
    <cellStyle name="Обычный 6" xfId="60012" xr:uid="{00000000-0005-0000-0000-0000FBEA0000}"/>
    <cellStyle name="Обычный 6 10" xfId="60013" xr:uid="{00000000-0005-0000-0000-0000FCEA0000}"/>
    <cellStyle name="Обычный 6 11" xfId="60014" xr:uid="{00000000-0005-0000-0000-0000FDEA0000}"/>
    <cellStyle name="Обычный 6 12" xfId="60015" xr:uid="{00000000-0005-0000-0000-0000FEEA0000}"/>
    <cellStyle name="Обычный 6 13" xfId="60016" xr:uid="{00000000-0005-0000-0000-0000FFEA0000}"/>
    <cellStyle name="Обычный 6 14" xfId="60017" xr:uid="{00000000-0005-0000-0000-000000EB0000}"/>
    <cellStyle name="Обычный 6 15" xfId="60018" xr:uid="{00000000-0005-0000-0000-000001EB0000}"/>
    <cellStyle name="Обычный 6 16" xfId="60019" xr:uid="{00000000-0005-0000-0000-000002EB0000}"/>
    <cellStyle name="Обычный 6 17" xfId="60020" xr:uid="{00000000-0005-0000-0000-000003EB0000}"/>
    <cellStyle name="Обычный 6 18" xfId="60021" xr:uid="{00000000-0005-0000-0000-000004EB0000}"/>
    <cellStyle name="Обычный 6 19" xfId="60022" xr:uid="{00000000-0005-0000-0000-000005EB0000}"/>
    <cellStyle name="Обычный 6 19 2" xfId="60023" xr:uid="{00000000-0005-0000-0000-000006EB0000}"/>
    <cellStyle name="Обычный 6 19 3" xfId="60024" xr:uid="{00000000-0005-0000-0000-000007EB0000}"/>
    <cellStyle name="Обычный 6 19 4" xfId="60025" xr:uid="{00000000-0005-0000-0000-000008EB0000}"/>
    <cellStyle name="Обычный 6 19 5" xfId="60026" xr:uid="{00000000-0005-0000-0000-000009EB0000}"/>
    <cellStyle name="Обычный 6 19 6" xfId="60027" xr:uid="{00000000-0005-0000-0000-00000AEB0000}"/>
    <cellStyle name="Обычный 6 19 7" xfId="60028" xr:uid="{00000000-0005-0000-0000-00000BEB0000}"/>
    <cellStyle name="Обычный 6 19 8" xfId="61318" xr:uid="{00000000-0005-0000-0000-00000CEB0000}"/>
    <cellStyle name="Обычный 6 19 9" xfId="61449" xr:uid="{00000000-0005-0000-0000-00000DEB0000}"/>
    <cellStyle name="Обычный 6 2" xfId="60029" xr:uid="{00000000-0005-0000-0000-00000EEB0000}"/>
    <cellStyle name="Обычный 6 2 2" xfId="60030" xr:uid="{00000000-0005-0000-0000-00000FEB0000}"/>
    <cellStyle name="Обычный 6 2 2 2" xfId="60031" xr:uid="{00000000-0005-0000-0000-000010EB0000}"/>
    <cellStyle name="Обычный 6 2 3" xfId="60032" xr:uid="{00000000-0005-0000-0000-000011EB0000}"/>
    <cellStyle name="Обычный 6 20" xfId="60033" xr:uid="{00000000-0005-0000-0000-000012EB0000}"/>
    <cellStyle name="Обычный 6 3" xfId="60034" xr:uid="{00000000-0005-0000-0000-000013EB0000}"/>
    <cellStyle name="Обычный 6 3 2" xfId="60035" xr:uid="{00000000-0005-0000-0000-000014EB0000}"/>
    <cellStyle name="Обычный 6 3 2 2" xfId="60036" xr:uid="{00000000-0005-0000-0000-000015EB0000}"/>
    <cellStyle name="Обычный 6 3 3" xfId="60037" xr:uid="{00000000-0005-0000-0000-000016EB0000}"/>
    <cellStyle name="Обычный 6 4" xfId="60038" xr:uid="{00000000-0005-0000-0000-000017EB0000}"/>
    <cellStyle name="Обычный 6 4 2" xfId="60039" xr:uid="{00000000-0005-0000-0000-000018EB0000}"/>
    <cellStyle name="Обычный 6 4 2 2" xfId="60040" xr:uid="{00000000-0005-0000-0000-000019EB0000}"/>
    <cellStyle name="Обычный 6 4 3" xfId="60041" xr:uid="{00000000-0005-0000-0000-00001AEB0000}"/>
    <cellStyle name="Обычный 6 5" xfId="60042" xr:uid="{00000000-0005-0000-0000-00001BEB0000}"/>
    <cellStyle name="Обычный 6 5 2" xfId="60043" xr:uid="{00000000-0005-0000-0000-00001CEB0000}"/>
    <cellStyle name="Обычный 6 6" xfId="60044" xr:uid="{00000000-0005-0000-0000-00001DEB0000}"/>
    <cellStyle name="Обычный 6 6 2" xfId="60045" xr:uid="{00000000-0005-0000-0000-00001EEB0000}"/>
    <cellStyle name="Обычный 6 7" xfId="60046" xr:uid="{00000000-0005-0000-0000-00001FEB0000}"/>
    <cellStyle name="Обычный 6 7 2" xfId="60047" xr:uid="{00000000-0005-0000-0000-000020EB0000}"/>
    <cellStyle name="Обычный 6 8" xfId="60048" xr:uid="{00000000-0005-0000-0000-000021EB0000}"/>
    <cellStyle name="Обычный 6 9" xfId="60049" xr:uid="{00000000-0005-0000-0000-000022EB0000}"/>
    <cellStyle name="Обычный 60" xfId="60050" xr:uid="{00000000-0005-0000-0000-000023EB0000}"/>
    <cellStyle name="Обычный 60 2" xfId="60051" xr:uid="{00000000-0005-0000-0000-000024EB0000}"/>
    <cellStyle name="Обычный 60 2 2" xfId="60052" xr:uid="{00000000-0005-0000-0000-000025EB0000}"/>
    <cellStyle name="Обычный 60 2 3" xfId="60053" xr:uid="{00000000-0005-0000-0000-000026EB0000}"/>
    <cellStyle name="Обычный 60 3" xfId="60054" xr:uid="{00000000-0005-0000-0000-000027EB0000}"/>
    <cellStyle name="Обычный 60 3 2" xfId="60055" xr:uid="{00000000-0005-0000-0000-000028EB0000}"/>
    <cellStyle name="Обычный 60 3 3" xfId="60056" xr:uid="{00000000-0005-0000-0000-000029EB0000}"/>
    <cellStyle name="Обычный 60 4" xfId="60057" xr:uid="{00000000-0005-0000-0000-00002AEB0000}"/>
    <cellStyle name="Обычный 60 5" xfId="60058" xr:uid="{00000000-0005-0000-0000-00002BEB0000}"/>
    <cellStyle name="Обычный 61" xfId="60059" xr:uid="{00000000-0005-0000-0000-00002CEB0000}"/>
    <cellStyle name="Обычный 61 2" xfId="60060" xr:uid="{00000000-0005-0000-0000-00002DEB0000}"/>
    <cellStyle name="Обычный 61 2 2" xfId="60061" xr:uid="{00000000-0005-0000-0000-00002EEB0000}"/>
    <cellStyle name="Обычный 61 2 3" xfId="60062" xr:uid="{00000000-0005-0000-0000-00002FEB0000}"/>
    <cellStyle name="Обычный 61 3" xfId="60063" xr:uid="{00000000-0005-0000-0000-000030EB0000}"/>
    <cellStyle name="Обычный 61 3 2" xfId="60064" xr:uid="{00000000-0005-0000-0000-000031EB0000}"/>
    <cellStyle name="Обычный 61 3 3" xfId="60065" xr:uid="{00000000-0005-0000-0000-000032EB0000}"/>
    <cellStyle name="Обычный 61 4" xfId="60066" xr:uid="{00000000-0005-0000-0000-000033EB0000}"/>
    <cellStyle name="Обычный 61 5" xfId="60067" xr:uid="{00000000-0005-0000-0000-000034EB0000}"/>
    <cellStyle name="Обычный 62" xfId="60068" xr:uid="{00000000-0005-0000-0000-000035EB0000}"/>
    <cellStyle name="Обычный 62 2" xfId="60069" xr:uid="{00000000-0005-0000-0000-000036EB0000}"/>
    <cellStyle name="Обычный 62 2 2" xfId="60070" xr:uid="{00000000-0005-0000-0000-000037EB0000}"/>
    <cellStyle name="Обычный 62 2 3" xfId="60071" xr:uid="{00000000-0005-0000-0000-000038EB0000}"/>
    <cellStyle name="Обычный 62 3" xfId="60072" xr:uid="{00000000-0005-0000-0000-000039EB0000}"/>
    <cellStyle name="Обычный 62 3 2" xfId="60073" xr:uid="{00000000-0005-0000-0000-00003AEB0000}"/>
    <cellStyle name="Обычный 62 3 3" xfId="60074" xr:uid="{00000000-0005-0000-0000-00003BEB0000}"/>
    <cellStyle name="Обычный 62 4" xfId="60075" xr:uid="{00000000-0005-0000-0000-00003CEB0000}"/>
    <cellStyle name="Обычный 62 5" xfId="60076" xr:uid="{00000000-0005-0000-0000-00003DEB0000}"/>
    <cellStyle name="Обычный 63" xfId="60077" xr:uid="{00000000-0005-0000-0000-00003EEB0000}"/>
    <cellStyle name="Обычный 63 2" xfId="60078" xr:uid="{00000000-0005-0000-0000-00003FEB0000}"/>
    <cellStyle name="Обычный 63 2 2" xfId="60079" xr:uid="{00000000-0005-0000-0000-000040EB0000}"/>
    <cellStyle name="Обычный 63 2 3" xfId="60080" xr:uid="{00000000-0005-0000-0000-000041EB0000}"/>
    <cellStyle name="Обычный 63 3" xfId="60081" xr:uid="{00000000-0005-0000-0000-000042EB0000}"/>
    <cellStyle name="Обычный 63 3 2" xfId="60082" xr:uid="{00000000-0005-0000-0000-000043EB0000}"/>
    <cellStyle name="Обычный 63 3 3" xfId="60083" xr:uid="{00000000-0005-0000-0000-000044EB0000}"/>
    <cellStyle name="Обычный 63 4" xfId="60084" xr:uid="{00000000-0005-0000-0000-000045EB0000}"/>
    <cellStyle name="Обычный 63 5" xfId="60085" xr:uid="{00000000-0005-0000-0000-000046EB0000}"/>
    <cellStyle name="Обычный 64" xfId="60086" xr:uid="{00000000-0005-0000-0000-000047EB0000}"/>
    <cellStyle name="Обычный 64 2" xfId="60087" xr:uid="{00000000-0005-0000-0000-000048EB0000}"/>
    <cellStyle name="Обычный 64 2 2" xfId="60088" xr:uid="{00000000-0005-0000-0000-000049EB0000}"/>
    <cellStyle name="Обычный 64 2 3" xfId="60089" xr:uid="{00000000-0005-0000-0000-00004AEB0000}"/>
    <cellStyle name="Обычный 64 3" xfId="60090" xr:uid="{00000000-0005-0000-0000-00004BEB0000}"/>
    <cellStyle name="Обычный 64 3 2" xfId="60091" xr:uid="{00000000-0005-0000-0000-00004CEB0000}"/>
    <cellStyle name="Обычный 64 3 3" xfId="60092" xr:uid="{00000000-0005-0000-0000-00004DEB0000}"/>
    <cellStyle name="Обычный 64 4" xfId="60093" xr:uid="{00000000-0005-0000-0000-00004EEB0000}"/>
    <cellStyle name="Обычный 64 5" xfId="60094" xr:uid="{00000000-0005-0000-0000-00004FEB0000}"/>
    <cellStyle name="Обычный 65" xfId="60095" xr:uid="{00000000-0005-0000-0000-000050EB0000}"/>
    <cellStyle name="Обычный 65 2" xfId="60096" xr:uid="{00000000-0005-0000-0000-000051EB0000}"/>
    <cellStyle name="Обычный 65 2 2" xfId="60097" xr:uid="{00000000-0005-0000-0000-000052EB0000}"/>
    <cellStyle name="Обычный 65 2 3" xfId="60098" xr:uid="{00000000-0005-0000-0000-000053EB0000}"/>
    <cellStyle name="Обычный 65 3" xfId="60099" xr:uid="{00000000-0005-0000-0000-000054EB0000}"/>
    <cellStyle name="Обычный 65 3 2" xfId="60100" xr:uid="{00000000-0005-0000-0000-000055EB0000}"/>
    <cellStyle name="Обычный 65 3 3" xfId="60101" xr:uid="{00000000-0005-0000-0000-000056EB0000}"/>
    <cellStyle name="Обычный 65 4" xfId="60102" xr:uid="{00000000-0005-0000-0000-000057EB0000}"/>
    <cellStyle name="Обычный 65 5" xfId="60103" xr:uid="{00000000-0005-0000-0000-000058EB0000}"/>
    <cellStyle name="Обычный 66" xfId="60104" xr:uid="{00000000-0005-0000-0000-000059EB0000}"/>
    <cellStyle name="Обычный 66 2" xfId="60105" xr:uid="{00000000-0005-0000-0000-00005AEB0000}"/>
    <cellStyle name="Обычный 66 2 2" xfId="60106" xr:uid="{00000000-0005-0000-0000-00005BEB0000}"/>
    <cellStyle name="Обычный 66 2 3" xfId="60107" xr:uid="{00000000-0005-0000-0000-00005CEB0000}"/>
    <cellStyle name="Обычный 66 3" xfId="60108" xr:uid="{00000000-0005-0000-0000-00005DEB0000}"/>
    <cellStyle name="Обычный 66 3 2" xfId="60109" xr:uid="{00000000-0005-0000-0000-00005EEB0000}"/>
    <cellStyle name="Обычный 66 3 3" xfId="60110" xr:uid="{00000000-0005-0000-0000-00005FEB0000}"/>
    <cellStyle name="Обычный 66 4" xfId="60111" xr:uid="{00000000-0005-0000-0000-000060EB0000}"/>
    <cellStyle name="Обычный 66 5" xfId="60112" xr:uid="{00000000-0005-0000-0000-000061EB0000}"/>
    <cellStyle name="Обычный 67" xfId="60113" xr:uid="{00000000-0005-0000-0000-000062EB0000}"/>
    <cellStyle name="Обычный 67 2" xfId="60114" xr:uid="{00000000-0005-0000-0000-000063EB0000}"/>
    <cellStyle name="Обычный 67 3" xfId="60115" xr:uid="{00000000-0005-0000-0000-000064EB0000}"/>
    <cellStyle name="Обычный 68" xfId="60116" xr:uid="{00000000-0005-0000-0000-000065EB0000}"/>
    <cellStyle name="Обычный 69" xfId="60117" xr:uid="{00000000-0005-0000-0000-000066EB0000}"/>
    <cellStyle name="Обычный 69 2" xfId="60118" xr:uid="{00000000-0005-0000-0000-000067EB0000}"/>
    <cellStyle name="Обычный 69 3" xfId="61306" xr:uid="{00000000-0005-0000-0000-000068EB0000}"/>
    <cellStyle name="Обычный 7" xfId="60119" xr:uid="{00000000-0005-0000-0000-000069EB0000}"/>
    <cellStyle name="Обычный 7 2" xfId="60120" xr:uid="{00000000-0005-0000-0000-00006AEB0000}"/>
    <cellStyle name="Обычный 7 2 2" xfId="60121" xr:uid="{00000000-0005-0000-0000-00006BEB0000}"/>
    <cellStyle name="Обычный 7 2 2 2" xfId="60122" xr:uid="{00000000-0005-0000-0000-00006CEB0000}"/>
    <cellStyle name="Обычный 7 2 3" xfId="60123" xr:uid="{00000000-0005-0000-0000-00006DEB0000}"/>
    <cellStyle name="Обычный 7 3" xfId="60124" xr:uid="{00000000-0005-0000-0000-00006EEB0000}"/>
    <cellStyle name="Обычный 7 4" xfId="60125" xr:uid="{00000000-0005-0000-0000-00006FEB0000}"/>
    <cellStyle name="Обычный 7 5" xfId="60126" xr:uid="{00000000-0005-0000-0000-000070EB0000}"/>
    <cellStyle name="Обычный 70" xfId="60127" xr:uid="{00000000-0005-0000-0000-000071EB0000}"/>
    <cellStyle name="Обычный 71" xfId="60128" xr:uid="{00000000-0005-0000-0000-000072EB0000}"/>
    <cellStyle name="Обычный 72" xfId="60129" xr:uid="{00000000-0005-0000-0000-000073EB0000}"/>
    <cellStyle name="Обычный 73" xfId="60130" xr:uid="{00000000-0005-0000-0000-000074EB0000}"/>
    <cellStyle name="Обычный 74" xfId="60131" xr:uid="{00000000-0005-0000-0000-000075EB0000}"/>
    <cellStyle name="Обычный 75" xfId="60132" xr:uid="{00000000-0005-0000-0000-000076EB0000}"/>
    <cellStyle name="Обычный 76" xfId="60133" xr:uid="{00000000-0005-0000-0000-000077EB0000}"/>
    <cellStyle name="Обычный 77" xfId="60134" xr:uid="{00000000-0005-0000-0000-000078EB0000}"/>
    <cellStyle name="Обычный 78" xfId="60135" xr:uid="{00000000-0005-0000-0000-000079EB0000}"/>
    <cellStyle name="Обычный 79" xfId="60136" xr:uid="{00000000-0005-0000-0000-00007AEB0000}"/>
    <cellStyle name="Обычный 79 2" xfId="60137" xr:uid="{00000000-0005-0000-0000-00007BEB0000}"/>
    <cellStyle name="Обычный 8" xfId="60138" xr:uid="{00000000-0005-0000-0000-00007CEB0000}"/>
    <cellStyle name="Обычный 8 2" xfId="60139" xr:uid="{00000000-0005-0000-0000-00007DEB0000}"/>
    <cellStyle name="Обычный 8 2 2" xfId="60140" xr:uid="{00000000-0005-0000-0000-00007EEB0000}"/>
    <cellStyle name="Обычный 8 2 2 2" xfId="60141" xr:uid="{00000000-0005-0000-0000-00007FEB0000}"/>
    <cellStyle name="Обычный 8 2 3" xfId="60142" xr:uid="{00000000-0005-0000-0000-000080EB0000}"/>
    <cellStyle name="Обычный 8 3" xfId="60143" xr:uid="{00000000-0005-0000-0000-000081EB0000}"/>
    <cellStyle name="Обычный 8 4" xfId="60144" xr:uid="{00000000-0005-0000-0000-000082EB0000}"/>
    <cellStyle name="Обычный 8 5" xfId="60145" xr:uid="{00000000-0005-0000-0000-000083EB0000}"/>
    <cellStyle name="Обычный 80" xfId="60146" xr:uid="{00000000-0005-0000-0000-000084EB0000}"/>
    <cellStyle name="Обычный 81" xfId="60147" xr:uid="{00000000-0005-0000-0000-000085EB0000}"/>
    <cellStyle name="Обычный 82" xfId="60148" xr:uid="{00000000-0005-0000-0000-000086EB0000}"/>
    <cellStyle name="Обычный 83" xfId="60149" xr:uid="{00000000-0005-0000-0000-000087EB0000}"/>
    <cellStyle name="Обычный 83 2" xfId="61307" xr:uid="{00000000-0005-0000-0000-000088EB0000}"/>
    <cellStyle name="Обычный 83 3" xfId="61308" xr:uid="{00000000-0005-0000-0000-000089EB0000}"/>
    <cellStyle name="Обычный 84" xfId="60150" xr:uid="{00000000-0005-0000-0000-00008AEB0000}"/>
    <cellStyle name="Обычный 84 10" xfId="60151" xr:uid="{00000000-0005-0000-0000-00008BEB0000}"/>
    <cellStyle name="Обычный 84 11" xfId="60152" xr:uid="{00000000-0005-0000-0000-00008CEB0000}"/>
    <cellStyle name="Обычный 84 12" xfId="60153" xr:uid="{00000000-0005-0000-0000-00008DEB0000}"/>
    <cellStyle name="Обычный 84 12 2" xfId="60154" xr:uid="{00000000-0005-0000-0000-00008EEB0000}"/>
    <cellStyle name="Обычный 84 13" xfId="60155" xr:uid="{00000000-0005-0000-0000-00008FEB0000}"/>
    <cellStyle name="Обычный 84 14" xfId="60156" xr:uid="{00000000-0005-0000-0000-000090EB0000}"/>
    <cellStyle name="Обычный 84 15" xfId="60157" xr:uid="{00000000-0005-0000-0000-000091EB0000}"/>
    <cellStyle name="Обычный 84 16" xfId="60158" xr:uid="{00000000-0005-0000-0000-000092EB0000}"/>
    <cellStyle name="Обычный 84 16 2" xfId="60159" xr:uid="{00000000-0005-0000-0000-000093EB0000}"/>
    <cellStyle name="Обычный 84 17" xfId="60160" xr:uid="{00000000-0005-0000-0000-000094EB0000}"/>
    <cellStyle name="Обычный 84 18" xfId="61315" xr:uid="{00000000-0005-0000-0000-000095EB0000}"/>
    <cellStyle name="Обычный 84 19" xfId="61326" xr:uid="{00000000-0005-0000-0000-000096EB0000}"/>
    <cellStyle name="Обычный 84 2" xfId="60161" xr:uid="{00000000-0005-0000-0000-000097EB0000}"/>
    <cellStyle name="Обычный 84 2 2" xfId="60162" xr:uid="{00000000-0005-0000-0000-000098EB0000}"/>
    <cellStyle name="Обычный 84 2 3" xfId="61310" xr:uid="{00000000-0005-0000-0000-000099EB0000}"/>
    <cellStyle name="Обычный 84 2 3 2" xfId="61361" xr:uid="{00000000-0005-0000-0000-00009AEB0000}"/>
    <cellStyle name="Обычный 84 2 3 3" xfId="61423" xr:uid="{00000000-0005-0000-0000-00009BEB0000}"/>
    <cellStyle name="Обычный 84 20" xfId="61341" xr:uid="{00000000-0005-0000-0000-00009CEB0000}"/>
    <cellStyle name="Обычный 84 21" xfId="61349" xr:uid="{00000000-0005-0000-0000-00009DEB0000}"/>
    <cellStyle name="Обычный 84 3" xfId="60163" xr:uid="{00000000-0005-0000-0000-00009EEB0000}"/>
    <cellStyle name="Обычный 84 4" xfId="60164" xr:uid="{00000000-0005-0000-0000-00009FEB0000}"/>
    <cellStyle name="Обычный 84 5" xfId="60165" xr:uid="{00000000-0005-0000-0000-0000A0EB0000}"/>
    <cellStyle name="Обычный 84 6" xfId="60166" xr:uid="{00000000-0005-0000-0000-0000A1EB0000}"/>
    <cellStyle name="Обычный 84 7" xfId="60167" xr:uid="{00000000-0005-0000-0000-0000A2EB0000}"/>
    <cellStyle name="Обычный 84 8" xfId="60168" xr:uid="{00000000-0005-0000-0000-0000A3EB0000}"/>
    <cellStyle name="Обычный 84 9" xfId="60169" xr:uid="{00000000-0005-0000-0000-0000A4EB0000}"/>
    <cellStyle name="Обычный 85" xfId="60170" xr:uid="{00000000-0005-0000-0000-0000A5EB0000}"/>
    <cellStyle name="Обычный 85 2" xfId="60171" xr:uid="{00000000-0005-0000-0000-0000A6EB0000}"/>
    <cellStyle name="Обычный 85 3" xfId="60172" xr:uid="{00000000-0005-0000-0000-0000A7EB0000}"/>
    <cellStyle name="Обычный 85 3 2" xfId="60173" xr:uid="{00000000-0005-0000-0000-0000A8EB0000}"/>
    <cellStyle name="Обычный 85 4" xfId="60174" xr:uid="{00000000-0005-0000-0000-0000A9EB0000}"/>
    <cellStyle name="Обычный 85 4 2" xfId="60175" xr:uid="{00000000-0005-0000-0000-0000AAEB0000}"/>
    <cellStyle name="Обычный 85 5" xfId="60176" xr:uid="{00000000-0005-0000-0000-0000ABEB0000}"/>
    <cellStyle name="Обычный 85 6" xfId="61316" xr:uid="{00000000-0005-0000-0000-0000ACEB0000}"/>
    <cellStyle name="Обычный 85 7" xfId="61327" xr:uid="{00000000-0005-0000-0000-0000ADEB0000}"/>
    <cellStyle name="Обычный 85 8" xfId="61342" xr:uid="{00000000-0005-0000-0000-0000AEEB0000}"/>
    <cellStyle name="Обычный 85 9" xfId="61350" xr:uid="{00000000-0005-0000-0000-0000AFEB0000}"/>
    <cellStyle name="Обычный 86" xfId="60177" xr:uid="{00000000-0005-0000-0000-0000B0EB0000}"/>
    <cellStyle name="Обычный 87" xfId="60178" xr:uid="{00000000-0005-0000-0000-0000B1EB0000}"/>
    <cellStyle name="Обычный 88" xfId="60179" xr:uid="{00000000-0005-0000-0000-0000B2EB0000}"/>
    <cellStyle name="Обычный 89" xfId="60180" xr:uid="{00000000-0005-0000-0000-0000B3EB0000}"/>
    <cellStyle name="Обычный 89 2" xfId="60181" xr:uid="{00000000-0005-0000-0000-0000B4EB0000}"/>
    <cellStyle name="Обычный 9" xfId="60182" xr:uid="{00000000-0005-0000-0000-0000B5EB0000}"/>
    <cellStyle name="Обычный 9 2" xfId="60183" xr:uid="{00000000-0005-0000-0000-0000B6EB0000}"/>
    <cellStyle name="Обычный 9 2 2" xfId="60184" xr:uid="{00000000-0005-0000-0000-0000B7EB0000}"/>
    <cellStyle name="Обычный 9 2 2 2" xfId="60185" xr:uid="{00000000-0005-0000-0000-0000B8EB0000}"/>
    <cellStyle name="Обычный 9 2 3" xfId="60186" xr:uid="{00000000-0005-0000-0000-0000B9EB0000}"/>
    <cellStyle name="Обычный 9 3" xfId="60187" xr:uid="{00000000-0005-0000-0000-0000BAEB0000}"/>
    <cellStyle name="Обычный 9 4" xfId="60188" xr:uid="{00000000-0005-0000-0000-0000BBEB0000}"/>
    <cellStyle name="Обычный 9 5" xfId="60189" xr:uid="{00000000-0005-0000-0000-0000BCEB0000}"/>
    <cellStyle name="Обычный 90" xfId="60190" xr:uid="{00000000-0005-0000-0000-0000BDEB0000}"/>
    <cellStyle name="Обычный 91" xfId="60191" xr:uid="{00000000-0005-0000-0000-0000BEEB0000}"/>
    <cellStyle name="Обычный 92" xfId="60192" xr:uid="{00000000-0005-0000-0000-0000BFEB0000}"/>
    <cellStyle name="Обычный 93" xfId="60193" xr:uid="{00000000-0005-0000-0000-0000C0EB0000}"/>
    <cellStyle name="Обычный 94" xfId="60194" xr:uid="{00000000-0005-0000-0000-0000C1EB0000}"/>
    <cellStyle name="Обычный 95" xfId="60195" xr:uid="{00000000-0005-0000-0000-0000C2EB0000}"/>
    <cellStyle name="Обычный 96" xfId="60196" xr:uid="{00000000-0005-0000-0000-0000C3EB0000}"/>
    <cellStyle name="Обычный 97" xfId="60197" xr:uid="{00000000-0005-0000-0000-0000C4EB0000}"/>
    <cellStyle name="Обычный 98" xfId="60198" xr:uid="{00000000-0005-0000-0000-0000C5EB0000}"/>
    <cellStyle name="Обычный 99" xfId="60199" xr:uid="{00000000-0005-0000-0000-0000C6EB0000}"/>
    <cellStyle name="Обычный_17.04.2007 Свод(общий)" xfId="61319" xr:uid="{00000000-0005-0000-0000-0000C7EB0000}"/>
    <cellStyle name="Плохой 10" xfId="60200" xr:uid="{00000000-0005-0000-0000-0000C8EB0000}"/>
    <cellStyle name="Плохой 100" xfId="60201" xr:uid="{00000000-0005-0000-0000-0000C9EB0000}"/>
    <cellStyle name="Плохой 101" xfId="60202" xr:uid="{00000000-0005-0000-0000-0000CAEB0000}"/>
    <cellStyle name="Плохой 102" xfId="60203" xr:uid="{00000000-0005-0000-0000-0000CBEB0000}"/>
    <cellStyle name="Плохой 103" xfId="60204" xr:uid="{00000000-0005-0000-0000-0000CCEB0000}"/>
    <cellStyle name="Плохой 104" xfId="60205" xr:uid="{00000000-0005-0000-0000-0000CDEB0000}"/>
    <cellStyle name="Плохой 105" xfId="60206" xr:uid="{00000000-0005-0000-0000-0000CEEB0000}"/>
    <cellStyle name="Плохой 106" xfId="60207" xr:uid="{00000000-0005-0000-0000-0000CFEB0000}"/>
    <cellStyle name="Плохой 107" xfId="60208" xr:uid="{00000000-0005-0000-0000-0000D0EB0000}"/>
    <cellStyle name="Плохой 108" xfId="60209" xr:uid="{00000000-0005-0000-0000-0000D1EB0000}"/>
    <cellStyle name="Плохой 109" xfId="60210" xr:uid="{00000000-0005-0000-0000-0000D2EB0000}"/>
    <cellStyle name="Плохой 11" xfId="60211" xr:uid="{00000000-0005-0000-0000-0000D3EB0000}"/>
    <cellStyle name="Плохой 110" xfId="60212" xr:uid="{00000000-0005-0000-0000-0000D4EB0000}"/>
    <cellStyle name="Плохой 111" xfId="60213" xr:uid="{00000000-0005-0000-0000-0000D5EB0000}"/>
    <cellStyle name="Плохой 112" xfId="60214" xr:uid="{00000000-0005-0000-0000-0000D6EB0000}"/>
    <cellStyle name="Плохой 113" xfId="60215" xr:uid="{00000000-0005-0000-0000-0000D7EB0000}"/>
    <cellStyle name="Плохой 114" xfId="60216" xr:uid="{00000000-0005-0000-0000-0000D8EB0000}"/>
    <cellStyle name="Плохой 115" xfId="60217" xr:uid="{00000000-0005-0000-0000-0000D9EB0000}"/>
    <cellStyle name="Плохой 116" xfId="60218" xr:uid="{00000000-0005-0000-0000-0000DAEB0000}"/>
    <cellStyle name="Плохой 117" xfId="60219" xr:uid="{00000000-0005-0000-0000-0000DBEB0000}"/>
    <cellStyle name="Плохой 118" xfId="60220" xr:uid="{00000000-0005-0000-0000-0000DCEB0000}"/>
    <cellStyle name="Плохой 119" xfId="60221" xr:uid="{00000000-0005-0000-0000-0000DDEB0000}"/>
    <cellStyle name="Плохой 12" xfId="60222" xr:uid="{00000000-0005-0000-0000-0000DEEB0000}"/>
    <cellStyle name="Плохой 120" xfId="60223" xr:uid="{00000000-0005-0000-0000-0000DFEB0000}"/>
    <cellStyle name="Плохой 121" xfId="60224" xr:uid="{00000000-0005-0000-0000-0000E0EB0000}"/>
    <cellStyle name="Плохой 122" xfId="60225" xr:uid="{00000000-0005-0000-0000-0000E1EB0000}"/>
    <cellStyle name="Плохой 123" xfId="60226" xr:uid="{00000000-0005-0000-0000-0000E2EB0000}"/>
    <cellStyle name="Плохой 124" xfId="60227" xr:uid="{00000000-0005-0000-0000-0000E3EB0000}"/>
    <cellStyle name="Плохой 125" xfId="60228" xr:uid="{00000000-0005-0000-0000-0000E4EB0000}"/>
    <cellStyle name="Плохой 126" xfId="60229" xr:uid="{00000000-0005-0000-0000-0000E5EB0000}"/>
    <cellStyle name="Плохой 127" xfId="60230" xr:uid="{00000000-0005-0000-0000-0000E6EB0000}"/>
    <cellStyle name="Плохой 128" xfId="60231" xr:uid="{00000000-0005-0000-0000-0000E7EB0000}"/>
    <cellStyle name="Плохой 129" xfId="60232" xr:uid="{00000000-0005-0000-0000-0000E8EB0000}"/>
    <cellStyle name="Плохой 13" xfId="60233" xr:uid="{00000000-0005-0000-0000-0000E9EB0000}"/>
    <cellStyle name="Плохой 130" xfId="60234" xr:uid="{00000000-0005-0000-0000-0000EAEB0000}"/>
    <cellStyle name="Плохой 131" xfId="60235" xr:uid="{00000000-0005-0000-0000-0000EBEB0000}"/>
    <cellStyle name="Плохой 132" xfId="60236" xr:uid="{00000000-0005-0000-0000-0000ECEB0000}"/>
    <cellStyle name="Плохой 133" xfId="60237" xr:uid="{00000000-0005-0000-0000-0000EDEB0000}"/>
    <cellStyle name="Плохой 134" xfId="60238" xr:uid="{00000000-0005-0000-0000-0000EEEB0000}"/>
    <cellStyle name="Плохой 135" xfId="60239" xr:uid="{00000000-0005-0000-0000-0000EFEB0000}"/>
    <cellStyle name="Плохой 136" xfId="60240" xr:uid="{00000000-0005-0000-0000-0000F0EB0000}"/>
    <cellStyle name="Плохой 137" xfId="60241" xr:uid="{00000000-0005-0000-0000-0000F1EB0000}"/>
    <cellStyle name="Плохой 138" xfId="60242" xr:uid="{00000000-0005-0000-0000-0000F2EB0000}"/>
    <cellStyle name="Плохой 139" xfId="60243" xr:uid="{00000000-0005-0000-0000-0000F3EB0000}"/>
    <cellStyle name="Плохой 14" xfId="60244" xr:uid="{00000000-0005-0000-0000-0000F4EB0000}"/>
    <cellStyle name="Плохой 140" xfId="60245" xr:uid="{00000000-0005-0000-0000-0000F5EB0000}"/>
    <cellStyle name="Плохой 141" xfId="60246" xr:uid="{00000000-0005-0000-0000-0000F6EB0000}"/>
    <cellStyle name="Плохой 142" xfId="60247" xr:uid="{00000000-0005-0000-0000-0000F7EB0000}"/>
    <cellStyle name="Плохой 143" xfId="60248" xr:uid="{00000000-0005-0000-0000-0000F8EB0000}"/>
    <cellStyle name="Плохой 144" xfId="60249" xr:uid="{00000000-0005-0000-0000-0000F9EB0000}"/>
    <cellStyle name="Плохой 145" xfId="60250" xr:uid="{00000000-0005-0000-0000-0000FAEB0000}"/>
    <cellStyle name="Плохой 146" xfId="60251" xr:uid="{00000000-0005-0000-0000-0000FBEB0000}"/>
    <cellStyle name="Плохой 147" xfId="60252" xr:uid="{00000000-0005-0000-0000-0000FCEB0000}"/>
    <cellStyle name="Плохой 148" xfId="60253" xr:uid="{00000000-0005-0000-0000-0000FDEB0000}"/>
    <cellStyle name="Плохой 149" xfId="60254" xr:uid="{00000000-0005-0000-0000-0000FEEB0000}"/>
    <cellStyle name="Плохой 15" xfId="60255" xr:uid="{00000000-0005-0000-0000-0000FFEB0000}"/>
    <cellStyle name="Плохой 150" xfId="60256" xr:uid="{00000000-0005-0000-0000-000000EC0000}"/>
    <cellStyle name="Плохой 151" xfId="60257" xr:uid="{00000000-0005-0000-0000-000001EC0000}"/>
    <cellStyle name="Плохой 152" xfId="60258" xr:uid="{00000000-0005-0000-0000-000002EC0000}"/>
    <cellStyle name="Плохой 153" xfId="60259" xr:uid="{00000000-0005-0000-0000-000003EC0000}"/>
    <cellStyle name="Плохой 16" xfId="60260" xr:uid="{00000000-0005-0000-0000-000004EC0000}"/>
    <cellStyle name="Плохой 17" xfId="60261" xr:uid="{00000000-0005-0000-0000-000005EC0000}"/>
    <cellStyle name="Плохой 18" xfId="60262" xr:uid="{00000000-0005-0000-0000-000006EC0000}"/>
    <cellStyle name="Плохой 19" xfId="60263" xr:uid="{00000000-0005-0000-0000-000007EC0000}"/>
    <cellStyle name="Плохой 2" xfId="60264" xr:uid="{00000000-0005-0000-0000-000008EC0000}"/>
    <cellStyle name="Плохой 2 2" xfId="60265" xr:uid="{00000000-0005-0000-0000-000009EC0000}"/>
    <cellStyle name="Плохой 2 2 10" xfId="60266" xr:uid="{00000000-0005-0000-0000-00000AEC0000}"/>
    <cellStyle name="Плохой 2 2 11" xfId="60267" xr:uid="{00000000-0005-0000-0000-00000BEC0000}"/>
    <cellStyle name="Плохой 2 2 12" xfId="60268" xr:uid="{00000000-0005-0000-0000-00000CEC0000}"/>
    <cellStyle name="Плохой 2 2 13" xfId="60269" xr:uid="{00000000-0005-0000-0000-00000DEC0000}"/>
    <cellStyle name="Плохой 2 2 2" xfId="60270" xr:uid="{00000000-0005-0000-0000-00000EEC0000}"/>
    <cellStyle name="Плохой 2 2 3" xfId="60271" xr:uid="{00000000-0005-0000-0000-00000FEC0000}"/>
    <cellStyle name="Плохой 2 2 4" xfId="60272" xr:uid="{00000000-0005-0000-0000-000010EC0000}"/>
    <cellStyle name="Плохой 2 2 5" xfId="60273" xr:uid="{00000000-0005-0000-0000-000011EC0000}"/>
    <cellStyle name="Плохой 2 2 6" xfId="60274" xr:uid="{00000000-0005-0000-0000-000012EC0000}"/>
    <cellStyle name="Плохой 2 2 7" xfId="60275" xr:uid="{00000000-0005-0000-0000-000013EC0000}"/>
    <cellStyle name="Плохой 2 2 8" xfId="60276" xr:uid="{00000000-0005-0000-0000-000014EC0000}"/>
    <cellStyle name="Плохой 2 2 9" xfId="60277" xr:uid="{00000000-0005-0000-0000-000015EC0000}"/>
    <cellStyle name="Плохой 2 3" xfId="60278" xr:uid="{00000000-0005-0000-0000-000016EC0000}"/>
    <cellStyle name="Плохой 20" xfId="60279" xr:uid="{00000000-0005-0000-0000-000017EC0000}"/>
    <cellStyle name="Плохой 21" xfId="60280" xr:uid="{00000000-0005-0000-0000-000018EC0000}"/>
    <cellStyle name="Плохой 22" xfId="60281" xr:uid="{00000000-0005-0000-0000-000019EC0000}"/>
    <cellStyle name="Плохой 23" xfId="60282" xr:uid="{00000000-0005-0000-0000-00001AEC0000}"/>
    <cellStyle name="Плохой 24" xfId="60283" xr:uid="{00000000-0005-0000-0000-00001BEC0000}"/>
    <cellStyle name="Плохой 25" xfId="60284" xr:uid="{00000000-0005-0000-0000-00001CEC0000}"/>
    <cellStyle name="Плохой 26" xfId="60285" xr:uid="{00000000-0005-0000-0000-00001DEC0000}"/>
    <cellStyle name="Плохой 27" xfId="60286" xr:uid="{00000000-0005-0000-0000-00001EEC0000}"/>
    <cellStyle name="Плохой 28" xfId="60287" xr:uid="{00000000-0005-0000-0000-00001FEC0000}"/>
    <cellStyle name="Плохой 29" xfId="60288" xr:uid="{00000000-0005-0000-0000-000020EC0000}"/>
    <cellStyle name="Плохой 3" xfId="60289" xr:uid="{00000000-0005-0000-0000-000021EC0000}"/>
    <cellStyle name="Плохой 30" xfId="60290" xr:uid="{00000000-0005-0000-0000-000022EC0000}"/>
    <cellStyle name="Плохой 31" xfId="60291" xr:uid="{00000000-0005-0000-0000-000023EC0000}"/>
    <cellStyle name="Плохой 32" xfId="60292" xr:uid="{00000000-0005-0000-0000-000024EC0000}"/>
    <cellStyle name="Плохой 33" xfId="60293" xr:uid="{00000000-0005-0000-0000-000025EC0000}"/>
    <cellStyle name="Плохой 34" xfId="60294" xr:uid="{00000000-0005-0000-0000-000026EC0000}"/>
    <cellStyle name="Плохой 35" xfId="60295" xr:uid="{00000000-0005-0000-0000-000027EC0000}"/>
    <cellStyle name="Плохой 36" xfId="60296" xr:uid="{00000000-0005-0000-0000-000028EC0000}"/>
    <cellStyle name="Плохой 37" xfId="60297" xr:uid="{00000000-0005-0000-0000-000029EC0000}"/>
    <cellStyle name="Плохой 38" xfId="60298" xr:uid="{00000000-0005-0000-0000-00002AEC0000}"/>
    <cellStyle name="Плохой 39" xfId="60299" xr:uid="{00000000-0005-0000-0000-00002BEC0000}"/>
    <cellStyle name="Плохой 4" xfId="60300" xr:uid="{00000000-0005-0000-0000-00002CEC0000}"/>
    <cellStyle name="Плохой 40" xfId="60301" xr:uid="{00000000-0005-0000-0000-00002DEC0000}"/>
    <cellStyle name="Плохой 41" xfId="60302" xr:uid="{00000000-0005-0000-0000-00002EEC0000}"/>
    <cellStyle name="Плохой 42" xfId="60303" xr:uid="{00000000-0005-0000-0000-00002FEC0000}"/>
    <cellStyle name="Плохой 43" xfId="60304" xr:uid="{00000000-0005-0000-0000-000030EC0000}"/>
    <cellStyle name="Плохой 44" xfId="60305" xr:uid="{00000000-0005-0000-0000-000031EC0000}"/>
    <cellStyle name="Плохой 45" xfId="60306" xr:uid="{00000000-0005-0000-0000-000032EC0000}"/>
    <cellStyle name="Плохой 46" xfId="60307" xr:uid="{00000000-0005-0000-0000-000033EC0000}"/>
    <cellStyle name="Плохой 47" xfId="60308" xr:uid="{00000000-0005-0000-0000-000034EC0000}"/>
    <cellStyle name="Плохой 48" xfId="60309" xr:uid="{00000000-0005-0000-0000-000035EC0000}"/>
    <cellStyle name="Плохой 49" xfId="60310" xr:uid="{00000000-0005-0000-0000-000036EC0000}"/>
    <cellStyle name="Плохой 5" xfId="60311" xr:uid="{00000000-0005-0000-0000-000037EC0000}"/>
    <cellStyle name="Плохой 50" xfId="60312" xr:uid="{00000000-0005-0000-0000-000038EC0000}"/>
    <cellStyle name="Плохой 51" xfId="60313" xr:uid="{00000000-0005-0000-0000-000039EC0000}"/>
    <cellStyle name="Плохой 52" xfId="60314" xr:uid="{00000000-0005-0000-0000-00003AEC0000}"/>
    <cellStyle name="Плохой 53" xfId="60315" xr:uid="{00000000-0005-0000-0000-00003BEC0000}"/>
    <cellStyle name="Плохой 54" xfId="60316" xr:uid="{00000000-0005-0000-0000-00003CEC0000}"/>
    <cellStyle name="Плохой 55" xfId="60317" xr:uid="{00000000-0005-0000-0000-00003DEC0000}"/>
    <cellStyle name="Плохой 56" xfId="60318" xr:uid="{00000000-0005-0000-0000-00003EEC0000}"/>
    <cellStyle name="Плохой 57" xfId="60319" xr:uid="{00000000-0005-0000-0000-00003FEC0000}"/>
    <cellStyle name="Плохой 58" xfId="60320" xr:uid="{00000000-0005-0000-0000-000040EC0000}"/>
    <cellStyle name="Плохой 59" xfId="60321" xr:uid="{00000000-0005-0000-0000-000041EC0000}"/>
    <cellStyle name="Плохой 6" xfId="60322" xr:uid="{00000000-0005-0000-0000-000042EC0000}"/>
    <cellStyle name="Плохой 60" xfId="60323" xr:uid="{00000000-0005-0000-0000-000043EC0000}"/>
    <cellStyle name="Плохой 61" xfId="60324" xr:uid="{00000000-0005-0000-0000-000044EC0000}"/>
    <cellStyle name="Плохой 62" xfId="60325" xr:uid="{00000000-0005-0000-0000-000045EC0000}"/>
    <cellStyle name="Плохой 63" xfId="60326" xr:uid="{00000000-0005-0000-0000-000046EC0000}"/>
    <cellStyle name="Плохой 64" xfId="60327" xr:uid="{00000000-0005-0000-0000-000047EC0000}"/>
    <cellStyle name="Плохой 65" xfId="60328" xr:uid="{00000000-0005-0000-0000-000048EC0000}"/>
    <cellStyle name="Плохой 66" xfId="60329" xr:uid="{00000000-0005-0000-0000-000049EC0000}"/>
    <cellStyle name="Плохой 67" xfId="60330" xr:uid="{00000000-0005-0000-0000-00004AEC0000}"/>
    <cellStyle name="Плохой 68" xfId="60331" xr:uid="{00000000-0005-0000-0000-00004BEC0000}"/>
    <cellStyle name="Плохой 69" xfId="60332" xr:uid="{00000000-0005-0000-0000-00004CEC0000}"/>
    <cellStyle name="Плохой 7" xfId="60333" xr:uid="{00000000-0005-0000-0000-00004DEC0000}"/>
    <cellStyle name="Плохой 70" xfId="60334" xr:uid="{00000000-0005-0000-0000-00004EEC0000}"/>
    <cellStyle name="Плохой 71" xfId="60335" xr:uid="{00000000-0005-0000-0000-00004FEC0000}"/>
    <cellStyle name="Плохой 72" xfId="60336" xr:uid="{00000000-0005-0000-0000-000050EC0000}"/>
    <cellStyle name="Плохой 73" xfId="60337" xr:uid="{00000000-0005-0000-0000-000051EC0000}"/>
    <cellStyle name="Плохой 74" xfId="60338" xr:uid="{00000000-0005-0000-0000-000052EC0000}"/>
    <cellStyle name="Плохой 75" xfId="60339" xr:uid="{00000000-0005-0000-0000-000053EC0000}"/>
    <cellStyle name="Плохой 76" xfId="60340" xr:uid="{00000000-0005-0000-0000-000054EC0000}"/>
    <cellStyle name="Плохой 77" xfId="60341" xr:uid="{00000000-0005-0000-0000-000055EC0000}"/>
    <cellStyle name="Плохой 78" xfId="60342" xr:uid="{00000000-0005-0000-0000-000056EC0000}"/>
    <cellStyle name="Плохой 79" xfId="60343" xr:uid="{00000000-0005-0000-0000-000057EC0000}"/>
    <cellStyle name="Плохой 8" xfId="60344" xr:uid="{00000000-0005-0000-0000-000058EC0000}"/>
    <cellStyle name="Плохой 80" xfId="60345" xr:uid="{00000000-0005-0000-0000-000059EC0000}"/>
    <cellStyle name="Плохой 81" xfId="60346" xr:uid="{00000000-0005-0000-0000-00005AEC0000}"/>
    <cellStyle name="Плохой 82" xfId="60347" xr:uid="{00000000-0005-0000-0000-00005BEC0000}"/>
    <cellStyle name="Плохой 83" xfId="60348" xr:uid="{00000000-0005-0000-0000-00005CEC0000}"/>
    <cellStyle name="Плохой 84" xfId="60349" xr:uid="{00000000-0005-0000-0000-00005DEC0000}"/>
    <cellStyle name="Плохой 85" xfId="60350" xr:uid="{00000000-0005-0000-0000-00005EEC0000}"/>
    <cellStyle name="Плохой 86" xfId="60351" xr:uid="{00000000-0005-0000-0000-00005FEC0000}"/>
    <cellStyle name="Плохой 87" xfId="60352" xr:uid="{00000000-0005-0000-0000-000060EC0000}"/>
    <cellStyle name="Плохой 88" xfId="60353" xr:uid="{00000000-0005-0000-0000-000061EC0000}"/>
    <cellStyle name="Плохой 89" xfId="60354" xr:uid="{00000000-0005-0000-0000-000062EC0000}"/>
    <cellStyle name="Плохой 9" xfId="60355" xr:uid="{00000000-0005-0000-0000-000063EC0000}"/>
    <cellStyle name="Плохой 90" xfId="60356" xr:uid="{00000000-0005-0000-0000-000064EC0000}"/>
    <cellStyle name="Плохой 91" xfId="60357" xr:uid="{00000000-0005-0000-0000-000065EC0000}"/>
    <cellStyle name="Плохой 92" xfId="60358" xr:uid="{00000000-0005-0000-0000-000066EC0000}"/>
    <cellStyle name="Плохой 93" xfId="60359" xr:uid="{00000000-0005-0000-0000-000067EC0000}"/>
    <cellStyle name="Плохой 94" xfId="60360" xr:uid="{00000000-0005-0000-0000-000068EC0000}"/>
    <cellStyle name="Плохой 95" xfId="60361" xr:uid="{00000000-0005-0000-0000-000069EC0000}"/>
    <cellStyle name="Плохой 96" xfId="60362" xr:uid="{00000000-0005-0000-0000-00006AEC0000}"/>
    <cellStyle name="Плохой 97" xfId="60363" xr:uid="{00000000-0005-0000-0000-00006BEC0000}"/>
    <cellStyle name="Плохой 98" xfId="60364" xr:uid="{00000000-0005-0000-0000-00006CEC0000}"/>
    <cellStyle name="Плохой 99" xfId="60365" xr:uid="{00000000-0005-0000-0000-00006DEC0000}"/>
    <cellStyle name="Пояснение 10" xfId="60366" xr:uid="{00000000-0005-0000-0000-00006EEC0000}"/>
    <cellStyle name="Пояснение 100" xfId="60367" xr:uid="{00000000-0005-0000-0000-00006FEC0000}"/>
    <cellStyle name="Пояснение 101" xfId="60368" xr:uid="{00000000-0005-0000-0000-000070EC0000}"/>
    <cellStyle name="Пояснение 102" xfId="60369" xr:uid="{00000000-0005-0000-0000-000071EC0000}"/>
    <cellStyle name="Пояснение 103" xfId="60370" xr:uid="{00000000-0005-0000-0000-000072EC0000}"/>
    <cellStyle name="Пояснение 104" xfId="60371" xr:uid="{00000000-0005-0000-0000-000073EC0000}"/>
    <cellStyle name="Пояснение 105" xfId="60372" xr:uid="{00000000-0005-0000-0000-000074EC0000}"/>
    <cellStyle name="Пояснение 106" xfId="60373" xr:uid="{00000000-0005-0000-0000-000075EC0000}"/>
    <cellStyle name="Пояснение 107" xfId="60374" xr:uid="{00000000-0005-0000-0000-000076EC0000}"/>
    <cellStyle name="Пояснение 108" xfId="60375" xr:uid="{00000000-0005-0000-0000-000077EC0000}"/>
    <cellStyle name="Пояснение 109" xfId="60376" xr:uid="{00000000-0005-0000-0000-000078EC0000}"/>
    <cellStyle name="Пояснение 11" xfId="60377" xr:uid="{00000000-0005-0000-0000-000079EC0000}"/>
    <cellStyle name="Пояснение 110" xfId="60378" xr:uid="{00000000-0005-0000-0000-00007AEC0000}"/>
    <cellStyle name="Пояснение 111" xfId="60379" xr:uid="{00000000-0005-0000-0000-00007BEC0000}"/>
    <cellStyle name="Пояснение 112" xfId="60380" xr:uid="{00000000-0005-0000-0000-00007CEC0000}"/>
    <cellStyle name="Пояснение 113" xfId="60381" xr:uid="{00000000-0005-0000-0000-00007DEC0000}"/>
    <cellStyle name="Пояснение 114" xfId="60382" xr:uid="{00000000-0005-0000-0000-00007EEC0000}"/>
    <cellStyle name="Пояснение 115" xfId="60383" xr:uid="{00000000-0005-0000-0000-00007FEC0000}"/>
    <cellStyle name="Пояснение 116" xfId="60384" xr:uid="{00000000-0005-0000-0000-000080EC0000}"/>
    <cellStyle name="Пояснение 117" xfId="60385" xr:uid="{00000000-0005-0000-0000-000081EC0000}"/>
    <cellStyle name="Пояснение 118" xfId="60386" xr:uid="{00000000-0005-0000-0000-000082EC0000}"/>
    <cellStyle name="Пояснение 119" xfId="60387" xr:uid="{00000000-0005-0000-0000-000083EC0000}"/>
    <cellStyle name="Пояснение 12" xfId="60388" xr:uid="{00000000-0005-0000-0000-000084EC0000}"/>
    <cellStyle name="Пояснение 120" xfId="60389" xr:uid="{00000000-0005-0000-0000-000085EC0000}"/>
    <cellStyle name="Пояснение 121" xfId="60390" xr:uid="{00000000-0005-0000-0000-000086EC0000}"/>
    <cellStyle name="Пояснение 122" xfId="60391" xr:uid="{00000000-0005-0000-0000-000087EC0000}"/>
    <cellStyle name="Пояснение 123" xfId="60392" xr:uid="{00000000-0005-0000-0000-000088EC0000}"/>
    <cellStyle name="Пояснение 124" xfId="60393" xr:uid="{00000000-0005-0000-0000-000089EC0000}"/>
    <cellStyle name="Пояснение 125" xfId="60394" xr:uid="{00000000-0005-0000-0000-00008AEC0000}"/>
    <cellStyle name="Пояснение 126" xfId="60395" xr:uid="{00000000-0005-0000-0000-00008BEC0000}"/>
    <cellStyle name="Пояснение 127" xfId="60396" xr:uid="{00000000-0005-0000-0000-00008CEC0000}"/>
    <cellStyle name="Пояснение 128" xfId="60397" xr:uid="{00000000-0005-0000-0000-00008DEC0000}"/>
    <cellStyle name="Пояснение 129" xfId="60398" xr:uid="{00000000-0005-0000-0000-00008EEC0000}"/>
    <cellStyle name="Пояснение 13" xfId="60399" xr:uid="{00000000-0005-0000-0000-00008FEC0000}"/>
    <cellStyle name="Пояснение 130" xfId="60400" xr:uid="{00000000-0005-0000-0000-000090EC0000}"/>
    <cellStyle name="Пояснение 131" xfId="60401" xr:uid="{00000000-0005-0000-0000-000091EC0000}"/>
    <cellStyle name="Пояснение 132" xfId="60402" xr:uid="{00000000-0005-0000-0000-000092EC0000}"/>
    <cellStyle name="Пояснение 133" xfId="60403" xr:uid="{00000000-0005-0000-0000-000093EC0000}"/>
    <cellStyle name="Пояснение 134" xfId="60404" xr:uid="{00000000-0005-0000-0000-000094EC0000}"/>
    <cellStyle name="Пояснение 135" xfId="60405" xr:uid="{00000000-0005-0000-0000-000095EC0000}"/>
    <cellStyle name="Пояснение 136" xfId="60406" xr:uid="{00000000-0005-0000-0000-000096EC0000}"/>
    <cellStyle name="Пояснение 137" xfId="60407" xr:uid="{00000000-0005-0000-0000-000097EC0000}"/>
    <cellStyle name="Пояснение 138" xfId="60408" xr:uid="{00000000-0005-0000-0000-000098EC0000}"/>
    <cellStyle name="Пояснение 139" xfId="60409" xr:uid="{00000000-0005-0000-0000-000099EC0000}"/>
    <cellStyle name="Пояснение 14" xfId="60410" xr:uid="{00000000-0005-0000-0000-00009AEC0000}"/>
    <cellStyle name="Пояснение 140" xfId="60411" xr:uid="{00000000-0005-0000-0000-00009BEC0000}"/>
    <cellStyle name="Пояснение 141" xfId="60412" xr:uid="{00000000-0005-0000-0000-00009CEC0000}"/>
    <cellStyle name="Пояснение 142" xfId="60413" xr:uid="{00000000-0005-0000-0000-00009DEC0000}"/>
    <cellStyle name="Пояснение 143" xfId="60414" xr:uid="{00000000-0005-0000-0000-00009EEC0000}"/>
    <cellStyle name="Пояснение 144" xfId="60415" xr:uid="{00000000-0005-0000-0000-00009FEC0000}"/>
    <cellStyle name="Пояснение 145" xfId="60416" xr:uid="{00000000-0005-0000-0000-0000A0EC0000}"/>
    <cellStyle name="Пояснение 146" xfId="60417" xr:uid="{00000000-0005-0000-0000-0000A1EC0000}"/>
    <cellStyle name="Пояснение 147" xfId="60418" xr:uid="{00000000-0005-0000-0000-0000A2EC0000}"/>
    <cellStyle name="Пояснение 148" xfId="60419" xr:uid="{00000000-0005-0000-0000-0000A3EC0000}"/>
    <cellStyle name="Пояснение 149" xfId="60420" xr:uid="{00000000-0005-0000-0000-0000A4EC0000}"/>
    <cellStyle name="Пояснение 15" xfId="60421" xr:uid="{00000000-0005-0000-0000-0000A5EC0000}"/>
    <cellStyle name="Пояснение 150" xfId="60422" xr:uid="{00000000-0005-0000-0000-0000A6EC0000}"/>
    <cellStyle name="Пояснение 151" xfId="60423" xr:uid="{00000000-0005-0000-0000-0000A7EC0000}"/>
    <cellStyle name="Пояснение 152" xfId="60424" xr:uid="{00000000-0005-0000-0000-0000A8EC0000}"/>
    <cellStyle name="Пояснение 153" xfId="60425" xr:uid="{00000000-0005-0000-0000-0000A9EC0000}"/>
    <cellStyle name="Пояснение 16" xfId="60426" xr:uid="{00000000-0005-0000-0000-0000AAEC0000}"/>
    <cellStyle name="Пояснение 17" xfId="60427" xr:uid="{00000000-0005-0000-0000-0000ABEC0000}"/>
    <cellStyle name="Пояснение 18" xfId="60428" xr:uid="{00000000-0005-0000-0000-0000ACEC0000}"/>
    <cellStyle name="Пояснение 19" xfId="60429" xr:uid="{00000000-0005-0000-0000-0000ADEC0000}"/>
    <cellStyle name="Пояснение 2" xfId="60430" xr:uid="{00000000-0005-0000-0000-0000AEEC0000}"/>
    <cellStyle name="Пояснение 2 2" xfId="60431" xr:uid="{00000000-0005-0000-0000-0000AFEC0000}"/>
    <cellStyle name="Пояснение 2 2 10" xfId="60432" xr:uid="{00000000-0005-0000-0000-0000B0EC0000}"/>
    <cellStyle name="Пояснение 2 2 11" xfId="60433" xr:uid="{00000000-0005-0000-0000-0000B1EC0000}"/>
    <cellStyle name="Пояснение 2 2 12" xfId="60434" xr:uid="{00000000-0005-0000-0000-0000B2EC0000}"/>
    <cellStyle name="Пояснение 2 2 13" xfId="60435" xr:uid="{00000000-0005-0000-0000-0000B3EC0000}"/>
    <cellStyle name="Пояснение 2 2 2" xfId="60436" xr:uid="{00000000-0005-0000-0000-0000B4EC0000}"/>
    <cellStyle name="Пояснение 2 2 3" xfId="60437" xr:uid="{00000000-0005-0000-0000-0000B5EC0000}"/>
    <cellStyle name="Пояснение 2 2 4" xfId="60438" xr:uid="{00000000-0005-0000-0000-0000B6EC0000}"/>
    <cellStyle name="Пояснение 2 2 5" xfId="60439" xr:uid="{00000000-0005-0000-0000-0000B7EC0000}"/>
    <cellStyle name="Пояснение 2 2 6" xfId="60440" xr:uid="{00000000-0005-0000-0000-0000B8EC0000}"/>
    <cellStyle name="Пояснение 2 2 7" xfId="60441" xr:uid="{00000000-0005-0000-0000-0000B9EC0000}"/>
    <cellStyle name="Пояснение 2 2 8" xfId="60442" xr:uid="{00000000-0005-0000-0000-0000BAEC0000}"/>
    <cellStyle name="Пояснение 2 2 9" xfId="60443" xr:uid="{00000000-0005-0000-0000-0000BBEC0000}"/>
    <cellStyle name="Пояснение 2 3" xfId="60444" xr:uid="{00000000-0005-0000-0000-0000BCEC0000}"/>
    <cellStyle name="Пояснение 20" xfId="60445" xr:uid="{00000000-0005-0000-0000-0000BDEC0000}"/>
    <cellStyle name="Пояснение 21" xfId="60446" xr:uid="{00000000-0005-0000-0000-0000BEEC0000}"/>
    <cellStyle name="Пояснение 22" xfId="60447" xr:uid="{00000000-0005-0000-0000-0000BFEC0000}"/>
    <cellStyle name="Пояснение 23" xfId="60448" xr:uid="{00000000-0005-0000-0000-0000C0EC0000}"/>
    <cellStyle name="Пояснение 24" xfId="60449" xr:uid="{00000000-0005-0000-0000-0000C1EC0000}"/>
    <cellStyle name="Пояснение 25" xfId="60450" xr:uid="{00000000-0005-0000-0000-0000C2EC0000}"/>
    <cellStyle name="Пояснение 26" xfId="60451" xr:uid="{00000000-0005-0000-0000-0000C3EC0000}"/>
    <cellStyle name="Пояснение 27" xfId="60452" xr:uid="{00000000-0005-0000-0000-0000C4EC0000}"/>
    <cellStyle name="Пояснение 28" xfId="60453" xr:uid="{00000000-0005-0000-0000-0000C5EC0000}"/>
    <cellStyle name="Пояснение 29" xfId="60454" xr:uid="{00000000-0005-0000-0000-0000C6EC0000}"/>
    <cellStyle name="Пояснение 3" xfId="60455" xr:uid="{00000000-0005-0000-0000-0000C7EC0000}"/>
    <cellStyle name="Пояснение 30" xfId="60456" xr:uid="{00000000-0005-0000-0000-0000C8EC0000}"/>
    <cellStyle name="Пояснение 31" xfId="60457" xr:uid="{00000000-0005-0000-0000-0000C9EC0000}"/>
    <cellStyle name="Пояснение 32" xfId="60458" xr:uid="{00000000-0005-0000-0000-0000CAEC0000}"/>
    <cellStyle name="Пояснение 33" xfId="60459" xr:uid="{00000000-0005-0000-0000-0000CBEC0000}"/>
    <cellStyle name="Пояснение 34" xfId="60460" xr:uid="{00000000-0005-0000-0000-0000CCEC0000}"/>
    <cellStyle name="Пояснение 35" xfId="60461" xr:uid="{00000000-0005-0000-0000-0000CDEC0000}"/>
    <cellStyle name="Пояснение 36" xfId="60462" xr:uid="{00000000-0005-0000-0000-0000CEEC0000}"/>
    <cellStyle name="Пояснение 37" xfId="60463" xr:uid="{00000000-0005-0000-0000-0000CFEC0000}"/>
    <cellStyle name="Пояснение 38" xfId="60464" xr:uid="{00000000-0005-0000-0000-0000D0EC0000}"/>
    <cellStyle name="Пояснение 39" xfId="60465" xr:uid="{00000000-0005-0000-0000-0000D1EC0000}"/>
    <cellStyle name="Пояснение 4" xfId="60466" xr:uid="{00000000-0005-0000-0000-0000D2EC0000}"/>
    <cellStyle name="Пояснение 40" xfId="60467" xr:uid="{00000000-0005-0000-0000-0000D3EC0000}"/>
    <cellStyle name="Пояснение 41" xfId="60468" xr:uid="{00000000-0005-0000-0000-0000D4EC0000}"/>
    <cellStyle name="Пояснение 42" xfId="60469" xr:uid="{00000000-0005-0000-0000-0000D5EC0000}"/>
    <cellStyle name="Пояснение 43" xfId="60470" xr:uid="{00000000-0005-0000-0000-0000D6EC0000}"/>
    <cellStyle name="Пояснение 44" xfId="60471" xr:uid="{00000000-0005-0000-0000-0000D7EC0000}"/>
    <cellStyle name="Пояснение 45" xfId="60472" xr:uid="{00000000-0005-0000-0000-0000D8EC0000}"/>
    <cellStyle name="Пояснение 46" xfId="60473" xr:uid="{00000000-0005-0000-0000-0000D9EC0000}"/>
    <cellStyle name="Пояснение 47" xfId="60474" xr:uid="{00000000-0005-0000-0000-0000DAEC0000}"/>
    <cellStyle name="Пояснение 48" xfId="60475" xr:uid="{00000000-0005-0000-0000-0000DBEC0000}"/>
    <cellStyle name="Пояснение 49" xfId="60476" xr:uid="{00000000-0005-0000-0000-0000DCEC0000}"/>
    <cellStyle name="Пояснение 5" xfId="60477" xr:uid="{00000000-0005-0000-0000-0000DDEC0000}"/>
    <cellStyle name="Пояснение 50" xfId="60478" xr:uid="{00000000-0005-0000-0000-0000DEEC0000}"/>
    <cellStyle name="Пояснение 51" xfId="60479" xr:uid="{00000000-0005-0000-0000-0000DFEC0000}"/>
    <cellStyle name="Пояснение 52" xfId="60480" xr:uid="{00000000-0005-0000-0000-0000E0EC0000}"/>
    <cellStyle name="Пояснение 53" xfId="60481" xr:uid="{00000000-0005-0000-0000-0000E1EC0000}"/>
    <cellStyle name="Пояснение 54" xfId="60482" xr:uid="{00000000-0005-0000-0000-0000E2EC0000}"/>
    <cellStyle name="Пояснение 55" xfId="60483" xr:uid="{00000000-0005-0000-0000-0000E3EC0000}"/>
    <cellStyle name="Пояснение 56" xfId="60484" xr:uid="{00000000-0005-0000-0000-0000E4EC0000}"/>
    <cellStyle name="Пояснение 57" xfId="60485" xr:uid="{00000000-0005-0000-0000-0000E5EC0000}"/>
    <cellStyle name="Пояснение 58" xfId="60486" xr:uid="{00000000-0005-0000-0000-0000E6EC0000}"/>
    <cellStyle name="Пояснение 59" xfId="60487" xr:uid="{00000000-0005-0000-0000-0000E7EC0000}"/>
    <cellStyle name="Пояснение 6" xfId="60488" xr:uid="{00000000-0005-0000-0000-0000E8EC0000}"/>
    <cellStyle name="Пояснение 60" xfId="60489" xr:uid="{00000000-0005-0000-0000-0000E9EC0000}"/>
    <cellStyle name="Пояснение 61" xfId="60490" xr:uid="{00000000-0005-0000-0000-0000EAEC0000}"/>
    <cellStyle name="Пояснение 62" xfId="60491" xr:uid="{00000000-0005-0000-0000-0000EBEC0000}"/>
    <cellStyle name="Пояснение 63" xfId="60492" xr:uid="{00000000-0005-0000-0000-0000ECEC0000}"/>
    <cellStyle name="Пояснение 64" xfId="60493" xr:uid="{00000000-0005-0000-0000-0000EDEC0000}"/>
    <cellStyle name="Пояснение 65" xfId="60494" xr:uid="{00000000-0005-0000-0000-0000EEEC0000}"/>
    <cellStyle name="Пояснение 66" xfId="60495" xr:uid="{00000000-0005-0000-0000-0000EFEC0000}"/>
    <cellStyle name="Пояснение 67" xfId="60496" xr:uid="{00000000-0005-0000-0000-0000F0EC0000}"/>
    <cellStyle name="Пояснение 68" xfId="60497" xr:uid="{00000000-0005-0000-0000-0000F1EC0000}"/>
    <cellStyle name="Пояснение 69" xfId="60498" xr:uid="{00000000-0005-0000-0000-0000F2EC0000}"/>
    <cellStyle name="Пояснение 7" xfId="60499" xr:uid="{00000000-0005-0000-0000-0000F3EC0000}"/>
    <cellStyle name="Пояснение 70" xfId="60500" xr:uid="{00000000-0005-0000-0000-0000F4EC0000}"/>
    <cellStyle name="Пояснение 71" xfId="60501" xr:uid="{00000000-0005-0000-0000-0000F5EC0000}"/>
    <cellStyle name="Пояснение 72" xfId="60502" xr:uid="{00000000-0005-0000-0000-0000F6EC0000}"/>
    <cellStyle name="Пояснение 73" xfId="60503" xr:uid="{00000000-0005-0000-0000-0000F7EC0000}"/>
    <cellStyle name="Пояснение 74" xfId="60504" xr:uid="{00000000-0005-0000-0000-0000F8EC0000}"/>
    <cellStyle name="Пояснение 75" xfId="60505" xr:uid="{00000000-0005-0000-0000-0000F9EC0000}"/>
    <cellStyle name="Пояснение 76" xfId="60506" xr:uid="{00000000-0005-0000-0000-0000FAEC0000}"/>
    <cellStyle name="Пояснение 77" xfId="60507" xr:uid="{00000000-0005-0000-0000-0000FBEC0000}"/>
    <cellStyle name="Пояснение 78" xfId="60508" xr:uid="{00000000-0005-0000-0000-0000FCEC0000}"/>
    <cellStyle name="Пояснение 79" xfId="60509" xr:uid="{00000000-0005-0000-0000-0000FDEC0000}"/>
    <cellStyle name="Пояснение 8" xfId="60510" xr:uid="{00000000-0005-0000-0000-0000FEEC0000}"/>
    <cellStyle name="Пояснение 80" xfId="60511" xr:uid="{00000000-0005-0000-0000-0000FFEC0000}"/>
    <cellStyle name="Пояснение 81" xfId="60512" xr:uid="{00000000-0005-0000-0000-000000ED0000}"/>
    <cellStyle name="Пояснение 82" xfId="60513" xr:uid="{00000000-0005-0000-0000-000001ED0000}"/>
    <cellStyle name="Пояснение 83" xfId="60514" xr:uid="{00000000-0005-0000-0000-000002ED0000}"/>
    <cellStyle name="Пояснение 84" xfId="60515" xr:uid="{00000000-0005-0000-0000-000003ED0000}"/>
    <cellStyle name="Пояснение 85" xfId="60516" xr:uid="{00000000-0005-0000-0000-000004ED0000}"/>
    <cellStyle name="Пояснение 86" xfId="60517" xr:uid="{00000000-0005-0000-0000-000005ED0000}"/>
    <cellStyle name="Пояснение 87" xfId="60518" xr:uid="{00000000-0005-0000-0000-000006ED0000}"/>
    <cellStyle name="Пояснение 88" xfId="60519" xr:uid="{00000000-0005-0000-0000-000007ED0000}"/>
    <cellStyle name="Пояснение 89" xfId="60520" xr:uid="{00000000-0005-0000-0000-000008ED0000}"/>
    <cellStyle name="Пояснение 9" xfId="60521" xr:uid="{00000000-0005-0000-0000-000009ED0000}"/>
    <cellStyle name="Пояснение 90" xfId="60522" xr:uid="{00000000-0005-0000-0000-00000AED0000}"/>
    <cellStyle name="Пояснение 91" xfId="60523" xr:uid="{00000000-0005-0000-0000-00000BED0000}"/>
    <cellStyle name="Пояснение 92" xfId="60524" xr:uid="{00000000-0005-0000-0000-00000CED0000}"/>
    <cellStyle name="Пояснение 93" xfId="60525" xr:uid="{00000000-0005-0000-0000-00000DED0000}"/>
    <cellStyle name="Пояснение 94" xfId="60526" xr:uid="{00000000-0005-0000-0000-00000EED0000}"/>
    <cellStyle name="Пояснение 95" xfId="60527" xr:uid="{00000000-0005-0000-0000-00000FED0000}"/>
    <cellStyle name="Пояснение 96" xfId="60528" xr:uid="{00000000-0005-0000-0000-000010ED0000}"/>
    <cellStyle name="Пояснение 97" xfId="60529" xr:uid="{00000000-0005-0000-0000-000011ED0000}"/>
    <cellStyle name="Пояснение 98" xfId="60530" xr:uid="{00000000-0005-0000-0000-000012ED0000}"/>
    <cellStyle name="Пояснение 99" xfId="60531" xr:uid="{00000000-0005-0000-0000-000013ED0000}"/>
    <cellStyle name="Примечание 10" xfId="60532" xr:uid="{00000000-0005-0000-0000-000014ED0000}"/>
    <cellStyle name="Примечание 10 2" xfId="60533" xr:uid="{00000000-0005-0000-0000-000015ED0000}"/>
    <cellStyle name="Примечание 10 3" xfId="60534" xr:uid="{00000000-0005-0000-0000-000016ED0000}"/>
    <cellStyle name="Примечание 100" xfId="60535" xr:uid="{00000000-0005-0000-0000-000017ED0000}"/>
    <cellStyle name="Примечание 101" xfId="60536" xr:uid="{00000000-0005-0000-0000-000018ED0000}"/>
    <cellStyle name="Примечание 102" xfId="60537" xr:uid="{00000000-0005-0000-0000-000019ED0000}"/>
    <cellStyle name="Примечание 103" xfId="60538" xr:uid="{00000000-0005-0000-0000-00001AED0000}"/>
    <cellStyle name="Примечание 104" xfId="60539" xr:uid="{00000000-0005-0000-0000-00001BED0000}"/>
    <cellStyle name="Примечание 105" xfId="60540" xr:uid="{00000000-0005-0000-0000-00001CED0000}"/>
    <cellStyle name="Примечание 106" xfId="60541" xr:uid="{00000000-0005-0000-0000-00001DED0000}"/>
    <cellStyle name="Примечание 107" xfId="60542" xr:uid="{00000000-0005-0000-0000-00001EED0000}"/>
    <cellStyle name="Примечание 108" xfId="60543" xr:uid="{00000000-0005-0000-0000-00001FED0000}"/>
    <cellStyle name="Примечание 109" xfId="60544" xr:uid="{00000000-0005-0000-0000-000020ED0000}"/>
    <cellStyle name="Примечание 11" xfId="60545" xr:uid="{00000000-0005-0000-0000-000021ED0000}"/>
    <cellStyle name="Примечание 11 2" xfId="60546" xr:uid="{00000000-0005-0000-0000-000022ED0000}"/>
    <cellStyle name="Примечание 11 3" xfId="60547" xr:uid="{00000000-0005-0000-0000-000023ED0000}"/>
    <cellStyle name="Примечание 110" xfId="60548" xr:uid="{00000000-0005-0000-0000-000024ED0000}"/>
    <cellStyle name="Примечание 111" xfId="60549" xr:uid="{00000000-0005-0000-0000-000025ED0000}"/>
    <cellStyle name="Примечание 112" xfId="60550" xr:uid="{00000000-0005-0000-0000-000026ED0000}"/>
    <cellStyle name="Примечание 113" xfId="60551" xr:uid="{00000000-0005-0000-0000-000027ED0000}"/>
    <cellStyle name="Примечание 114" xfId="60552" xr:uid="{00000000-0005-0000-0000-000028ED0000}"/>
    <cellStyle name="Примечание 115" xfId="60553" xr:uid="{00000000-0005-0000-0000-000029ED0000}"/>
    <cellStyle name="Примечание 116" xfId="60554" xr:uid="{00000000-0005-0000-0000-00002AED0000}"/>
    <cellStyle name="Примечание 117" xfId="60555" xr:uid="{00000000-0005-0000-0000-00002BED0000}"/>
    <cellStyle name="Примечание 118" xfId="60556" xr:uid="{00000000-0005-0000-0000-00002CED0000}"/>
    <cellStyle name="Примечание 119" xfId="60557" xr:uid="{00000000-0005-0000-0000-00002DED0000}"/>
    <cellStyle name="Примечание 12" xfId="60558" xr:uid="{00000000-0005-0000-0000-00002EED0000}"/>
    <cellStyle name="Примечание 12 2" xfId="60559" xr:uid="{00000000-0005-0000-0000-00002FED0000}"/>
    <cellStyle name="Примечание 12 3" xfId="60560" xr:uid="{00000000-0005-0000-0000-000030ED0000}"/>
    <cellStyle name="Примечание 120" xfId="60561" xr:uid="{00000000-0005-0000-0000-000031ED0000}"/>
    <cellStyle name="Примечание 121" xfId="60562" xr:uid="{00000000-0005-0000-0000-000032ED0000}"/>
    <cellStyle name="Примечание 122" xfId="60563" xr:uid="{00000000-0005-0000-0000-000033ED0000}"/>
    <cellStyle name="Примечание 123" xfId="60564" xr:uid="{00000000-0005-0000-0000-000034ED0000}"/>
    <cellStyle name="Примечание 124" xfId="60565" xr:uid="{00000000-0005-0000-0000-000035ED0000}"/>
    <cellStyle name="Примечание 125" xfId="60566" xr:uid="{00000000-0005-0000-0000-000036ED0000}"/>
    <cellStyle name="Примечание 126" xfId="60567" xr:uid="{00000000-0005-0000-0000-000037ED0000}"/>
    <cellStyle name="Примечание 127" xfId="60568" xr:uid="{00000000-0005-0000-0000-000038ED0000}"/>
    <cellStyle name="Примечание 128" xfId="60569" xr:uid="{00000000-0005-0000-0000-000039ED0000}"/>
    <cellStyle name="Примечание 129" xfId="60570" xr:uid="{00000000-0005-0000-0000-00003AED0000}"/>
    <cellStyle name="Примечание 13" xfId="60571" xr:uid="{00000000-0005-0000-0000-00003BED0000}"/>
    <cellStyle name="Примечание 13 2" xfId="60572" xr:uid="{00000000-0005-0000-0000-00003CED0000}"/>
    <cellStyle name="Примечание 13 3" xfId="60573" xr:uid="{00000000-0005-0000-0000-00003DED0000}"/>
    <cellStyle name="Примечание 130" xfId="60574" xr:uid="{00000000-0005-0000-0000-00003EED0000}"/>
    <cellStyle name="Примечание 131" xfId="60575" xr:uid="{00000000-0005-0000-0000-00003FED0000}"/>
    <cellStyle name="Примечание 132" xfId="60576" xr:uid="{00000000-0005-0000-0000-000040ED0000}"/>
    <cellStyle name="Примечание 133" xfId="60577" xr:uid="{00000000-0005-0000-0000-000041ED0000}"/>
    <cellStyle name="Примечание 134" xfId="60578" xr:uid="{00000000-0005-0000-0000-000042ED0000}"/>
    <cellStyle name="Примечание 135" xfId="60579" xr:uid="{00000000-0005-0000-0000-000043ED0000}"/>
    <cellStyle name="Примечание 136" xfId="60580" xr:uid="{00000000-0005-0000-0000-000044ED0000}"/>
    <cellStyle name="Примечание 137" xfId="60581" xr:uid="{00000000-0005-0000-0000-000045ED0000}"/>
    <cellStyle name="Примечание 138" xfId="60582" xr:uid="{00000000-0005-0000-0000-000046ED0000}"/>
    <cellStyle name="Примечание 139" xfId="60583" xr:uid="{00000000-0005-0000-0000-000047ED0000}"/>
    <cellStyle name="Примечание 14" xfId="60584" xr:uid="{00000000-0005-0000-0000-000048ED0000}"/>
    <cellStyle name="Примечание 140" xfId="60585" xr:uid="{00000000-0005-0000-0000-000049ED0000}"/>
    <cellStyle name="Примечание 141" xfId="60586" xr:uid="{00000000-0005-0000-0000-00004AED0000}"/>
    <cellStyle name="Примечание 142" xfId="60587" xr:uid="{00000000-0005-0000-0000-00004BED0000}"/>
    <cellStyle name="Примечание 143" xfId="60588" xr:uid="{00000000-0005-0000-0000-00004CED0000}"/>
    <cellStyle name="Примечание 144" xfId="60589" xr:uid="{00000000-0005-0000-0000-00004DED0000}"/>
    <cellStyle name="Примечание 145" xfId="60590" xr:uid="{00000000-0005-0000-0000-00004EED0000}"/>
    <cellStyle name="Примечание 146" xfId="60591" xr:uid="{00000000-0005-0000-0000-00004FED0000}"/>
    <cellStyle name="Примечание 147" xfId="60592" xr:uid="{00000000-0005-0000-0000-000050ED0000}"/>
    <cellStyle name="Примечание 148" xfId="60593" xr:uid="{00000000-0005-0000-0000-000051ED0000}"/>
    <cellStyle name="Примечание 149" xfId="60594" xr:uid="{00000000-0005-0000-0000-000052ED0000}"/>
    <cellStyle name="Примечание 15" xfId="60595" xr:uid="{00000000-0005-0000-0000-000053ED0000}"/>
    <cellStyle name="Примечание 150" xfId="60596" xr:uid="{00000000-0005-0000-0000-000054ED0000}"/>
    <cellStyle name="Примечание 151" xfId="60597" xr:uid="{00000000-0005-0000-0000-000055ED0000}"/>
    <cellStyle name="Примечание 152" xfId="60598" xr:uid="{00000000-0005-0000-0000-000056ED0000}"/>
    <cellStyle name="Примечание 153" xfId="60599" xr:uid="{00000000-0005-0000-0000-000057ED0000}"/>
    <cellStyle name="Примечание 154" xfId="60600" xr:uid="{00000000-0005-0000-0000-000058ED0000}"/>
    <cellStyle name="Примечание 155" xfId="60601" xr:uid="{00000000-0005-0000-0000-000059ED0000}"/>
    <cellStyle name="Примечание 156" xfId="60602" xr:uid="{00000000-0005-0000-0000-00005AED0000}"/>
    <cellStyle name="Примечание 157" xfId="60603" xr:uid="{00000000-0005-0000-0000-00005BED0000}"/>
    <cellStyle name="Примечание 158" xfId="60604" xr:uid="{00000000-0005-0000-0000-00005CED0000}"/>
    <cellStyle name="Примечание 159" xfId="60605" xr:uid="{00000000-0005-0000-0000-00005DED0000}"/>
    <cellStyle name="Примечание 16" xfId="60606" xr:uid="{00000000-0005-0000-0000-00005EED0000}"/>
    <cellStyle name="Примечание 160" xfId="60607" xr:uid="{00000000-0005-0000-0000-00005FED0000}"/>
    <cellStyle name="Примечание 161" xfId="60608" xr:uid="{00000000-0005-0000-0000-000060ED0000}"/>
    <cellStyle name="Примечание 162" xfId="60609" xr:uid="{00000000-0005-0000-0000-000061ED0000}"/>
    <cellStyle name="Примечание 163" xfId="60610" xr:uid="{00000000-0005-0000-0000-000062ED0000}"/>
    <cellStyle name="Примечание 164" xfId="60611" xr:uid="{00000000-0005-0000-0000-000063ED0000}"/>
    <cellStyle name="Примечание 17" xfId="60612" xr:uid="{00000000-0005-0000-0000-000064ED0000}"/>
    <cellStyle name="Примечание 18" xfId="60613" xr:uid="{00000000-0005-0000-0000-000065ED0000}"/>
    <cellStyle name="Примечание 19" xfId="60614" xr:uid="{00000000-0005-0000-0000-000066ED0000}"/>
    <cellStyle name="Примечание 2" xfId="60615" xr:uid="{00000000-0005-0000-0000-000067ED0000}"/>
    <cellStyle name="Примечание 2 2" xfId="60616" xr:uid="{00000000-0005-0000-0000-000068ED0000}"/>
    <cellStyle name="Примечание 2 3" xfId="60617" xr:uid="{00000000-0005-0000-0000-000069ED0000}"/>
    <cellStyle name="Примечание 2 4" xfId="60618" xr:uid="{00000000-0005-0000-0000-00006AED0000}"/>
    <cellStyle name="Примечание 20" xfId="60619" xr:uid="{00000000-0005-0000-0000-00006BED0000}"/>
    <cellStyle name="Примечание 21" xfId="60620" xr:uid="{00000000-0005-0000-0000-00006CED0000}"/>
    <cellStyle name="Примечание 22" xfId="60621" xr:uid="{00000000-0005-0000-0000-00006DED0000}"/>
    <cellStyle name="Примечание 23" xfId="60622" xr:uid="{00000000-0005-0000-0000-00006EED0000}"/>
    <cellStyle name="Примечание 24" xfId="60623" xr:uid="{00000000-0005-0000-0000-00006FED0000}"/>
    <cellStyle name="Примечание 25" xfId="60624" xr:uid="{00000000-0005-0000-0000-000070ED0000}"/>
    <cellStyle name="Примечание 26" xfId="60625" xr:uid="{00000000-0005-0000-0000-000071ED0000}"/>
    <cellStyle name="Примечание 27" xfId="60626" xr:uid="{00000000-0005-0000-0000-000072ED0000}"/>
    <cellStyle name="Примечание 28" xfId="60627" xr:uid="{00000000-0005-0000-0000-000073ED0000}"/>
    <cellStyle name="Примечание 29" xfId="60628" xr:uid="{00000000-0005-0000-0000-000074ED0000}"/>
    <cellStyle name="Примечание 3" xfId="60629" xr:uid="{00000000-0005-0000-0000-000075ED0000}"/>
    <cellStyle name="Примечание 3 2" xfId="60630" xr:uid="{00000000-0005-0000-0000-000076ED0000}"/>
    <cellStyle name="Примечание 3 3" xfId="60631" xr:uid="{00000000-0005-0000-0000-000077ED0000}"/>
    <cellStyle name="Примечание 30" xfId="60632" xr:uid="{00000000-0005-0000-0000-000078ED0000}"/>
    <cellStyle name="Примечание 31" xfId="60633" xr:uid="{00000000-0005-0000-0000-000079ED0000}"/>
    <cellStyle name="Примечание 32" xfId="60634" xr:uid="{00000000-0005-0000-0000-00007AED0000}"/>
    <cellStyle name="Примечание 33" xfId="60635" xr:uid="{00000000-0005-0000-0000-00007BED0000}"/>
    <cellStyle name="Примечание 34" xfId="60636" xr:uid="{00000000-0005-0000-0000-00007CED0000}"/>
    <cellStyle name="Примечание 35" xfId="60637" xr:uid="{00000000-0005-0000-0000-00007DED0000}"/>
    <cellStyle name="Примечание 36" xfId="60638" xr:uid="{00000000-0005-0000-0000-00007EED0000}"/>
    <cellStyle name="Примечание 37" xfId="60639" xr:uid="{00000000-0005-0000-0000-00007FED0000}"/>
    <cellStyle name="Примечание 38" xfId="60640" xr:uid="{00000000-0005-0000-0000-000080ED0000}"/>
    <cellStyle name="Примечание 39" xfId="60641" xr:uid="{00000000-0005-0000-0000-000081ED0000}"/>
    <cellStyle name="Примечание 4" xfId="60642" xr:uid="{00000000-0005-0000-0000-000082ED0000}"/>
    <cellStyle name="Примечание 4 2" xfId="60643" xr:uid="{00000000-0005-0000-0000-000083ED0000}"/>
    <cellStyle name="Примечание 4 3" xfId="60644" xr:uid="{00000000-0005-0000-0000-000084ED0000}"/>
    <cellStyle name="Примечание 40" xfId="60645" xr:uid="{00000000-0005-0000-0000-000085ED0000}"/>
    <cellStyle name="Примечание 41" xfId="60646" xr:uid="{00000000-0005-0000-0000-000086ED0000}"/>
    <cellStyle name="Примечание 42" xfId="60647" xr:uid="{00000000-0005-0000-0000-000087ED0000}"/>
    <cellStyle name="Примечание 43" xfId="60648" xr:uid="{00000000-0005-0000-0000-000088ED0000}"/>
    <cellStyle name="Примечание 44" xfId="60649" xr:uid="{00000000-0005-0000-0000-000089ED0000}"/>
    <cellStyle name="Примечание 45" xfId="60650" xr:uid="{00000000-0005-0000-0000-00008AED0000}"/>
    <cellStyle name="Примечание 46" xfId="60651" xr:uid="{00000000-0005-0000-0000-00008BED0000}"/>
    <cellStyle name="Примечание 47" xfId="60652" xr:uid="{00000000-0005-0000-0000-00008CED0000}"/>
    <cellStyle name="Примечание 48" xfId="60653" xr:uid="{00000000-0005-0000-0000-00008DED0000}"/>
    <cellStyle name="Примечание 49" xfId="60654" xr:uid="{00000000-0005-0000-0000-00008EED0000}"/>
    <cellStyle name="Примечание 5" xfId="60655" xr:uid="{00000000-0005-0000-0000-00008FED0000}"/>
    <cellStyle name="Примечание 5 2" xfId="60656" xr:uid="{00000000-0005-0000-0000-000090ED0000}"/>
    <cellStyle name="Примечание 5 3" xfId="60657" xr:uid="{00000000-0005-0000-0000-000091ED0000}"/>
    <cellStyle name="Примечание 50" xfId="60658" xr:uid="{00000000-0005-0000-0000-000092ED0000}"/>
    <cellStyle name="Примечание 51" xfId="60659" xr:uid="{00000000-0005-0000-0000-000093ED0000}"/>
    <cellStyle name="Примечание 52" xfId="60660" xr:uid="{00000000-0005-0000-0000-000094ED0000}"/>
    <cellStyle name="Примечание 53" xfId="60661" xr:uid="{00000000-0005-0000-0000-000095ED0000}"/>
    <cellStyle name="Примечание 54" xfId="60662" xr:uid="{00000000-0005-0000-0000-000096ED0000}"/>
    <cellStyle name="Примечание 55" xfId="60663" xr:uid="{00000000-0005-0000-0000-000097ED0000}"/>
    <cellStyle name="Примечание 56" xfId="60664" xr:uid="{00000000-0005-0000-0000-000098ED0000}"/>
    <cellStyle name="Примечание 57" xfId="60665" xr:uid="{00000000-0005-0000-0000-000099ED0000}"/>
    <cellStyle name="Примечание 58" xfId="60666" xr:uid="{00000000-0005-0000-0000-00009AED0000}"/>
    <cellStyle name="Примечание 59" xfId="60667" xr:uid="{00000000-0005-0000-0000-00009BED0000}"/>
    <cellStyle name="Примечание 6" xfId="60668" xr:uid="{00000000-0005-0000-0000-00009CED0000}"/>
    <cellStyle name="Примечание 6 2" xfId="60669" xr:uid="{00000000-0005-0000-0000-00009DED0000}"/>
    <cellStyle name="Примечание 6 3" xfId="60670" xr:uid="{00000000-0005-0000-0000-00009EED0000}"/>
    <cellStyle name="Примечание 60" xfId="60671" xr:uid="{00000000-0005-0000-0000-00009FED0000}"/>
    <cellStyle name="Примечание 61" xfId="60672" xr:uid="{00000000-0005-0000-0000-0000A0ED0000}"/>
    <cellStyle name="Примечание 62" xfId="60673" xr:uid="{00000000-0005-0000-0000-0000A1ED0000}"/>
    <cellStyle name="Примечание 63" xfId="60674" xr:uid="{00000000-0005-0000-0000-0000A2ED0000}"/>
    <cellStyle name="Примечание 64" xfId="60675" xr:uid="{00000000-0005-0000-0000-0000A3ED0000}"/>
    <cellStyle name="Примечание 65" xfId="60676" xr:uid="{00000000-0005-0000-0000-0000A4ED0000}"/>
    <cellStyle name="Примечание 66" xfId="60677" xr:uid="{00000000-0005-0000-0000-0000A5ED0000}"/>
    <cellStyle name="Примечание 67" xfId="60678" xr:uid="{00000000-0005-0000-0000-0000A6ED0000}"/>
    <cellStyle name="Примечание 68" xfId="60679" xr:uid="{00000000-0005-0000-0000-0000A7ED0000}"/>
    <cellStyle name="Примечание 69" xfId="60680" xr:uid="{00000000-0005-0000-0000-0000A8ED0000}"/>
    <cellStyle name="Примечание 7" xfId="60681" xr:uid="{00000000-0005-0000-0000-0000A9ED0000}"/>
    <cellStyle name="Примечание 7 2" xfId="60682" xr:uid="{00000000-0005-0000-0000-0000AAED0000}"/>
    <cellStyle name="Примечание 7 3" xfId="60683" xr:uid="{00000000-0005-0000-0000-0000ABED0000}"/>
    <cellStyle name="Примечание 70" xfId="60684" xr:uid="{00000000-0005-0000-0000-0000ACED0000}"/>
    <cellStyle name="Примечание 71" xfId="60685" xr:uid="{00000000-0005-0000-0000-0000ADED0000}"/>
    <cellStyle name="Примечание 72" xfId="60686" xr:uid="{00000000-0005-0000-0000-0000AEED0000}"/>
    <cellStyle name="Примечание 73" xfId="60687" xr:uid="{00000000-0005-0000-0000-0000AFED0000}"/>
    <cellStyle name="Примечание 74" xfId="60688" xr:uid="{00000000-0005-0000-0000-0000B0ED0000}"/>
    <cellStyle name="Примечание 75" xfId="60689" xr:uid="{00000000-0005-0000-0000-0000B1ED0000}"/>
    <cellStyle name="Примечание 76" xfId="60690" xr:uid="{00000000-0005-0000-0000-0000B2ED0000}"/>
    <cellStyle name="Примечание 77" xfId="60691" xr:uid="{00000000-0005-0000-0000-0000B3ED0000}"/>
    <cellStyle name="Примечание 78" xfId="60692" xr:uid="{00000000-0005-0000-0000-0000B4ED0000}"/>
    <cellStyle name="Примечание 79" xfId="60693" xr:uid="{00000000-0005-0000-0000-0000B5ED0000}"/>
    <cellStyle name="Примечание 8" xfId="60694" xr:uid="{00000000-0005-0000-0000-0000B6ED0000}"/>
    <cellStyle name="Примечание 8 2" xfId="60695" xr:uid="{00000000-0005-0000-0000-0000B7ED0000}"/>
    <cellStyle name="Примечание 8 3" xfId="60696" xr:uid="{00000000-0005-0000-0000-0000B8ED0000}"/>
    <cellStyle name="Примечание 80" xfId="60697" xr:uid="{00000000-0005-0000-0000-0000B9ED0000}"/>
    <cellStyle name="Примечание 81" xfId="60698" xr:uid="{00000000-0005-0000-0000-0000BAED0000}"/>
    <cellStyle name="Примечание 82" xfId="60699" xr:uid="{00000000-0005-0000-0000-0000BBED0000}"/>
    <cellStyle name="Примечание 83" xfId="60700" xr:uid="{00000000-0005-0000-0000-0000BCED0000}"/>
    <cellStyle name="Примечание 84" xfId="60701" xr:uid="{00000000-0005-0000-0000-0000BDED0000}"/>
    <cellStyle name="Примечание 85" xfId="60702" xr:uid="{00000000-0005-0000-0000-0000BEED0000}"/>
    <cellStyle name="Примечание 86" xfId="60703" xr:uid="{00000000-0005-0000-0000-0000BFED0000}"/>
    <cellStyle name="Примечание 87" xfId="60704" xr:uid="{00000000-0005-0000-0000-0000C0ED0000}"/>
    <cellStyle name="Примечание 88" xfId="60705" xr:uid="{00000000-0005-0000-0000-0000C1ED0000}"/>
    <cellStyle name="Примечание 89" xfId="60706" xr:uid="{00000000-0005-0000-0000-0000C2ED0000}"/>
    <cellStyle name="Примечание 9" xfId="60707" xr:uid="{00000000-0005-0000-0000-0000C3ED0000}"/>
    <cellStyle name="Примечание 9 2" xfId="60708" xr:uid="{00000000-0005-0000-0000-0000C4ED0000}"/>
    <cellStyle name="Примечание 9 3" xfId="60709" xr:uid="{00000000-0005-0000-0000-0000C5ED0000}"/>
    <cellStyle name="Примечание 90" xfId="60710" xr:uid="{00000000-0005-0000-0000-0000C6ED0000}"/>
    <cellStyle name="Примечание 91" xfId="60711" xr:uid="{00000000-0005-0000-0000-0000C7ED0000}"/>
    <cellStyle name="Примечание 92" xfId="60712" xr:uid="{00000000-0005-0000-0000-0000C8ED0000}"/>
    <cellStyle name="Примечание 93" xfId="60713" xr:uid="{00000000-0005-0000-0000-0000C9ED0000}"/>
    <cellStyle name="Примечание 94" xfId="60714" xr:uid="{00000000-0005-0000-0000-0000CAED0000}"/>
    <cellStyle name="Примечание 95" xfId="60715" xr:uid="{00000000-0005-0000-0000-0000CBED0000}"/>
    <cellStyle name="Примечание 96" xfId="60716" xr:uid="{00000000-0005-0000-0000-0000CCED0000}"/>
    <cellStyle name="Примечание 97" xfId="60717" xr:uid="{00000000-0005-0000-0000-0000CDED0000}"/>
    <cellStyle name="Примечание 98" xfId="60718" xr:uid="{00000000-0005-0000-0000-0000CEED0000}"/>
    <cellStyle name="Примечание 99" xfId="60719" xr:uid="{00000000-0005-0000-0000-0000CFED0000}"/>
    <cellStyle name="Процентный 10" xfId="60720" xr:uid="{00000000-0005-0000-0000-0000D0ED0000}"/>
    <cellStyle name="Процентный 11" xfId="60721" xr:uid="{00000000-0005-0000-0000-0000D1ED0000}"/>
    <cellStyle name="Процентный 2" xfId="60722" xr:uid="{00000000-0005-0000-0000-0000D2ED0000}"/>
    <cellStyle name="Процентный 2 2" xfId="60723" xr:uid="{00000000-0005-0000-0000-0000D3ED0000}"/>
    <cellStyle name="Процентный 3" xfId="60724" xr:uid="{00000000-0005-0000-0000-0000D4ED0000}"/>
    <cellStyle name="Процентный 4" xfId="60725" xr:uid="{00000000-0005-0000-0000-0000D5ED0000}"/>
    <cellStyle name="Процентный 4 2" xfId="60726" xr:uid="{00000000-0005-0000-0000-0000D6ED0000}"/>
    <cellStyle name="Процентный 4 2 2" xfId="60727" xr:uid="{00000000-0005-0000-0000-0000D7ED0000}"/>
    <cellStyle name="Процентный 4 2 3" xfId="60728" xr:uid="{00000000-0005-0000-0000-0000D8ED0000}"/>
    <cellStyle name="Процентный 4 3" xfId="60729" xr:uid="{00000000-0005-0000-0000-0000D9ED0000}"/>
    <cellStyle name="Процентный 4 3 2" xfId="60730" xr:uid="{00000000-0005-0000-0000-0000DAED0000}"/>
    <cellStyle name="Процентный 4 4" xfId="60731" xr:uid="{00000000-0005-0000-0000-0000DBED0000}"/>
    <cellStyle name="Процентный 4 5" xfId="60732" xr:uid="{00000000-0005-0000-0000-0000DCED0000}"/>
    <cellStyle name="Процентный 5" xfId="60733" xr:uid="{00000000-0005-0000-0000-0000DDED0000}"/>
    <cellStyle name="Процентный 6" xfId="60734" xr:uid="{00000000-0005-0000-0000-0000DEED0000}"/>
    <cellStyle name="Процентный 7" xfId="60735" xr:uid="{00000000-0005-0000-0000-0000DFED0000}"/>
    <cellStyle name="Процентный 8" xfId="60736" xr:uid="{00000000-0005-0000-0000-0000E0ED0000}"/>
    <cellStyle name="Процентный 9" xfId="60737" xr:uid="{00000000-0005-0000-0000-0000E1ED0000}"/>
    <cellStyle name="Связанная ячейка 10" xfId="60738" xr:uid="{00000000-0005-0000-0000-0000E2ED0000}"/>
    <cellStyle name="Связанная ячейка 100" xfId="60739" xr:uid="{00000000-0005-0000-0000-0000E3ED0000}"/>
    <cellStyle name="Связанная ячейка 101" xfId="60740" xr:uid="{00000000-0005-0000-0000-0000E4ED0000}"/>
    <cellStyle name="Связанная ячейка 102" xfId="60741" xr:uid="{00000000-0005-0000-0000-0000E5ED0000}"/>
    <cellStyle name="Связанная ячейка 103" xfId="60742" xr:uid="{00000000-0005-0000-0000-0000E6ED0000}"/>
    <cellStyle name="Связанная ячейка 104" xfId="60743" xr:uid="{00000000-0005-0000-0000-0000E7ED0000}"/>
    <cellStyle name="Связанная ячейка 105" xfId="60744" xr:uid="{00000000-0005-0000-0000-0000E8ED0000}"/>
    <cellStyle name="Связанная ячейка 106" xfId="60745" xr:uid="{00000000-0005-0000-0000-0000E9ED0000}"/>
    <cellStyle name="Связанная ячейка 107" xfId="60746" xr:uid="{00000000-0005-0000-0000-0000EAED0000}"/>
    <cellStyle name="Связанная ячейка 108" xfId="60747" xr:uid="{00000000-0005-0000-0000-0000EBED0000}"/>
    <cellStyle name="Связанная ячейка 109" xfId="60748" xr:uid="{00000000-0005-0000-0000-0000ECED0000}"/>
    <cellStyle name="Связанная ячейка 11" xfId="60749" xr:uid="{00000000-0005-0000-0000-0000EDED0000}"/>
    <cellStyle name="Связанная ячейка 110" xfId="60750" xr:uid="{00000000-0005-0000-0000-0000EEED0000}"/>
    <cellStyle name="Связанная ячейка 111" xfId="60751" xr:uid="{00000000-0005-0000-0000-0000EFED0000}"/>
    <cellStyle name="Связанная ячейка 112" xfId="60752" xr:uid="{00000000-0005-0000-0000-0000F0ED0000}"/>
    <cellStyle name="Связанная ячейка 113" xfId="60753" xr:uid="{00000000-0005-0000-0000-0000F1ED0000}"/>
    <cellStyle name="Связанная ячейка 114" xfId="60754" xr:uid="{00000000-0005-0000-0000-0000F2ED0000}"/>
    <cellStyle name="Связанная ячейка 115" xfId="60755" xr:uid="{00000000-0005-0000-0000-0000F3ED0000}"/>
    <cellStyle name="Связанная ячейка 116" xfId="60756" xr:uid="{00000000-0005-0000-0000-0000F4ED0000}"/>
    <cellStyle name="Связанная ячейка 117" xfId="60757" xr:uid="{00000000-0005-0000-0000-0000F5ED0000}"/>
    <cellStyle name="Связанная ячейка 118" xfId="60758" xr:uid="{00000000-0005-0000-0000-0000F6ED0000}"/>
    <cellStyle name="Связанная ячейка 119" xfId="60759" xr:uid="{00000000-0005-0000-0000-0000F7ED0000}"/>
    <cellStyle name="Связанная ячейка 12" xfId="60760" xr:uid="{00000000-0005-0000-0000-0000F8ED0000}"/>
    <cellStyle name="Связанная ячейка 120" xfId="60761" xr:uid="{00000000-0005-0000-0000-0000F9ED0000}"/>
    <cellStyle name="Связанная ячейка 121" xfId="60762" xr:uid="{00000000-0005-0000-0000-0000FAED0000}"/>
    <cellStyle name="Связанная ячейка 122" xfId="60763" xr:uid="{00000000-0005-0000-0000-0000FBED0000}"/>
    <cellStyle name="Связанная ячейка 123" xfId="60764" xr:uid="{00000000-0005-0000-0000-0000FCED0000}"/>
    <cellStyle name="Связанная ячейка 124" xfId="60765" xr:uid="{00000000-0005-0000-0000-0000FDED0000}"/>
    <cellStyle name="Связанная ячейка 125" xfId="60766" xr:uid="{00000000-0005-0000-0000-0000FEED0000}"/>
    <cellStyle name="Связанная ячейка 126" xfId="60767" xr:uid="{00000000-0005-0000-0000-0000FFED0000}"/>
    <cellStyle name="Связанная ячейка 127" xfId="60768" xr:uid="{00000000-0005-0000-0000-000000EE0000}"/>
    <cellStyle name="Связанная ячейка 128" xfId="60769" xr:uid="{00000000-0005-0000-0000-000001EE0000}"/>
    <cellStyle name="Связанная ячейка 129" xfId="60770" xr:uid="{00000000-0005-0000-0000-000002EE0000}"/>
    <cellStyle name="Связанная ячейка 13" xfId="60771" xr:uid="{00000000-0005-0000-0000-000003EE0000}"/>
    <cellStyle name="Связанная ячейка 130" xfId="60772" xr:uid="{00000000-0005-0000-0000-000004EE0000}"/>
    <cellStyle name="Связанная ячейка 131" xfId="60773" xr:uid="{00000000-0005-0000-0000-000005EE0000}"/>
    <cellStyle name="Связанная ячейка 132" xfId="60774" xr:uid="{00000000-0005-0000-0000-000006EE0000}"/>
    <cellStyle name="Связанная ячейка 133" xfId="60775" xr:uid="{00000000-0005-0000-0000-000007EE0000}"/>
    <cellStyle name="Связанная ячейка 134" xfId="60776" xr:uid="{00000000-0005-0000-0000-000008EE0000}"/>
    <cellStyle name="Связанная ячейка 135" xfId="60777" xr:uid="{00000000-0005-0000-0000-000009EE0000}"/>
    <cellStyle name="Связанная ячейка 136" xfId="60778" xr:uid="{00000000-0005-0000-0000-00000AEE0000}"/>
    <cellStyle name="Связанная ячейка 137" xfId="60779" xr:uid="{00000000-0005-0000-0000-00000BEE0000}"/>
    <cellStyle name="Связанная ячейка 138" xfId="60780" xr:uid="{00000000-0005-0000-0000-00000CEE0000}"/>
    <cellStyle name="Связанная ячейка 139" xfId="60781" xr:uid="{00000000-0005-0000-0000-00000DEE0000}"/>
    <cellStyle name="Связанная ячейка 14" xfId="60782" xr:uid="{00000000-0005-0000-0000-00000EEE0000}"/>
    <cellStyle name="Связанная ячейка 140" xfId="60783" xr:uid="{00000000-0005-0000-0000-00000FEE0000}"/>
    <cellStyle name="Связанная ячейка 141" xfId="60784" xr:uid="{00000000-0005-0000-0000-000010EE0000}"/>
    <cellStyle name="Связанная ячейка 142" xfId="60785" xr:uid="{00000000-0005-0000-0000-000011EE0000}"/>
    <cellStyle name="Связанная ячейка 143" xfId="60786" xr:uid="{00000000-0005-0000-0000-000012EE0000}"/>
    <cellStyle name="Связанная ячейка 144" xfId="60787" xr:uid="{00000000-0005-0000-0000-000013EE0000}"/>
    <cellStyle name="Связанная ячейка 145" xfId="60788" xr:uid="{00000000-0005-0000-0000-000014EE0000}"/>
    <cellStyle name="Связанная ячейка 146" xfId="60789" xr:uid="{00000000-0005-0000-0000-000015EE0000}"/>
    <cellStyle name="Связанная ячейка 147" xfId="60790" xr:uid="{00000000-0005-0000-0000-000016EE0000}"/>
    <cellStyle name="Связанная ячейка 148" xfId="60791" xr:uid="{00000000-0005-0000-0000-000017EE0000}"/>
    <cellStyle name="Связанная ячейка 149" xfId="60792" xr:uid="{00000000-0005-0000-0000-000018EE0000}"/>
    <cellStyle name="Связанная ячейка 15" xfId="60793" xr:uid="{00000000-0005-0000-0000-000019EE0000}"/>
    <cellStyle name="Связанная ячейка 150" xfId="60794" xr:uid="{00000000-0005-0000-0000-00001AEE0000}"/>
    <cellStyle name="Связанная ячейка 151" xfId="60795" xr:uid="{00000000-0005-0000-0000-00001BEE0000}"/>
    <cellStyle name="Связанная ячейка 152" xfId="60796" xr:uid="{00000000-0005-0000-0000-00001CEE0000}"/>
    <cellStyle name="Связанная ячейка 153" xfId="60797" xr:uid="{00000000-0005-0000-0000-00001DEE0000}"/>
    <cellStyle name="Связанная ячейка 16" xfId="60798" xr:uid="{00000000-0005-0000-0000-00001EEE0000}"/>
    <cellStyle name="Связанная ячейка 17" xfId="60799" xr:uid="{00000000-0005-0000-0000-00001FEE0000}"/>
    <cellStyle name="Связанная ячейка 18" xfId="60800" xr:uid="{00000000-0005-0000-0000-000020EE0000}"/>
    <cellStyle name="Связанная ячейка 19" xfId="60801" xr:uid="{00000000-0005-0000-0000-000021EE0000}"/>
    <cellStyle name="Связанная ячейка 2" xfId="60802" xr:uid="{00000000-0005-0000-0000-000022EE0000}"/>
    <cellStyle name="Связанная ячейка 2 2" xfId="60803" xr:uid="{00000000-0005-0000-0000-000023EE0000}"/>
    <cellStyle name="Связанная ячейка 2 2 10" xfId="60804" xr:uid="{00000000-0005-0000-0000-000024EE0000}"/>
    <cellStyle name="Связанная ячейка 2 2 11" xfId="60805" xr:uid="{00000000-0005-0000-0000-000025EE0000}"/>
    <cellStyle name="Связанная ячейка 2 2 12" xfId="60806" xr:uid="{00000000-0005-0000-0000-000026EE0000}"/>
    <cellStyle name="Связанная ячейка 2 2 13" xfId="60807" xr:uid="{00000000-0005-0000-0000-000027EE0000}"/>
    <cellStyle name="Связанная ячейка 2 2 2" xfId="60808" xr:uid="{00000000-0005-0000-0000-000028EE0000}"/>
    <cellStyle name="Связанная ячейка 2 2 3" xfId="60809" xr:uid="{00000000-0005-0000-0000-000029EE0000}"/>
    <cellStyle name="Связанная ячейка 2 2 4" xfId="60810" xr:uid="{00000000-0005-0000-0000-00002AEE0000}"/>
    <cellStyle name="Связанная ячейка 2 2 5" xfId="60811" xr:uid="{00000000-0005-0000-0000-00002BEE0000}"/>
    <cellStyle name="Связанная ячейка 2 2 6" xfId="60812" xr:uid="{00000000-0005-0000-0000-00002CEE0000}"/>
    <cellStyle name="Связанная ячейка 2 2 7" xfId="60813" xr:uid="{00000000-0005-0000-0000-00002DEE0000}"/>
    <cellStyle name="Связанная ячейка 2 2 8" xfId="60814" xr:uid="{00000000-0005-0000-0000-00002EEE0000}"/>
    <cellStyle name="Связанная ячейка 2 2 9" xfId="60815" xr:uid="{00000000-0005-0000-0000-00002FEE0000}"/>
    <cellStyle name="Связанная ячейка 2 3" xfId="60816" xr:uid="{00000000-0005-0000-0000-000030EE0000}"/>
    <cellStyle name="Связанная ячейка 20" xfId="60817" xr:uid="{00000000-0005-0000-0000-000031EE0000}"/>
    <cellStyle name="Связанная ячейка 21" xfId="60818" xr:uid="{00000000-0005-0000-0000-000032EE0000}"/>
    <cellStyle name="Связанная ячейка 22" xfId="60819" xr:uid="{00000000-0005-0000-0000-000033EE0000}"/>
    <cellStyle name="Связанная ячейка 23" xfId="60820" xr:uid="{00000000-0005-0000-0000-000034EE0000}"/>
    <cellStyle name="Связанная ячейка 24" xfId="60821" xr:uid="{00000000-0005-0000-0000-000035EE0000}"/>
    <cellStyle name="Связанная ячейка 25" xfId="60822" xr:uid="{00000000-0005-0000-0000-000036EE0000}"/>
    <cellStyle name="Связанная ячейка 26" xfId="60823" xr:uid="{00000000-0005-0000-0000-000037EE0000}"/>
    <cellStyle name="Связанная ячейка 27" xfId="60824" xr:uid="{00000000-0005-0000-0000-000038EE0000}"/>
    <cellStyle name="Связанная ячейка 28" xfId="60825" xr:uid="{00000000-0005-0000-0000-000039EE0000}"/>
    <cellStyle name="Связанная ячейка 29" xfId="60826" xr:uid="{00000000-0005-0000-0000-00003AEE0000}"/>
    <cellStyle name="Связанная ячейка 3" xfId="60827" xr:uid="{00000000-0005-0000-0000-00003BEE0000}"/>
    <cellStyle name="Связанная ячейка 30" xfId="60828" xr:uid="{00000000-0005-0000-0000-00003CEE0000}"/>
    <cellStyle name="Связанная ячейка 31" xfId="60829" xr:uid="{00000000-0005-0000-0000-00003DEE0000}"/>
    <cellStyle name="Связанная ячейка 32" xfId="60830" xr:uid="{00000000-0005-0000-0000-00003EEE0000}"/>
    <cellStyle name="Связанная ячейка 33" xfId="60831" xr:uid="{00000000-0005-0000-0000-00003FEE0000}"/>
    <cellStyle name="Связанная ячейка 34" xfId="60832" xr:uid="{00000000-0005-0000-0000-000040EE0000}"/>
    <cellStyle name="Связанная ячейка 35" xfId="60833" xr:uid="{00000000-0005-0000-0000-000041EE0000}"/>
    <cellStyle name="Связанная ячейка 36" xfId="60834" xr:uid="{00000000-0005-0000-0000-000042EE0000}"/>
    <cellStyle name="Связанная ячейка 37" xfId="60835" xr:uid="{00000000-0005-0000-0000-000043EE0000}"/>
    <cellStyle name="Связанная ячейка 38" xfId="60836" xr:uid="{00000000-0005-0000-0000-000044EE0000}"/>
    <cellStyle name="Связанная ячейка 39" xfId="60837" xr:uid="{00000000-0005-0000-0000-000045EE0000}"/>
    <cellStyle name="Связанная ячейка 4" xfId="60838" xr:uid="{00000000-0005-0000-0000-000046EE0000}"/>
    <cellStyle name="Связанная ячейка 40" xfId="60839" xr:uid="{00000000-0005-0000-0000-000047EE0000}"/>
    <cellStyle name="Связанная ячейка 41" xfId="60840" xr:uid="{00000000-0005-0000-0000-000048EE0000}"/>
    <cellStyle name="Связанная ячейка 42" xfId="60841" xr:uid="{00000000-0005-0000-0000-000049EE0000}"/>
    <cellStyle name="Связанная ячейка 43" xfId="60842" xr:uid="{00000000-0005-0000-0000-00004AEE0000}"/>
    <cellStyle name="Связанная ячейка 44" xfId="60843" xr:uid="{00000000-0005-0000-0000-00004BEE0000}"/>
    <cellStyle name="Связанная ячейка 45" xfId="60844" xr:uid="{00000000-0005-0000-0000-00004CEE0000}"/>
    <cellStyle name="Связанная ячейка 46" xfId="60845" xr:uid="{00000000-0005-0000-0000-00004DEE0000}"/>
    <cellStyle name="Связанная ячейка 47" xfId="60846" xr:uid="{00000000-0005-0000-0000-00004EEE0000}"/>
    <cellStyle name="Связанная ячейка 48" xfId="60847" xr:uid="{00000000-0005-0000-0000-00004FEE0000}"/>
    <cellStyle name="Связанная ячейка 49" xfId="60848" xr:uid="{00000000-0005-0000-0000-000050EE0000}"/>
    <cellStyle name="Связанная ячейка 5" xfId="60849" xr:uid="{00000000-0005-0000-0000-000051EE0000}"/>
    <cellStyle name="Связанная ячейка 50" xfId="60850" xr:uid="{00000000-0005-0000-0000-000052EE0000}"/>
    <cellStyle name="Связанная ячейка 51" xfId="60851" xr:uid="{00000000-0005-0000-0000-000053EE0000}"/>
    <cellStyle name="Связанная ячейка 52" xfId="60852" xr:uid="{00000000-0005-0000-0000-000054EE0000}"/>
    <cellStyle name="Связанная ячейка 53" xfId="60853" xr:uid="{00000000-0005-0000-0000-000055EE0000}"/>
    <cellStyle name="Связанная ячейка 54" xfId="60854" xr:uid="{00000000-0005-0000-0000-000056EE0000}"/>
    <cellStyle name="Связанная ячейка 55" xfId="60855" xr:uid="{00000000-0005-0000-0000-000057EE0000}"/>
    <cellStyle name="Связанная ячейка 56" xfId="60856" xr:uid="{00000000-0005-0000-0000-000058EE0000}"/>
    <cellStyle name="Связанная ячейка 57" xfId="60857" xr:uid="{00000000-0005-0000-0000-000059EE0000}"/>
    <cellStyle name="Связанная ячейка 58" xfId="60858" xr:uid="{00000000-0005-0000-0000-00005AEE0000}"/>
    <cellStyle name="Связанная ячейка 59" xfId="60859" xr:uid="{00000000-0005-0000-0000-00005BEE0000}"/>
    <cellStyle name="Связанная ячейка 6" xfId="60860" xr:uid="{00000000-0005-0000-0000-00005CEE0000}"/>
    <cellStyle name="Связанная ячейка 60" xfId="60861" xr:uid="{00000000-0005-0000-0000-00005DEE0000}"/>
    <cellStyle name="Связанная ячейка 61" xfId="60862" xr:uid="{00000000-0005-0000-0000-00005EEE0000}"/>
    <cellStyle name="Связанная ячейка 62" xfId="60863" xr:uid="{00000000-0005-0000-0000-00005FEE0000}"/>
    <cellStyle name="Связанная ячейка 63" xfId="60864" xr:uid="{00000000-0005-0000-0000-000060EE0000}"/>
    <cellStyle name="Связанная ячейка 64" xfId="60865" xr:uid="{00000000-0005-0000-0000-000061EE0000}"/>
    <cellStyle name="Связанная ячейка 65" xfId="60866" xr:uid="{00000000-0005-0000-0000-000062EE0000}"/>
    <cellStyle name="Связанная ячейка 66" xfId="60867" xr:uid="{00000000-0005-0000-0000-000063EE0000}"/>
    <cellStyle name="Связанная ячейка 67" xfId="60868" xr:uid="{00000000-0005-0000-0000-000064EE0000}"/>
    <cellStyle name="Связанная ячейка 68" xfId="60869" xr:uid="{00000000-0005-0000-0000-000065EE0000}"/>
    <cellStyle name="Связанная ячейка 69" xfId="60870" xr:uid="{00000000-0005-0000-0000-000066EE0000}"/>
    <cellStyle name="Связанная ячейка 7" xfId="60871" xr:uid="{00000000-0005-0000-0000-000067EE0000}"/>
    <cellStyle name="Связанная ячейка 70" xfId="60872" xr:uid="{00000000-0005-0000-0000-000068EE0000}"/>
    <cellStyle name="Связанная ячейка 71" xfId="60873" xr:uid="{00000000-0005-0000-0000-000069EE0000}"/>
    <cellStyle name="Связанная ячейка 72" xfId="60874" xr:uid="{00000000-0005-0000-0000-00006AEE0000}"/>
    <cellStyle name="Связанная ячейка 73" xfId="60875" xr:uid="{00000000-0005-0000-0000-00006BEE0000}"/>
    <cellStyle name="Связанная ячейка 74" xfId="60876" xr:uid="{00000000-0005-0000-0000-00006CEE0000}"/>
    <cellStyle name="Связанная ячейка 75" xfId="60877" xr:uid="{00000000-0005-0000-0000-00006DEE0000}"/>
    <cellStyle name="Связанная ячейка 76" xfId="60878" xr:uid="{00000000-0005-0000-0000-00006EEE0000}"/>
    <cellStyle name="Связанная ячейка 77" xfId="60879" xr:uid="{00000000-0005-0000-0000-00006FEE0000}"/>
    <cellStyle name="Связанная ячейка 78" xfId="60880" xr:uid="{00000000-0005-0000-0000-000070EE0000}"/>
    <cellStyle name="Связанная ячейка 79" xfId="60881" xr:uid="{00000000-0005-0000-0000-000071EE0000}"/>
    <cellStyle name="Связанная ячейка 8" xfId="60882" xr:uid="{00000000-0005-0000-0000-000072EE0000}"/>
    <cellStyle name="Связанная ячейка 80" xfId="60883" xr:uid="{00000000-0005-0000-0000-000073EE0000}"/>
    <cellStyle name="Связанная ячейка 81" xfId="60884" xr:uid="{00000000-0005-0000-0000-000074EE0000}"/>
    <cellStyle name="Связанная ячейка 82" xfId="60885" xr:uid="{00000000-0005-0000-0000-000075EE0000}"/>
    <cellStyle name="Связанная ячейка 83" xfId="60886" xr:uid="{00000000-0005-0000-0000-000076EE0000}"/>
    <cellStyle name="Связанная ячейка 84" xfId="60887" xr:uid="{00000000-0005-0000-0000-000077EE0000}"/>
    <cellStyle name="Связанная ячейка 85" xfId="60888" xr:uid="{00000000-0005-0000-0000-000078EE0000}"/>
    <cellStyle name="Связанная ячейка 86" xfId="60889" xr:uid="{00000000-0005-0000-0000-000079EE0000}"/>
    <cellStyle name="Связанная ячейка 87" xfId="60890" xr:uid="{00000000-0005-0000-0000-00007AEE0000}"/>
    <cellStyle name="Связанная ячейка 88" xfId="60891" xr:uid="{00000000-0005-0000-0000-00007BEE0000}"/>
    <cellStyle name="Связанная ячейка 89" xfId="60892" xr:uid="{00000000-0005-0000-0000-00007CEE0000}"/>
    <cellStyle name="Связанная ячейка 9" xfId="60893" xr:uid="{00000000-0005-0000-0000-00007DEE0000}"/>
    <cellStyle name="Связанная ячейка 90" xfId="60894" xr:uid="{00000000-0005-0000-0000-00007EEE0000}"/>
    <cellStyle name="Связанная ячейка 91" xfId="60895" xr:uid="{00000000-0005-0000-0000-00007FEE0000}"/>
    <cellStyle name="Связанная ячейка 92" xfId="60896" xr:uid="{00000000-0005-0000-0000-000080EE0000}"/>
    <cellStyle name="Связанная ячейка 93" xfId="60897" xr:uid="{00000000-0005-0000-0000-000081EE0000}"/>
    <cellStyle name="Связанная ячейка 94" xfId="60898" xr:uid="{00000000-0005-0000-0000-000082EE0000}"/>
    <cellStyle name="Связанная ячейка 95" xfId="60899" xr:uid="{00000000-0005-0000-0000-000083EE0000}"/>
    <cellStyle name="Связанная ячейка 96" xfId="60900" xr:uid="{00000000-0005-0000-0000-000084EE0000}"/>
    <cellStyle name="Связанная ячейка 97" xfId="60901" xr:uid="{00000000-0005-0000-0000-000085EE0000}"/>
    <cellStyle name="Связанная ячейка 98" xfId="60902" xr:uid="{00000000-0005-0000-0000-000086EE0000}"/>
    <cellStyle name="Связанная ячейка 99" xfId="60903" xr:uid="{00000000-0005-0000-0000-000087EE0000}"/>
    <cellStyle name="Стиль 1" xfId="60904" xr:uid="{00000000-0005-0000-0000-000088EE0000}"/>
    <cellStyle name="Текст предупреждения 10" xfId="60905" xr:uid="{00000000-0005-0000-0000-000089EE0000}"/>
    <cellStyle name="Текст предупреждения 100" xfId="60906" xr:uid="{00000000-0005-0000-0000-00008AEE0000}"/>
    <cellStyle name="Текст предупреждения 101" xfId="60907" xr:uid="{00000000-0005-0000-0000-00008BEE0000}"/>
    <cellStyle name="Текст предупреждения 102" xfId="60908" xr:uid="{00000000-0005-0000-0000-00008CEE0000}"/>
    <cellStyle name="Текст предупреждения 103" xfId="60909" xr:uid="{00000000-0005-0000-0000-00008DEE0000}"/>
    <cellStyle name="Текст предупреждения 104" xfId="60910" xr:uid="{00000000-0005-0000-0000-00008EEE0000}"/>
    <cellStyle name="Текст предупреждения 105" xfId="60911" xr:uid="{00000000-0005-0000-0000-00008FEE0000}"/>
    <cellStyle name="Текст предупреждения 106" xfId="60912" xr:uid="{00000000-0005-0000-0000-000090EE0000}"/>
    <cellStyle name="Текст предупреждения 107" xfId="60913" xr:uid="{00000000-0005-0000-0000-000091EE0000}"/>
    <cellStyle name="Текст предупреждения 108" xfId="60914" xr:uid="{00000000-0005-0000-0000-000092EE0000}"/>
    <cellStyle name="Текст предупреждения 109" xfId="60915" xr:uid="{00000000-0005-0000-0000-000093EE0000}"/>
    <cellStyle name="Текст предупреждения 11" xfId="60916" xr:uid="{00000000-0005-0000-0000-000094EE0000}"/>
    <cellStyle name="Текст предупреждения 110" xfId="60917" xr:uid="{00000000-0005-0000-0000-000095EE0000}"/>
    <cellStyle name="Текст предупреждения 111" xfId="60918" xr:uid="{00000000-0005-0000-0000-000096EE0000}"/>
    <cellStyle name="Текст предупреждения 112" xfId="60919" xr:uid="{00000000-0005-0000-0000-000097EE0000}"/>
    <cellStyle name="Текст предупреждения 113" xfId="60920" xr:uid="{00000000-0005-0000-0000-000098EE0000}"/>
    <cellStyle name="Текст предупреждения 114" xfId="60921" xr:uid="{00000000-0005-0000-0000-000099EE0000}"/>
    <cellStyle name="Текст предупреждения 115" xfId="60922" xr:uid="{00000000-0005-0000-0000-00009AEE0000}"/>
    <cellStyle name="Текст предупреждения 116" xfId="60923" xr:uid="{00000000-0005-0000-0000-00009BEE0000}"/>
    <cellStyle name="Текст предупреждения 117" xfId="60924" xr:uid="{00000000-0005-0000-0000-00009CEE0000}"/>
    <cellStyle name="Текст предупреждения 118" xfId="60925" xr:uid="{00000000-0005-0000-0000-00009DEE0000}"/>
    <cellStyle name="Текст предупреждения 119" xfId="60926" xr:uid="{00000000-0005-0000-0000-00009EEE0000}"/>
    <cellStyle name="Текст предупреждения 12" xfId="60927" xr:uid="{00000000-0005-0000-0000-00009FEE0000}"/>
    <cellStyle name="Текст предупреждения 120" xfId="60928" xr:uid="{00000000-0005-0000-0000-0000A0EE0000}"/>
    <cellStyle name="Текст предупреждения 121" xfId="60929" xr:uid="{00000000-0005-0000-0000-0000A1EE0000}"/>
    <cellStyle name="Текст предупреждения 122" xfId="60930" xr:uid="{00000000-0005-0000-0000-0000A2EE0000}"/>
    <cellStyle name="Текст предупреждения 123" xfId="60931" xr:uid="{00000000-0005-0000-0000-0000A3EE0000}"/>
    <cellStyle name="Текст предупреждения 124" xfId="60932" xr:uid="{00000000-0005-0000-0000-0000A4EE0000}"/>
    <cellStyle name="Текст предупреждения 125" xfId="60933" xr:uid="{00000000-0005-0000-0000-0000A5EE0000}"/>
    <cellStyle name="Текст предупреждения 126" xfId="60934" xr:uid="{00000000-0005-0000-0000-0000A6EE0000}"/>
    <cellStyle name="Текст предупреждения 127" xfId="60935" xr:uid="{00000000-0005-0000-0000-0000A7EE0000}"/>
    <cellStyle name="Текст предупреждения 128" xfId="60936" xr:uid="{00000000-0005-0000-0000-0000A8EE0000}"/>
    <cellStyle name="Текст предупреждения 129" xfId="60937" xr:uid="{00000000-0005-0000-0000-0000A9EE0000}"/>
    <cellStyle name="Текст предупреждения 13" xfId="60938" xr:uid="{00000000-0005-0000-0000-0000AAEE0000}"/>
    <cellStyle name="Текст предупреждения 130" xfId="60939" xr:uid="{00000000-0005-0000-0000-0000ABEE0000}"/>
    <cellStyle name="Текст предупреждения 131" xfId="60940" xr:uid="{00000000-0005-0000-0000-0000ACEE0000}"/>
    <cellStyle name="Текст предупреждения 132" xfId="60941" xr:uid="{00000000-0005-0000-0000-0000ADEE0000}"/>
    <cellStyle name="Текст предупреждения 133" xfId="60942" xr:uid="{00000000-0005-0000-0000-0000AEEE0000}"/>
    <cellStyle name="Текст предупреждения 134" xfId="60943" xr:uid="{00000000-0005-0000-0000-0000AFEE0000}"/>
    <cellStyle name="Текст предупреждения 135" xfId="60944" xr:uid="{00000000-0005-0000-0000-0000B0EE0000}"/>
    <cellStyle name="Текст предупреждения 136" xfId="60945" xr:uid="{00000000-0005-0000-0000-0000B1EE0000}"/>
    <cellStyle name="Текст предупреждения 137" xfId="60946" xr:uid="{00000000-0005-0000-0000-0000B2EE0000}"/>
    <cellStyle name="Текст предупреждения 138" xfId="60947" xr:uid="{00000000-0005-0000-0000-0000B3EE0000}"/>
    <cellStyle name="Текст предупреждения 139" xfId="60948" xr:uid="{00000000-0005-0000-0000-0000B4EE0000}"/>
    <cellStyle name="Текст предупреждения 14" xfId="60949" xr:uid="{00000000-0005-0000-0000-0000B5EE0000}"/>
    <cellStyle name="Текст предупреждения 140" xfId="60950" xr:uid="{00000000-0005-0000-0000-0000B6EE0000}"/>
    <cellStyle name="Текст предупреждения 141" xfId="60951" xr:uid="{00000000-0005-0000-0000-0000B7EE0000}"/>
    <cellStyle name="Текст предупреждения 142" xfId="60952" xr:uid="{00000000-0005-0000-0000-0000B8EE0000}"/>
    <cellStyle name="Текст предупреждения 143" xfId="60953" xr:uid="{00000000-0005-0000-0000-0000B9EE0000}"/>
    <cellStyle name="Текст предупреждения 144" xfId="60954" xr:uid="{00000000-0005-0000-0000-0000BAEE0000}"/>
    <cellStyle name="Текст предупреждения 145" xfId="60955" xr:uid="{00000000-0005-0000-0000-0000BBEE0000}"/>
    <cellStyle name="Текст предупреждения 146" xfId="60956" xr:uid="{00000000-0005-0000-0000-0000BCEE0000}"/>
    <cellStyle name="Текст предупреждения 147" xfId="60957" xr:uid="{00000000-0005-0000-0000-0000BDEE0000}"/>
    <cellStyle name="Текст предупреждения 148" xfId="60958" xr:uid="{00000000-0005-0000-0000-0000BEEE0000}"/>
    <cellStyle name="Текст предупреждения 149" xfId="60959" xr:uid="{00000000-0005-0000-0000-0000BFEE0000}"/>
    <cellStyle name="Текст предупреждения 15" xfId="60960" xr:uid="{00000000-0005-0000-0000-0000C0EE0000}"/>
    <cellStyle name="Текст предупреждения 150" xfId="60961" xr:uid="{00000000-0005-0000-0000-0000C1EE0000}"/>
    <cellStyle name="Текст предупреждения 151" xfId="60962" xr:uid="{00000000-0005-0000-0000-0000C2EE0000}"/>
    <cellStyle name="Текст предупреждения 152" xfId="60963" xr:uid="{00000000-0005-0000-0000-0000C3EE0000}"/>
    <cellStyle name="Текст предупреждения 153" xfId="60964" xr:uid="{00000000-0005-0000-0000-0000C4EE0000}"/>
    <cellStyle name="Текст предупреждения 16" xfId="60965" xr:uid="{00000000-0005-0000-0000-0000C5EE0000}"/>
    <cellStyle name="Текст предупреждения 17" xfId="60966" xr:uid="{00000000-0005-0000-0000-0000C6EE0000}"/>
    <cellStyle name="Текст предупреждения 18" xfId="60967" xr:uid="{00000000-0005-0000-0000-0000C7EE0000}"/>
    <cellStyle name="Текст предупреждения 19" xfId="60968" xr:uid="{00000000-0005-0000-0000-0000C8EE0000}"/>
    <cellStyle name="Текст предупреждения 2" xfId="60969" xr:uid="{00000000-0005-0000-0000-0000C9EE0000}"/>
    <cellStyle name="Текст предупреждения 2 2" xfId="60970" xr:uid="{00000000-0005-0000-0000-0000CAEE0000}"/>
    <cellStyle name="Текст предупреждения 2 2 10" xfId="60971" xr:uid="{00000000-0005-0000-0000-0000CBEE0000}"/>
    <cellStyle name="Текст предупреждения 2 2 11" xfId="60972" xr:uid="{00000000-0005-0000-0000-0000CCEE0000}"/>
    <cellStyle name="Текст предупреждения 2 2 12" xfId="60973" xr:uid="{00000000-0005-0000-0000-0000CDEE0000}"/>
    <cellStyle name="Текст предупреждения 2 2 13" xfId="60974" xr:uid="{00000000-0005-0000-0000-0000CEEE0000}"/>
    <cellStyle name="Текст предупреждения 2 2 2" xfId="60975" xr:uid="{00000000-0005-0000-0000-0000CFEE0000}"/>
    <cellStyle name="Текст предупреждения 2 2 3" xfId="60976" xr:uid="{00000000-0005-0000-0000-0000D0EE0000}"/>
    <cellStyle name="Текст предупреждения 2 2 4" xfId="60977" xr:uid="{00000000-0005-0000-0000-0000D1EE0000}"/>
    <cellStyle name="Текст предупреждения 2 2 5" xfId="60978" xr:uid="{00000000-0005-0000-0000-0000D2EE0000}"/>
    <cellStyle name="Текст предупреждения 2 2 6" xfId="60979" xr:uid="{00000000-0005-0000-0000-0000D3EE0000}"/>
    <cellStyle name="Текст предупреждения 2 2 7" xfId="60980" xr:uid="{00000000-0005-0000-0000-0000D4EE0000}"/>
    <cellStyle name="Текст предупреждения 2 2 8" xfId="60981" xr:uid="{00000000-0005-0000-0000-0000D5EE0000}"/>
    <cellStyle name="Текст предупреждения 2 2 9" xfId="60982" xr:uid="{00000000-0005-0000-0000-0000D6EE0000}"/>
    <cellStyle name="Текст предупреждения 2 3" xfId="60983" xr:uid="{00000000-0005-0000-0000-0000D7EE0000}"/>
    <cellStyle name="Текст предупреждения 20" xfId="60984" xr:uid="{00000000-0005-0000-0000-0000D8EE0000}"/>
    <cellStyle name="Текст предупреждения 21" xfId="60985" xr:uid="{00000000-0005-0000-0000-0000D9EE0000}"/>
    <cellStyle name="Текст предупреждения 22" xfId="60986" xr:uid="{00000000-0005-0000-0000-0000DAEE0000}"/>
    <cellStyle name="Текст предупреждения 23" xfId="60987" xr:uid="{00000000-0005-0000-0000-0000DBEE0000}"/>
    <cellStyle name="Текст предупреждения 24" xfId="60988" xr:uid="{00000000-0005-0000-0000-0000DCEE0000}"/>
    <cellStyle name="Текст предупреждения 25" xfId="60989" xr:uid="{00000000-0005-0000-0000-0000DDEE0000}"/>
    <cellStyle name="Текст предупреждения 26" xfId="60990" xr:uid="{00000000-0005-0000-0000-0000DEEE0000}"/>
    <cellStyle name="Текст предупреждения 27" xfId="60991" xr:uid="{00000000-0005-0000-0000-0000DFEE0000}"/>
    <cellStyle name="Текст предупреждения 28" xfId="60992" xr:uid="{00000000-0005-0000-0000-0000E0EE0000}"/>
    <cellStyle name="Текст предупреждения 29" xfId="60993" xr:uid="{00000000-0005-0000-0000-0000E1EE0000}"/>
    <cellStyle name="Текст предупреждения 3" xfId="60994" xr:uid="{00000000-0005-0000-0000-0000E2EE0000}"/>
    <cellStyle name="Текст предупреждения 30" xfId="60995" xr:uid="{00000000-0005-0000-0000-0000E3EE0000}"/>
    <cellStyle name="Текст предупреждения 31" xfId="60996" xr:uid="{00000000-0005-0000-0000-0000E4EE0000}"/>
    <cellStyle name="Текст предупреждения 32" xfId="60997" xr:uid="{00000000-0005-0000-0000-0000E5EE0000}"/>
    <cellStyle name="Текст предупреждения 33" xfId="60998" xr:uid="{00000000-0005-0000-0000-0000E6EE0000}"/>
    <cellStyle name="Текст предупреждения 34" xfId="60999" xr:uid="{00000000-0005-0000-0000-0000E7EE0000}"/>
    <cellStyle name="Текст предупреждения 35" xfId="61000" xr:uid="{00000000-0005-0000-0000-0000E8EE0000}"/>
    <cellStyle name="Текст предупреждения 36" xfId="61001" xr:uid="{00000000-0005-0000-0000-0000E9EE0000}"/>
    <cellStyle name="Текст предупреждения 37" xfId="61002" xr:uid="{00000000-0005-0000-0000-0000EAEE0000}"/>
    <cellStyle name="Текст предупреждения 38" xfId="61003" xr:uid="{00000000-0005-0000-0000-0000EBEE0000}"/>
    <cellStyle name="Текст предупреждения 39" xfId="61004" xr:uid="{00000000-0005-0000-0000-0000ECEE0000}"/>
    <cellStyle name="Текст предупреждения 4" xfId="61005" xr:uid="{00000000-0005-0000-0000-0000EDEE0000}"/>
    <cellStyle name="Текст предупреждения 40" xfId="61006" xr:uid="{00000000-0005-0000-0000-0000EEEE0000}"/>
    <cellStyle name="Текст предупреждения 41" xfId="61007" xr:uid="{00000000-0005-0000-0000-0000EFEE0000}"/>
    <cellStyle name="Текст предупреждения 42" xfId="61008" xr:uid="{00000000-0005-0000-0000-0000F0EE0000}"/>
    <cellStyle name="Текст предупреждения 43" xfId="61009" xr:uid="{00000000-0005-0000-0000-0000F1EE0000}"/>
    <cellStyle name="Текст предупреждения 44" xfId="61010" xr:uid="{00000000-0005-0000-0000-0000F2EE0000}"/>
    <cellStyle name="Текст предупреждения 45" xfId="61011" xr:uid="{00000000-0005-0000-0000-0000F3EE0000}"/>
    <cellStyle name="Текст предупреждения 46" xfId="61012" xr:uid="{00000000-0005-0000-0000-0000F4EE0000}"/>
    <cellStyle name="Текст предупреждения 47" xfId="61013" xr:uid="{00000000-0005-0000-0000-0000F5EE0000}"/>
    <cellStyle name="Текст предупреждения 48" xfId="61014" xr:uid="{00000000-0005-0000-0000-0000F6EE0000}"/>
    <cellStyle name="Текст предупреждения 49" xfId="61015" xr:uid="{00000000-0005-0000-0000-0000F7EE0000}"/>
    <cellStyle name="Текст предупреждения 5" xfId="61016" xr:uid="{00000000-0005-0000-0000-0000F8EE0000}"/>
    <cellStyle name="Текст предупреждения 50" xfId="61017" xr:uid="{00000000-0005-0000-0000-0000F9EE0000}"/>
    <cellStyle name="Текст предупреждения 51" xfId="61018" xr:uid="{00000000-0005-0000-0000-0000FAEE0000}"/>
    <cellStyle name="Текст предупреждения 52" xfId="61019" xr:uid="{00000000-0005-0000-0000-0000FBEE0000}"/>
    <cellStyle name="Текст предупреждения 53" xfId="61020" xr:uid="{00000000-0005-0000-0000-0000FCEE0000}"/>
    <cellStyle name="Текст предупреждения 54" xfId="61021" xr:uid="{00000000-0005-0000-0000-0000FDEE0000}"/>
    <cellStyle name="Текст предупреждения 55" xfId="61022" xr:uid="{00000000-0005-0000-0000-0000FEEE0000}"/>
    <cellStyle name="Текст предупреждения 56" xfId="61023" xr:uid="{00000000-0005-0000-0000-0000FFEE0000}"/>
    <cellStyle name="Текст предупреждения 57" xfId="61024" xr:uid="{00000000-0005-0000-0000-000000EF0000}"/>
    <cellStyle name="Текст предупреждения 58" xfId="61025" xr:uid="{00000000-0005-0000-0000-000001EF0000}"/>
    <cellStyle name="Текст предупреждения 59" xfId="61026" xr:uid="{00000000-0005-0000-0000-000002EF0000}"/>
    <cellStyle name="Текст предупреждения 6" xfId="61027" xr:uid="{00000000-0005-0000-0000-000003EF0000}"/>
    <cellStyle name="Текст предупреждения 60" xfId="61028" xr:uid="{00000000-0005-0000-0000-000004EF0000}"/>
    <cellStyle name="Текст предупреждения 61" xfId="61029" xr:uid="{00000000-0005-0000-0000-000005EF0000}"/>
    <cellStyle name="Текст предупреждения 62" xfId="61030" xr:uid="{00000000-0005-0000-0000-000006EF0000}"/>
    <cellStyle name="Текст предупреждения 63" xfId="61031" xr:uid="{00000000-0005-0000-0000-000007EF0000}"/>
    <cellStyle name="Текст предупреждения 64" xfId="61032" xr:uid="{00000000-0005-0000-0000-000008EF0000}"/>
    <cellStyle name="Текст предупреждения 65" xfId="61033" xr:uid="{00000000-0005-0000-0000-000009EF0000}"/>
    <cellStyle name="Текст предупреждения 66" xfId="61034" xr:uid="{00000000-0005-0000-0000-00000AEF0000}"/>
    <cellStyle name="Текст предупреждения 67" xfId="61035" xr:uid="{00000000-0005-0000-0000-00000BEF0000}"/>
    <cellStyle name="Текст предупреждения 68" xfId="61036" xr:uid="{00000000-0005-0000-0000-00000CEF0000}"/>
    <cellStyle name="Текст предупреждения 69" xfId="61037" xr:uid="{00000000-0005-0000-0000-00000DEF0000}"/>
    <cellStyle name="Текст предупреждения 7" xfId="61038" xr:uid="{00000000-0005-0000-0000-00000EEF0000}"/>
    <cellStyle name="Текст предупреждения 70" xfId="61039" xr:uid="{00000000-0005-0000-0000-00000FEF0000}"/>
    <cellStyle name="Текст предупреждения 71" xfId="61040" xr:uid="{00000000-0005-0000-0000-000010EF0000}"/>
    <cellStyle name="Текст предупреждения 72" xfId="61041" xr:uid="{00000000-0005-0000-0000-000011EF0000}"/>
    <cellStyle name="Текст предупреждения 73" xfId="61042" xr:uid="{00000000-0005-0000-0000-000012EF0000}"/>
    <cellStyle name="Текст предупреждения 74" xfId="61043" xr:uid="{00000000-0005-0000-0000-000013EF0000}"/>
    <cellStyle name="Текст предупреждения 75" xfId="61044" xr:uid="{00000000-0005-0000-0000-000014EF0000}"/>
    <cellStyle name="Текст предупреждения 76" xfId="61045" xr:uid="{00000000-0005-0000-0000-000015EF0000}"/>
    <cellStyle name="Текст предупреждения 77" xfId="61046" xr:uid="{00000000-0005-0000-0000-000016EF0000}"/>
    <cellStyle name="Текст предупреждения 78" xfId="61047" xr:uid="{00000000-0005-0000-0000-000017EF0000}"/>
    <cellStyle name="Текст предупреждения 79" xfId="61048" xr:uid="{00000000-0005-0000-0000-000018EF0000}"/>
    <cellStyle name="Текст предупреждения 8" xfId="61049" xr:uid="{00000000-0005-0000-0000-000019EF0000}"/>
    <cellStyle name="Текст предупреждения 80" xfId="61050" xr:uid="{00000000-0005-0000-0000-00001AEF0000}"/>
    <cellStyle name="Текст предупреждения 81" xfId="61051" xr:uid="{00000000-0005-0000-0000-00001BEF0000}"/>
    <cellStyle name="Текст предупреждения 82" xfId="61052" xr:uid="{00000000-0005-0000-0000-00001CEF0000}"/>
    <cellStyle name="Текст предупреждения 83" xfId="61053" xr:uid="{00000000-0005-0000-0000-00001DEF0000}"/>
    <cellStyle name="Текст предупреждения 84" xfId="61054" xr:uid="{00000000-0005-0000-0000-00001EEF0000}"/>
    <cellStyle name="Текст предупреждения 85" xfId="61055" xr:uid="{00000000-0005-0000-0000-00001FEF0000}"/>
    <cellStyle name="Текст предупреждения 86" xfId="61056" xr:uid="{00000000-0005-0000-0000-000020EF0000}"/>
    <cellStyle name="Текст предупреждения 87" xfId="61057" xr:uid="{00000000-0005-0000-0000-000021EF0000}"/>
    <cellStyle name="Текст предупреждения 88" xfId="61058" xr:uid="{00000000-0005-0000-0000-000022EF0000}"/>
    <cellStyle name="Текст предупреждения 89" xfId="61059" xr:uid="{00000000-0005-0000-0000-000023EF0000}"/>
    <cellStyle name="Текст предупреждения 9" xfId="61060" xr:uid="{00000000-0005-0000-0000-000024EF0000}"/>
    <cellStyle name="Текст предупреждения 90" xfId="61061" xr:uid="{00000000-0005-0000-0000-000025EF0000}"/>
    <cellStyle name="Текст предупреждения 91" xfId="61062" xr:uid="{00000000-0005-0000-0000-000026EF0000}"/>
    <cellStyle name="Текст предупреждения 92" xfId="61063" xr:uid="{00000000-0005-0000-0000-000027EF0000}"/>
    <cellStyle name="Текст предупреждения 93" xfId="61064" xr:uid="{00000000-0005-0000-0000-000028EF0000}"/>
    <cellStyle name="Текст предупреждения 94" xfId="61065" xr:uid="{00000000-0005-0000-0000-000029EF0000}"/>
    <cellStyle name="Текст предупреждения 95" xfId="61066" xr:uid="{00000000-0005-0000-0000-00002AEF0000}"/>
    <cellStyle name="Текст предупреждения 96" xfId="61067" xr:uid="{00000000-0005-0000-0000-00002BEF0000}"/>
    <cellStyle name="Текст предупреждения 97" xfId="61068" xr:uid="{00000000-0005-0000-0000-00002CEF0000}"/>
    <cellStyle name="Текст предупреждения 98" xfId="61069" xr:uid="{00000000-0005-0000-0000-00002DEF0000}"/>
    <cellStyle name="Текст предупреждения 99" xfId="61070" xr:uid="{00000000-0005-0000-0000-00002EEF0000}"/>
    <cellStyle name="Финансовый 10" xfId="61071" xr:uid="{00000000-0005-0000-0000-00002FEF0000}"/>
    <cellStyle name="Финансовый 11" xfId="61072" xr:uid="{00000000-0005-0000-0000-000030EF0000}"/>
    <cellStyle name="Финансовый 11 2" xfId="61073" xr:uid="{00000000-0005-0000-0000-000031EF0000}"/>
    <cellStyle name="Финансовый 12" xfId="61074" xr:uid="{00000000-0005-0000-0000-000032EF0000}"/>
    <cellStyle name="Финансовый 13" xfId="61075" xr:uid="{00000000-0005-0000-0000-000033EF0000}"/>
    <cellStyle name="Финансовый 14" xfId="61309" xr:uid="{00000000-0005-0000-0000-000034EF0000}"/>
    <cellStyle name="Финансовый 2" xfId="61076" xr:uid="{00000000-0005-0000-0000-000035EF0000}"/>
    <cellStyle name="Финансовый 2 10" xfId="61077" xr:uid="{00000000-0005-0000-0000-000036EF0000}"/>
    <cellStyle name="Финансовый 2 11" xfId="61078" xr:uid="{00000000-0005-0000-0000-000037EF0000}"/>
    <cellStyle name="Финансовый 2 12" xfId="61079" xr:uid="{00000000-0005-0000-0000-000038EF0000}"/>
    <cellStyle name="Финансовый 2 13" xfId="61080" xr:uid="{00000000-0005-0000-0000-000039EF0000}"/>
    <cellStyle name="Финансовый 2 14" xfId="61081" xr:uid="{00000000-0005-0000-0000-00003AEF0000}"/>
    <cellStyle name="Финансовый 2 15" xfId="61082" xr:uid="{00000000-0005-0000-0000-00003BEF0000}"/>
    <cellStyle name="Финансовый 2 16" xfId="61083" xr:uid="{00000000-0005-0000-0000-00003CEF0000}"/>
    <cellStyle name="Финансовый 2 17" xfId="61084" xr:uid="{00000000-0005-0000-0000-00003DEF0000}"/>
    <cellStyle name="Финансовый 2 18" xfId="61085" xr:uid="{00000000-0005-0000-0000-00003EEF0000}"/>
    <cellStyle name="Финансовый 2 2" xfId="61086" xr:uid="{00000000-0005-0000-0000-00003FEF0000}"/>
    <cellStyle name="Финансовый 2 2 2" xfId="61087" xr:uid="{00000000-0005-0000-0000-000040EF0000}"/>
    <cellStyle name="Финансовый 2 2 2 2" xfId="61088" xr:uid="{00000000-0005-0000-0000-000041EF0000}"/>
    <cellStyle name="Финансовый 2 2 3" xfId="61089" xr:uid="{00000000-0005-0000-0000-000042EF0000}"/>
    <cellStyle name="Финансовый 2 3" xfId="61090" xr:uid="{00000000-0005-0000-0000-000043EF0000}"/>
    <cellStyle name="Финансовый 2 3 2" xfId="61091" xr:uid="{00000000-0005-0000-0000-000044EF0000}"/>
    <cellStyle name="Финансовый 2 3 2 2" xfId="61092" xr:uid="{00000000-0005-0000-0000-000045EF0000}"/>
    <cellStyle name="Финансовый 2 3 3" xfId="61093" xr:uid="{00000000-0005-0000-0000-000046EF0000}"/>
    <cellStyle name="Финансовый 2 4" xfId="61094" xr:uid="{00000000-0005-0000-0000-000047EF0000}"/>
    <cellStyle name="Финансовый 2 4 2" xfId="61095" xr:uid="{00000000-0005-0000-0000-000048EF0000}"/>
    <cellStyle name="Финансовый 2 4 2 2" xfId="61096" xr:uid="{00000000-0005-0000-0000-000049EF0000}"/>
    <cellStyle name="Финансовый 2 4 3" xfId="61097" xr:uid="{00000000-0005-0000-0000-00004AEF0000}"/>
    <cellStyle name="Финансовый 2 5" xfId="61098" xr:uid="{00000000-0005-0000-0000-00004BEF0000}"/>
    <cellStyle name="Финансовый 2 5 2" xfId="61099" xr:uid="{00000000-0005-0000-0000-00004CEF0000}"/>
    <cellStyle name="Финансовый 2 6" xfId="61100" xr:uid="{00000000-0005-0000-0000-00004DEF0000}"/>
    <cellStyle name="Финансовый 2 6 2" xfId="61101" xr:uid="{00000000-0005-0000-0000-00004EEF0000}"/>
    <cellStyle name="Финансовый 2 7" xfId="61102" xr:uid="{00000000-0005-0000-0000-00004FEF0000}"/>
    <cellStyle name="Финансовый 2 7 2" xfId="61103" xr:uid="{00000000-0005-0000-0000-000050EF0000}"/>
    <cellStyle name="Финансовый 2 8" xfId="61104" xr:uid="{00000000-0005-0000-0000-000051EF0000}"/>
    <cellStyle name="Финансовый 2 9" xfId="61105" xr:uid="{00000000-0005-0000-0000-000052EF0000}"/>
    <cellStyle name="Финансовый 3" xfId="61106" xr:uid="{00000000-0005-0000-0000-000053EF0000}"/>
    <cellStyle name="Финансовый 3 2" xfId="61107" xr:uid="{00000000-0005-0000-0000-000054EF0000}"/>
    <cellStyle name="Финансовый 3 2 2" xfId="61108" xr:uid="{00000000-0005-0000-0000-000055EF0000}"/>
    <cellStyle name="Финансовый 3 3" xfId="61109" xr:uid="{00000000-0005-0000-0000-000056EF0000}"/>
    <cellStyle name="Финансовый 3 4" xfId="61110" xr:uid="{00000000-0005-0000-0000-000057EF0000}"/>
    <cellStyle name="Финансовый 3 5" xfId="61111" xr:uid="{00000000-0005-0000-0000-000058EF0000}"/>
    <cellStyle name="Финансовый 3 6" xfId="61112" xr:uid="{00000000-0005-0000-0000-000059EF0000}"/>
    <cellStyle name="Финансовый 3 7" xfId="61113" xr:uid="{00000000-0005-0000-0000-00005AEF0000}"/>
    <cellStyle name="Финансовый 3 8" xfId="61114" xr:uid="{00000000-0005-0000-0000-00005BEF0000}"/>
    <cellStyle name="Финансовый 3 9" xfId="61115" xr:uid="{00000000-0005-0000-0000-00005CEF0000}"/>
    <cellStyle name="Финансовый 4" xfId="61116" xr:uid="{00000000-0005-0000-0000-00005DEF0000}"/>
    <cellStyle name="Финансовый 4 2" xfId="61117" xr:uid="{00000000-0005-0000-0000-00005EEF0000}"/>
    <cellStyle name="Финансовый 4 3" xfId="61118" xr:uid="{00000000-0005-0000-0000-00005FEF0000}"/>
    <cellStyle name="Финансовый 5" xfId="61119" xr:uid="{00000000-0005-0000-0000-000060EF0000}"/>
    <cellStyle name="Финансовый 5 2" xfId="61120" xr:uid="{00000000-0005-0000-0000-000061EF0000}"/>
    <cellStyle name="Финансовый 5 3" xfId="61121" xr:uid="{00000000-0005-0000-0000-000062EF0000}"/>
    <cellStyle name="Финансовый 6" xfId="61122" xr:uid="{00000000-0005-0000-0000-000063EF0000}"/>
    <cellStyle name="Финансовый 6 2" xfId="61123" xr:uid="{00000000-0005-0000-0000-000064EF0000}"/>
    <cellStyle name="Финансовый 7" xfId="61124" xr:uid="{00000000-0005-0000-0000-000065EF0000}"/>
    <cellStyle name="Финансовый 8" xfId="61125" xr:uid="{00000000-0005-0000-0000-000066EF0000}"/>
    <cellStyle name="Финансовый 9" xfId="61126" xr:uid="{00000000-0005-0000-0000-000067EF0000}"/>
    <cellStyle name="Хороший 10" xfId="61127" xr:uid="{00000000-0005-0000-0000-000068EF0000}"/>
    <cellStyle name="Хороший 100" xfId="61128" xr:uid="{00000000-0005-0000-0000-000069EF0000}"/>
    <cellStyle name="Хороший 101" xfId="61129" xr:uid="{00000000-0005-0000-0000-00006AEF0000}"/>
    <cellStyle name="Хороший 102" xfId="61130" xr:uid="{00000000-0005-0000-0000-00006BEF0000}"/>
    <cellStyle name="Хороший 103" xfId="61131" xr:uid="{00000000-0005-0000-0000-00006CEF0000}"/>
    <cellStyle name="Хороший 104" xfId="61132" xr:uid="{00000000-0005-0000-0000-00006DEF0000}"/>
    <cellStyle name="Хороший 105" xfId="61133" xr:uid="{00000000-0005-0000-0000-00006EEF0000}"/>
    <cellStyle name="Хороший 106" xfId="61134" xr:uid="{00000000-0005-0000-0000-00006FEF0000}"/>
    <cellStyle name="Хороший 107" xfId="61135" xr:uid="{00000000-0005-0000-0000-000070EF0000}"/>
    <cellStyle name="Хороший 108" xfId="61136" xr:uid="{00000000-0005-0000-0000-000071EF0000}"/>
    <cellStyle name="Хороший 109" xfId="61137" xr:uid="{00000000-0005-0000-0000-000072EF0000}"/>
    <cellStyle name="Хороший 11" xfId="61138" xr:uid="{00000000-0005-0000-0000-000073EF0000}"/>
    <cellStyle name="Хороший 110" xfId="61139" xr:uid="{00000000-0005-0000-0000-000074EF0000}"/>
    <cellStyle name="Хороший 111" xfId="61140" xr:uid="{00000000-0005-0000-0000-000075EF0000}"/>
    <cellStyle name="Хороший 112" xfId="61141" xr:uid="{00000000-0005-0000-0000-000076EF0000}"/>
    <cellStyle name="Хороший 113" xfId="61142" xr:uid="{00000000-0005-0000-0000-000077EF0000}"/>
    <cellStyle name="Хороший 114" xfId="61143" xr:uid="{00000000-0005-0000-0000-000078EF0000}"/>
    <cellStyle name="Хороший 115" xfId="61144" xr:uid="{00000000-0005-0000-0000-000079EF0000}"/>
    <cellStyle name="Хороший 116" xfId="61145" xr:uid="{00000000-0005-0000-0000-00007AEF0000}"/>
    <cellStyle name="Хороший 117" xfId="61146" xr:uid="{00000000-0005-0000-0000-00007BEF0000}"/>
    <cellStyle name="Хороший 118" xfId="61147" xr:uid="{00000000-0005-0000-0000-00007CEF0000}"/>
    <cellStyle name="Хороший 119" xfId="61148" xr:uid="{00000000-0005-0000-0000-00007DEF0000}"/>
    <cellStyle name="Хороший 12" xfId="61149" xr:uid="{00000000-0005-0000-0000-00007EEF0000}"/>
    <cellStyle name="Хороший 120" xfId="61150" xr:uid="{00000000-0005-0000-0000-00007FEF0000}"/>
    <cellStyle name="Хороший 121" xfId="61151" xr:uid="{00000000-0005-0000-0000-000080EF0000}"/>
    <cellStyle name="Хороший 122" xfId="61152" xr:uid="{00000000-0005-0000-0000-000081EF0000}"/>
    <cellStyle name="Хороший 123" xfId="61153" xr:uid="{00000000-0005-0000-0000-000082EF0000}"/>
    <cellStyle name="Хороший 124" xfId="61154" xr:uid="{00000000-0005-0000-0000-000083EF0000}"/>
    <cellStyle name="Хороший 125" xfId="61155" xr:uid="{00000000-0005-0000-0000-000084EF0000}"/>
    <cellStyle name="Хороший 126" xfId="61156" xr:uid="{00000000-0005-0000-0000-000085EF0000}"/>
    <cellStyle name="Хороший 127" xfId="61157" xr:uid="{00000000-0005-0000-0000-000086EF0000}"/>
    <cellStyle name="Хороший 128" xfId="61158" xr:uid="{00000000-0005-0000-0000-000087EF0000}"/>
    <cellStyle name="Хороший 129" xfId="61159" xr:uid="{00000000-0005-0000-0000-000088EF0000}"/>
    <cellStyle name="Хороший 13" xfId="61160" xr:uid="{00000000-0005-0000-0000-000089EF0000}"/>
    <cellStyle name="Хороший 130" xfId="61161" xr:uid="{00000000-0005-0000-0000-00008AEF0000}"/>
    <cellStyle name="Хороший 131" xfId="61162" xr:uid="{00000000-0005-0000-0000-00008BEF0000}"/>
    <cellStyle name="Хороший 132" xfId="61163" xr:uid="{00000000-0005-0000-0000-00008CEF0000}"/>
    <cellStyle name="Хороший 133" xfId="61164" xr:uid="{00000000-0005-0000-0000-00008DEF0000}"/>
    <cellStyle name="Хороший 134" xfId="61165" xr:uid="{00000000-0005-0000-0000-00008EEF0000}"/>
    <cellStyle name="Хороший 135" xfId="61166" xr:uid="{00000000-0005-0000-0000-00008FEF0000}"/>
    <cellStyle name="Хороший 136" xfId="61167" xr:uid="{00000000-0005-0000-0000-000090EF0000}"/>
    <cellStyle name="Хороший 137" xfId="61168" xr:uid="{00000000-0005-0000-0000-000091EF0000}"/>
    <cellStyle name="Хороший 138" xfId="61169" xr:uid="{00000000-0005-0000-0000-000092EF0000}"/>
    <cellStyle name="Хороший 139" xfId="61170" xr:uid="{00000000-0005-0000-0000-000093EF0000}"/>
    <cellStyle name="Хороший 14" xfId="61171" xr:uid="{00000000-0005-0000-0000-000094EF0000}"/>
    <cellStyle name="Хороший 140" xfId="61172" xr:uid="{00000000-0005-0000-0000-000095EF0000}"/>
    <cellStyle name="Хороший 141" xfId="61173" xr:uid="{00000000-0005-0000-0000-000096EF0000}"/>
    <cellStyle name="Хороший 142" xfId="61174" xr:uid="{00000000-0005-0000-0000-000097EF0000}"/>
    <cellStyle name="Хороший 143" xfId="61175" xr:uid="{00000000-0005-0000-0000-000098EF0000}"/>
    <cellStyle name="Хороший 144" xfId="61176" xr:uid="{00000000-0005-0000-0000-000099EF0000}"/>
    <cellStyle name="Хороший 145" xfId="61177" xr:uid="{00000000-0005-0000-0000-00009AEF0000}"/>
    <cellStyle name="Хороший 146" xfId="61178" xr:uid="{00000000-0005-0000-0000-00009BEF0000}"/>
    <cellStyle name="Хороший 147" xfId="61179" xr:uid="{00000000-0005-0000-0000-00009CEF0000}"/>
    <cellStyle name="Хороший 148" xfId="61180" xr:uid="{00000000-0005-0000-0000-00009DEF0000}"/>
    <cellStyle name="Хороший 149" xfId="61181" xr:uid="{00000000-0005-0000-0000-00009EEF0000}"/>
    <cellStyle name="Хороший 15" xfId="61182" xr:uid="{00000000-0005-0000-0000-00009FEF0000}"/>
    <cellStyle name="Хороший 150" xfId="61183" xr:uid="{00000000-0005-0000-0000-0000A0EF0000}"/>
    <cellStyle name="Хороший 151" xfId="61184" xr:uid="{00000000-0005-0000-0000-0000A1EF0000}"/>
    <cellStyle name="Хороший 152" xfId="61185" xr:uid="{00000000-0005-0000-0000-0000A2EF0000}"/>
    <cellStyle name="Хороший 153" xfId="61186" xr:uid="{00000000-0005-0000-0000-0000A3EF0000}"/>
    <cellStyle name="Хороший 16" xfId="61187" xr:uid="{00000000-0005-0000-0000-0000A4EF0000}"/>
    <cellStyle name="Хороший 17" xfId="61188" xr:uid="{00000000-0005-0000-0000-0000A5EF0000}"/>
    <cellStyle name="Хороший 18" xfId="61189" xr:uid="{00000000-0005-0000-0000-0000A6EF0000}"/>
    <cellStyle name="Хороший 19" xfId="61190" xr:uid="{00000000-0005-0000-0000-0000A7EF0000}"/>
    <cellStyle name="Хороший 2" xfId="61191" xr:uid="{00000000-0005-0000-0000-0000A8EF0000}"/>
    <cellStyle name="Хороший 2 2" xfId="61192" xr:uid="{00000000-0005-0000-0000-0000A9EF0000}"/>
    <cellStyle name="Хороший 2 2 10" xfId="61193" xr:uid="{00000000-0005-0000-0000-0000AAEF0000}"/>
    <cellStyle name="Хороший 2 2 11" xfId="61194" xr:uid="{00000000-0005-0000-0000-0000ABEF0000}"/>
    <cellStyle name="Хороший 2 2 12" xfId="61195" xr:uid="{00000000-0005-0000-0000-0000ACEF0000}"/>
    <cellStyle name="Хороший 2 2 13" xfId="61196" xr:uid="{00000000-0005-0000-0000-0000ADEF0000}"/>
    <cellStyle name="Хороший 2 2 2" xfId="61197" xr:uid="{00000000-0005-0000-0000-0000AEEF0000}"/>
    <cellStyle name="Хороший 2 2 3" xfId="61198" xr:uid="{00000000-0005-0000-0000-0000AFEF0000}"/>
    <cellStyle name="Хороший 2 2 4" xfId="61199" xr:uid="{00000000-0005-0000-0000-0000B0EF0000}"/>
    <cellStyle name="Хороший 2 2 5" xfId="61200" xr:uid="{00000000-0005-0000-0000-0000B1EF0000}"/>
    <cellStyle name="Хороший 2 2 6" xfId="61201" xr:uid="{00000000-0005-0000-0000-0000B2EF0000}"/>
    <cellStyle name="Хороший 2 2 7" xfId="61202" xr:uid="{00000000-0005-0000-0000-0000B3EF0000}"/>
    <cellStyle name="Хороший 2 2 8" xfId="61203" xr:uid="{00000000-0005-0000-0000-0000B4EF0000}"/>
    <cellStyle name="Хороший 2 2 9" xfId="61204" xr:uid="{00000000-0005-0000-0000-0000B5EF0000}"/>
    <cellStyle name="Хороший 2 3" xfId="61205" xr:uid="{00000000-0005-0000-0000-0000B6EF0000}"/>
    <cellStyle name="Хороший 20" xfId="61206" xr:uid="{00000000-0005-0000-0000-0000B7EF0000}"/>
    <cellStyle name="Хороший 21" xfId="61207" xr:uid="{00000000-0005-0000-0000-0000B8EF0000}"/>
    <cellStyle name="Хороший 22" xfId="61208" xr:uid="{00000000-0005-0000-0000-0000B9EF0000}"/>
    <cellStyle name="Хороший 23" xfId="61209" xr:uid="{00000000-0005-0000-0000-0000BAEF0000}"/>
    <cellStyle name="Хороший 24" xfId="61210" xr:uid="{00000000-0005-0000-0000-0000BBEF0000}"/>
    <cellStyle name="Хороший 25" xfId="61211" xr:uid="{00000000-0005-0000-0000-0000BCEF0000}"/>
    <cellStyle name="Хороший 26" xfId="61212" xr:uid="{00000000-0005-0000-0000-0000BDEF0000}"/>
    <cellStyle name="Хороший 27" xfId="61213" xr:uid="{00000000-0005-0000-0000-0000BEEF0000}"/>
    <cellStyle name="Хороший 28" xfId="61214" xr:uid="{00000000-0005-0000-0000-0000BFEF0000}"/>
    <cellStyle name="Хороший 29" xfId="61215" xr:uid="{00000000-0005-0000-0000-0000C0EF0000}"/>
    <cellStyle name="Хороший 3" xfId="61216" xr:uid="{00000000-0005-0000-0000-0000C1EF0000}"/>
    <cellStyle name="Хороший 30" xfId="61217" xr:uid="{00000000-0005-0000-0000-0000C2EF0000}"/>
    <cellStyle name="Хороший 31" xfId="61218" xr:uid="{00000000-0005-0000-0000-0000C3EF0000}"/>
    <cellStyle name="Хороший 32" xfId="61219" xr:uid="{00000000-0005-0000-0000-0000C4EF0000}"/>
    <cellStyle name="Хороший 33" xfId="61220" xr:uid="{00000000-0005-0000-0000-0000C5EF0000}"/>
    <cellStyle name="Хороший 34" xfId="61221" xr:uid="{00000000-0005-0000-0000-0000C6EF0000}"/>
    <cellStyle name="Хороший 35" xfId="61222" xr:uid="{00000000-0005-0000-0000-0000C7EF0000}"/>
    <cellStyle name="Хороший 36" xfId="61223" xr:uid="{00000000-0005-0000-0000-0000C8EF0000}"/>
    <cellStyle name="Хороший 37" xfId="61224" xr:uid="{00000000-0005-0000-0000-0000C9EF0000}"/>
    <cellStyle name="Хороший 38" xfId="61225" xr:uid="{00000000-0005-0000-0000-0000CAEF0000}"/>
    <cellStyle name="Хороший 39" xfId="61226" xr:uid="{00000000-0005-0000-0000-0000CBEF0000}"/>
    <cellStyle name="Хороший 4" xfId="61227" xr:uid="{00000000-0005-0000-0000-0000CCEF0000}"/>
    <cellStyle name="Хороший 40" xfId="61228" xr:uid="{00000000-0005-0000-0000-0000CDEF0000}"/>
    <cellStyle name="Хороший 41" xfId="61229" xr:uid="{00000000-0005-0000-0000-0000CEEF0000}"/>
    <cellStyle name="Хороший 42" xfId="61230" xr:uid="{00000000-0005-0000-0000-0000CFEF0000}"/>
    <cellStyle name="Хороший 43" xfId="61231" xr:uid="{00000000-0005-0000-0000-0000D0EF0000}"/>
    <cellStyle name="Хороший 44" xfId="61232" xr:uid="{00000000-0005-0000-0000-0000D1EF0000}"/>
    <cellStyle name="Хороший 45" xfId="61233" xr:uid="{00000000-0005-0000-0000-0000D2EF0000}"/>
    <cellStyle name="Хороший 46" xfId="61234" xr:uid="{00000000-0005-0000-0000-0000D3EF0000}"/>
    <cellStyle name="Хороший 47" xfId="61235" xr:uid="{00000000-0005-0000-0000-0000D4EF0000}"/>
    <cellStyle name="Хороший 48" xfId="61236" xr:uid="{00000000-0005-0000-0000-0000D5EF0000}"/>
    <cellStyle name="Хороший 49" xfId="61237" xr:uid="{00000000-0005-0000-0000-0000D6EF0000}"/>
    <cellStyle name="Хороший 5" xfId="61238" xr:uid="{00000000-0005-0000-0000-0000D7EF0000}"/>
    <cellStyle name="Хороший 50" xfId="61239" xr:uid="{00000000-0005-0000-0000-0000D8EF0000}"/>
    <cellStyle name="Хороший 51" xfId="61240" xr:uid="{00000000-0005-0000-0000-0000D9EF0000}"/>
    <cellStyle name="Хороший 52" xfId="61241" xr:uid="{00000000-0005-0000-0000-0000DAEF0000}"/>
    <cellStyle name="Хороший 53" xfId="61242" xr:uid="{00000000-0005-0000-0000-0000DBEF0000}"/>
    <cellStyle name="Хороший 54" xfId="61243" xr:uid="{00000000-0005-0000-0000-0000DCEF0000}"/>
    <cellStyle name="Хороший 55" xfId="61244" xr:uid="{00000000-0005-0000-0000-0000DDEF0000}"/>
    <cellStyle name="Хороший 56" xfId="61245" xr:uid="{00000000-0005-0000-0000-0000DEEF0000}"/>
    <cellStyle name="Хороший 57" xfId="61246" xr:uid="{00000000-0005-0000-0000-0000DFEF0000}"/>
    <cellStyle name="Хороший 58" xfId="61247" xr:uid="{00000000-0005-0000-0000-0000E0EF0000}"/>
    <cellStyle name="Хороший 59" xfId="61248" xr:uid="{00000000-0005-0000-0000-0000E1EF0000}"/>
    <cellStyle name="Хороший 6" xfId="61249" xr:uid="{00000000-0005-0000-0000-0000E2EF0000}"/>
    <cellStyle name="Хороший 60" xfId="61250" xr:uid="{00000000-0005-0000-0000-0000E3EF0000}"/>
    <cellStyle name="Хороший 61" xfId="61251" xr:uid="{00000000-0005-0000-0000-0000E4EF0000}"/>
    <cellStyle name="Хороший 62" xfId="61252" xr:uid="{00000000-0005-0000-0000-0000E5EF0000}"/>
    <cellStyle name="Хороший 63" xfId="61253" xr:uid="{00000000-0005-0000-0000-0000E6EF0000}"/>
    <cellStyle name="Хороший 64" xfId="61254" xr:uid="{00000000-0005-0000-0000-0000E7EF0000}"/>
    <cellStyle name="Хороший 65" xfId="61255" xr:uid="{00000000-0005-0000-0000-0000E8EF0000}"/>
    <cellStyle name="Хороший 66" xfId="61256" xr:uid="{00000000-0005-0000-0000-0000E9EF0000}"/>
    <cellStyle name="Хороший 67" xfId="61257" xr:uid="{00000000-0005-0000-0000-0000EAEF0000}"/>
    <cellStyle name="Хороший 68" xfId="61258" xr:uid="{00000000-0005-0000-0000-0000EBEF0000}"/>
    <cellStyle name="Хороший 69" xfId="61259" xr:uid="{00000000-0005-0000-0000-0000ECEF0000}"/>
    <cellStyle name="Хороший 7" xfId="61260" xr:uid="{00000000-0005-0000-0000-0000EDEF0000}"/>
    <cellStyle name="Хороший 70" xfId="61261" xr:uid="{00000000-0005-0000-0000-0000EEEF0000}"/>
    <cellStyle name="Хороший 71" xfId="61262" xr:uid="{00000000-0005-0000-0000-0000EFEF0000}"/>
    <cellStyle name="Хороший 72" xfId="61263" xr:uid="{00000000-0005-0000-0000-0000F0EF0000}"/>
    <cellStyle name="Хороший 73" xfId="61264" xr:uid="{00000000-0005-0000-0000-0000F1EF0000}"/>
    <cellStyle name="Хороший 74" xfId="61265" xr:uid="{00000000-0005-0000-0000-0000F2EF0000}"/>
    <cellStyle name="Хороший 75" xfId="61266" xr:uid="{00000000-0005-0000-0000-0000F3EF0000}"/>
    <cellStyle name="Хороший 76" xfId="61267" xr:uid="{00000000-0005-0000-0000-0000F4EF0000}"/>
    <cellStyle name="Хороший 77" xfId="61268" xr:uid="{00000000-0005-0000-0000-0000F5EF0000}"/>
    <cellStyle name="Хороший 78" xfId="61269" xr:uid="{00000000-0005-0000-0000-0000F6EF0000}"/>
    <cellStyle name="Хороший 79" xfId="61270" xr:uid="{00000000-0005-0000-0000-0000F7EF0000}"/>
    <cellStyle name="Хороший 8" xfId="61271" xr:uid="{00000000-0005-0000-0000-0000F8EF0000}"/>
    <cellStyle name="Хороший 80" xfId="61272" xr:uid="{00000000-0005-0000-0000-0000F9EF0000}"/>
    <cellStyle name="Хороший 81" xfId="61273" xr:uid="{00000000-0005-0000-0000-0000FAEF0000}"/>
    <cellStyle name="Хороший 82" xfId="61274" xr:uid="{00000000-0005-0000-0000-0000FBEF0000}"/>
    <cellStyle name="Хороший 83" xfId="61275" xr:uid="{00000000-0005-0000-0000-0000FCEF0000}"/>
    <cellStyle name="Хороший 84" xfId="61276" xr:uid="{00000000-0005-0000-0000-0000FDEF0000}"/>
    <cellStyle name="Хороший 85" xfId="61277" xr:uid="{00000000-0005-0000-0000-0000FEEF0000}"/>
    <cellStyle name="Хороший 86" xfId="61278" xr:uid="{00000000-0005-0000-0000-0000FFEF0000}"/>
    <cellStyle name="Хороший 87" xfId="61279" xr:uid="{00000000-0005-0000-0000-000000F00000}"/>
    <cellStyle name="Хороший 88" xfId="61280" xr:uid="{00000000-0005-0000-0000-000001F00000}"/>
    <cellStyle name="Хороший 89" xfId="61281" xr:uid="{00000000-0005-0000-0000-000002F00000}"/>
    <cellStyle name="Хороший 9" xfId="61282" xr:uid="{00000000-0005-0000-0000-000003F00000}"/>
    <cellStyle name="Хороший 90" xfId="61283" xr:uid="{00000000-0005-0000-0000-000004F00000}"/>
    <cellStyle name="Хороший 91" xfId="61284" xr:uid="{00000000-0005-0000-0000-000005F00000}"/>
    <cellStyle name="Хороший 92" xfId="61285" xr:uid="{00000000-0005-0000-0000-000006F00000}"/>
    <cellStyle name="Хороший 93" xfId="61286" xr:uid="{00000000-0005-0000-0000-000007F00000}"/>
    <cellStyle name="Хороший 94" xfId="61287" xr:uid="{00000000-0005-0000-0000-000008F00000}"/>
    <cellStyle name="Хороший 95" xfId="61288" xr:uid="{00000000-0005-0000-0000-000009F00000}"/>
    <cellStyle name="Хороший 96" xfId="61289" xr:uid="{00000000-0005-0000-0000-00000AF00000}"/>
    <cellStyle name="Хороший 97" xfId="61290" xr:uid="{00000000-0005-0000-0000-00000BF00000}"/>
    <cellStyle name="Хороший 98" xfId="61291" xr:uid="{00000000-0005-0000-0000-00000CF00000}"/>
    <cellStyle name="Хороший 99" xfId="61292" xr:uid="{00000000-0005-0000-0000-00000DF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82;&#1083;&#1102;&#1095;%202023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6;&#1072;&#1079;&#1086;&#1074;&#1099;&#1077;%20&#1087;&#1086;&#1089;&#1077;&#1097;.%20&#1086;&#1073;&#1098;&#1077;&#1084;&#1099;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82;&#1083;&#1102;&#1095;%202023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5;&#1086;&#1089;&#1077;&#1097;&#1077;&#1085;&#1080;&#1103;%20&#1089;%20&#1076;&#1088;.&#1094;&#1077;&#1083;&#1103;&#1084;&#1080;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82;&#1083;&#1102;&#1095;%202023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5;&#1086;&#1089;&#1077;&#1097;&#1077;&#1085;&#1080;&#1103;%20&#1057;&#1052;&#105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5;&#1088;&#1086;&#1092;&#1080;&#1083;&#1072;&#1082;&#1090;&#1080;&#1082;&#1072;%20&#1080;%20&#1087;&#1086;&#1076;&#1091;&#1096;&#1077;&#1074;&#1082;&#1072;/&#1054;&#1073;&#1098;&#1077;&#1084;&#1099;%20&#1055;&#1088;&#1086;&#1092;&#1080;&#1083;&#1072;&#1082;&#1090;&#1080;&#1082;&#1072;%202023/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5;&#1088;&#1086;&#1092;&#1080;&#1083;&#1072;&#1082;&#1090;&#1080;&#1082;&#1072;%20&#1080;%20&#1087;&#1086;&#1076;&#1091;&#1096;&#1077;&#1074;&#1082;&#1072;/&#1054;&#1073;&#1098;&#1077;&#1084;&#1099;%20&#1055;&#1088;&#1086;&#1092;&#1080;&#1083;&#1072;&#1082;&#1090;&#1080;&#1082;&#1072;%202023/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82;&#1083;&#1102;&#1095;%202023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62;&#1077;&#1085;&#1090;&#1088;&#1099;%20&#1079;&#1076;&#1086;&#1088;&#1086;&#1074;&#1100;&#1103;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2;&#1056;%20&#1040;&#1055;&#1059;/&#1054;&#1073;&#1088;&#1072;&#1097;&#1077;&#1085;&#1080;&#1103;%20&#1052;&#105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82;&#1083;&#1102;&#1095;%202023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80;&#1089;&#1087;&#1072;&#1085;&#1089;&#1077;&#1088;&#1085;&#1086;&#1077;%20&#1085;&#1072;&#1073;&#1083;&#1102;&#1076;&#1077;&#1085;&#1080;&#1077;%20&#1057;&#1042;&#1054;&#104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ые посещени.Пр.20-22"/>
      <sheetName val="Разовые посещения Пр.3-23"/>
      <sheetName val="Откл.Пр.3-23-Пр.2-22"/>
      <sheetName val="Раз.пос.МЗ 16.02 без гем"/>
      <sheetName val="Откл.Пр.3-23-Пр.2-22 16.02"/>
      <sheetName val="Раз.пос.МЗ 16.02 Пр.3-23 с гем"/>
      <sheetName val="Откл.Пр.3-23-Пр.20-22 окончат"/>
      <sheetName val="Раз.пос.Пр.5-23"/>
      <sheetName val="Отклон.Пр.5-23-Пр.3-23"/>
      <sheetName val="Раз.пос.Пр.9-23"/>
      <sheetName val="Откл.Пр.9-23-Пр.5-23"/>
      <sheetName val="Раз.пос.Пр.11-23 "/>
      <sheetName val="Откл.Пр.11-23-Пр.9-23 "/>
      <sheetName val="Раз.пос.Пр.13-23  "/>
      <sheetName val="Откл.Пр.13-23-Пр.11-23  "/>
      <sheetName val="Раз.пос.Пр.15-23 "/>
      <sheetName val="Откл.Пр.15-23-Пр.133-23"/>
      <sheetName val="Раз.пос.Пр.16-23 "/>
      <sheetName val="Уточнение Пр.16-23"/>
      <sheetName val="Раз.пос.Пр.17-23  "/>
      <sheetName val="Уточнение Пр.17-23 "/>
      <sheetName val="Раз.пос.Пр.18-23   "/>
      <sheetName val="Уточнение Пр.18-23  "/>
      <sheetName val="Раз.пос.Пр.19-23    "/>
      <sheetName val="Уточнение Пр.19-23-Пр.18-23"/>
      <sheetName val="Раз.пос.Пр.1-24    "/>
      <sheetName val="Уточнение Пр.1-24-Пр.19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1">
          <cell r="E11">
            <v>0</v>
          </cell>
          <cell r="G11">
            <v>4597</v>
          </cell>
          <cell r="H11">
            <v>8413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E12">
            <v>0</v>
          </cell>
          <cell r="G12">
            <v>1379</v>
          </cell>
          <cell r="H12">
            <v>14502</v>
          </cell>
          <cell r="I12">
            <v>1025</v>
          </cell>
          <cell r="J12">
            <v>439</v>
          </cell>
          <cell r="L12">
            <v>0</v>
          </cell>
          <cell r="M12">
            <v>0</v>
          </cell>
          <cell r="N12">
            <v>0</v>
          </cell>
        </row>
        <row r="13">
          <cell r="E13">
            <v>0</v>
          </cell>
          <cell r="G13">
            <v>4908</v>
          </cell>
          <cell r="H13">
            <v>23659</v>
          </cell>
          <cell r="I13">
            <v>1025</v>
          </cell>
          <cell r="J13">
            <v>439</v>
          </cell>
          <cell r="L13">
            <v>0</v>
          </cell>
          <cell r="M13">
            <v>154</v>
          </cell>
          <cell r="N13">
            <v>0</v>
          </cell>
        </row>
        <row r="14">
          <cell r="E14">
            <v>0</v>
          </cell>
          <cell r="G14">
            <v>2914</v>
          </cell>
          <cell r="H14">
            <v>14877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E15">
            <v>0</v>
          </cell>
          <cell r="G15">
            <v>5190</v>
          </cell>
          <cell r="H15">
            <v>7221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E16">
            <v>0</v>
          </cell>
          <cell r="G16">
            <v>26349</v>
          </cell>
          <cell r="H16">
            <v>80104</v>
          </cell>
          <cell r="I16">
            <v>1025</v>
          </cell>
          <cell r="J16">
            <v>439</v>
          </cell>
          <cell r="L16">
            <v>0</v>
          </cell>
          <cell r="M16">
            <v>179</v>
          </cell>
          <cell r="N16">
            <v>0</v>
          </cell>
        </row>
        <row r="17">
          <cell r="E17">
            <v>0</v>
          </cell>
          <cell r="G17">
            <v>10188</v>
          </cell>
          <cell r="H17">
            <v>15005</v>
          </cell>
          <cell r="I17">
            <v>909</v>
          </cell>
          <cell r="J17">
            <v>389</v>
          </cell>
          <cell r="L17">
            <v>0</v>
          </cell>
          <cell r="M17">
            <v>277</v>
          </cell>
          <cell r="N17">
            <v>0</v>
          </cell>
        </row>
        <row r="18">
          <cell r="E18">
            <v>0</v>
          </cell>
          <cell r="G18">
            <v>5001</v>
          </cell>
          <cell r="H18">
            <v>10020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E19">
            <v>0</v>
          </cell>
          <cell r="G19">
            <v>6431</v>
          </cell>
          <cell r="H19">
            <v>7307</v>
          </cell>
          <cell r="I19">
            <v>1025</v>
          </cell>
          <cell r="J19">
            <v>439</v>
          </cell>
          <cell r="L19">
            <v>0</v>
          </cell>
          <cell r="M19">
            <v>0</v>
          </cell>
          <cell r="N19">
            <v>0</v>
          </cell>
        </row>
        <row r="20">
          <cell r="E20">
            <v>0</v>
          </cell>
          <cell r="G20">
            <v>5950</v>
          </cell>
          <cell r="H20">
            <v>11046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E21">
            <v>0</v>
          </cell>
          <cell r="G21">
            <v>2583</v>
          </cell>
          <cell r="H21">
            <v>5587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E22">
            <v>0</v>
          </cell>
          <cell r="G22">
            <v>2889</v>
          </cell>
          <cell r="H22">
            <v>23379</v>
          </cell>
          <cell r="I22">
            <v>1025</v>
          </cell>
          <cell r="J22">
            <v>439</v>
          </cell>
          <cell r="L22">
            <v>0</v>
          </cell>
          <cell r="M22">
            <v>0</v>
          </cell>
          <cell r="N22">
            <v>0</v>
          </cell>
        </row>
        <row r="23">
          <cell r="E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E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E25">
            <v>0</v>
          </cell>
          <cell r="G25">
            <v>1234</v>
          </cell>
          <cell r="H25">
            <v>13050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E26">
            <v>0</v>
          </cell>
          <cell r="G26">
            <v>8985</v>
          </cell>
          <cell r="H26">
            <v>18786</v>
          </cell>
          <cell r="I26">
            <v>1025</v>
          </cell>
          <cell r="J26">
            <v>439</v>
          </cell>
          <cell r="L26">
            <v>0</v>
          </cell>
          <cell r="M26">
            <v>0</v>
          </cell>
          <cell r="N26">
            <v>0</v>
          </cell>
        </row>
        <row r="27">
          <cell r="E27">
            <v>0</v>
          </cell>
          <cell r="G27">
            <v>7672</v>
          </cell>
          <cell r="H27">
            <v>30006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E28">
            <v>0</v>
          </cell>
          <cell r="G28">
            <v>14845</v>
          </cell>
          <cell r="H28">
            <v>26257</v>
          </cell>
          <cell r="I28">
            <v>1025</v>
          </cell>
          <cell r="J28">
            <v>439</v>
          </cell>
          <cell r="L28">
            <v>0</v>
          </cell>
          <cell r="M28">
            <v>272</v>
          </cell>
          <cell r="N28">
            <v>0</v>
          </cell>
        </row>
        <row r="29">
          <cell r="E29">
            <v>0</v>
          </cell>
          <cell r="G29">
            <v>2301</v>
          </cell>
          <cell r="H29">
            <v>11069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>
            <v>0</v>
          </cell>
          <cell r="G30">
            <v>1152</v>
          </cell>
          <cell r="H30">
            <v>6299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E31">
            <v>0</v>
          </cell>
          <cell r="G31">
            <v>11544</v>
          </cell>
          <cell r="H31">
            <v>30733</v>
          </cell>
          <cell r="I31">
            <v>1025</v>
          </cell>
          <cell r="J31">
            <v>439</v>
          </cell>
          <cell r="L31">
            <v>0</v>
          </cell>
          <cell r="M31">
            <v>0</v>
          </cell>
          <cell r="N31">
            <v>0</v>
          </cell>
        </row>
        <row r="32">
          <cell r="E32">
            <v>0</v>
          </cell>
          <cell r="G32">
            <v>10111</v>
          </cell>
          <cell r="H32">
            <v>37855</v>
          </cell>
          <cell r="I32">
            <v>1025</v>
          </cell>
          <cell r="J32">
            <v>439</v>
          </cell>
          <cell r="L32">
            <v>0</v>
          </cell>
          <cell r="M32">
            <v>625</v>
          </cell>
          <cell r="N32">
            <v>0</v>
          </cell>
        </row>
        <row r="33">
          <cell r="E33">
            <v>0</v>
          </cell>
          <cell r="G33">
            <v>8028</v>
          </cell>
          <cell r="H33">
            <v>6801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E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E36">
            <v>0</v>
          </cell>
          <cell r="G36">
            <v>40240</v>
          </cell>
          <cell r="H36">
            <v>29486</v>
          </cell>
          <cell r="I36">
            <v>2120</v>
          </cell>
          <cell r="J36">
            <v>987</v>
          </cell>
          <cell r="L36">
            <v>0</v>
          </cell>
          <cell r="M36">
            <v>944</v>
          </cell>
          <cell r="N36">
            <v>0</v>
          </cell>
        </row>
        <row r="37">
          <cell r="E37">
            <v>0</v>
          </cell>
          <cell r="G37">
            <v>12849</v>
          </cell>
          <cell r="H37">
            <v>11858</v>
          </cell>
          <cell r="I37">
            <v>689</v>
          </cell>
          <cell r="J37">
            <v>217</v>
          </cell>
          <cell r="L37">
            <v>0</v>
          </cell>
          <cell r="M37">
            <v>1649</v>
          </cell>
          <cell r="N37">
            <v>0</v>
          </cell>
        </row>
        <row r="38">
          <cell r="E38">
            <v>0</v>
          </cell>
          <cell r="G38">
            <v>2180</v>
          </cell>
          <cell r="H38">
            <v>38490</v>
          </cell>
          <cell r="I38">
            <v>0</v>
          </cell>
          <cell r="J38">
            <v>0</v>
          </cell>
          <cell r="L38">
            <v>0</v>
          </cell>
          <cell r="M38">
            <v>2443</v>
          </cell>
          <cell r="N38">
            <v>0</v>
          </cell>
        </row>
        <row r="39">
          <cell r="E39">
            <v>10270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E41">
            <v>0</v>
          </cell>
          <cell r="G41">
            <v>458</v>
          </cell>
          <cell r="H41">
            <v>4735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E42">
            <v>0</v>
          </cell>
          <cell r="G42">
            <v>17483</v>
          </cell>
          <cell r="H42">
            <v>28550</v>
          </cell>
          <cell r="I42">
            <v>1025</v>
          </cell>
          <cell r="J42">
            <v>439</v>
          </cell>
          <cell r="L42">
            <v>0</v>
          </cell>
          <cell r="M42">
            <v>948</v>
          </cell>
          <cell r="N42">
            <v>0</v>
          </cell>
        </row>
        <row r="43">
          <cell r="E43">
            <v>0</v>
          </cell>
          <cell r="G43">
            <v>21949</v>
          </cell>
          <cell r="H43">
            <v>54505</v>
          </cell>
          <cell r="I43">
            <v>1025</v>
          </cell>
          <cell r="J43">
            <v>439</v>
          </cell>
          <cell r="L43">
            <v>0</v>
          </cell>
          <cell r="M43">
            <v>297</v>
          </cell>
          <cell r="N43">
            <v>0</v>
          </cell>
        </row>
        <row r="44">
          <cell r="E44">
            <v>0</v>
          </cell>
          <cell r="G44">
            <v>1629</v>
          </cell>
          <cell r="H44">
            <v>11208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E45">
            <v>0</v>
          </cell>
          <cell r="G45">
            <v>14413</v>
          </cell>
          <cell r="H45">
            <v>25934</v>
          </cell>
          <cell r="I45">
            <v>193</v>
          </cell>
          <cell r="J45">
            <v>82</v>
          </cell>
          <cell r="L45">
            <v>0</v>
          </cell>
          <cell r="M45">
            <v>0</v>
          </cell>
          <cell r="N45">
            <v>0</v>
          </cell>
        </row>
        <row r="46">
          <cell r="E46">
            <v>0</v>
          </cell>
          <cell r="G46">
            <v>3269</v>
          </cell>
          <cell r="H46">
            <v>20017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E47">
            <v>0</v>
          </cell>
          <cell r="G47">
            <v>12286</v>
          </cell>
          <cell r="H47">
            <v>52032</v>
          </cell>
          <cell r="I47">
            <v>1025</v>
          </cell>
          <cell r="J47">
            <v>439</v>
          </cell>
          <cell r="L47">
            <v>0</v>
          </cell>
          <cell r="M47">
            <v>0</v>
          </cell>
          <cell r="N47">
            <v>0</v>
          </cell>
        </row>
        <row r="48">
          <cell r="E48">
            <v>0</v>
          </cell>
          <cell r="G48">
            <v>4353</v>
          </cell>
          <cell r="H48">
            <v>7368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E49">
            <v>0</v>
          </cell>
          <cell r="G49">
            <v>924</v>
          </cell>
          <cell r="H49">
            <v>8128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E50">
            <v>0</v>
          </cell>
          <cell r="G50">
            <v>1963</v>
          </cell>
          <cell r="H50">
            <v>15650</v>
          </cell>
          <cell r="I50">
            <v>73</v>
          </cell>
          <cell r="J50">
            <v>31</v>
          </cell>
          <cell r="L50">
            <v>0</v>
          </cell>
          <cell r="M50">
            <v>0</v>
          </cell>
          <cell r="N50">
            <v>0</v>
          </cell>
        </row>
        <row r="51">
          <cell r="E51">
            <v>0</v>
          </cell>
          <cell r="G51">
            <v>1576</v>
          </cell>
          <cell r="H51">
            <v>6052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E52">
            <v>0</v>
          </cell>
          <cell r="G52">
            <v>222</v>
          </cell>
          <cell r="H52">
            <v>9040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E53">
            <v>0</v>
          </cell>
          <cell r="G53">
            <v>9828</v>
          </cell>
          <cell r="H53">
            <v>57448</v>
          </cell>
          <cell r="I53">
            <v>978</v>
          </cell>
          <cell r="J53">
            <v>419</v>
          </cell>
          <cell r="L53">
            <v>0</v>
          </cell>
          <cell r="M53">
            <v>1984</v>
          </cell>
          <cell r="N53">
            <v>0</v>
          </cell>
        </row>
        <row r="54">
          <cell r="E54">
            <v>0</v>
          </cell>
          <cell r="G54">
            <v>1413</v>
          </cell>
          <cell r="H54">
            <v>15043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E55">
            <v>0</v>
          </cell>
          <cell r="G55">
            <v>13818</v>
          </cell>
          <cell r="H55">
            <v>56183</v>
          </cell>
          <cell r="I55">
            <v>1025</v>
          </cell>
          <cell r="J55">
            <v>439</v>
          </cell>
          <cell r="L55">
            <v>0</v>
          </cell>
          <cell r="M55">
            <v>44</v>
          </cell>
          <cell r="N55">
            <v>0</v>
          </cell>
        </row>
        <row r="56">
          <cell r="E56">
            <v>0</v>
          </cell>
          <cell r="G56">
            <v>1684</v>
          </cell>
          <cell r="H56">
            <v>10084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E57">
            <v>0</v>
          </cell>
          <cell r="G57">
            <v>7037</v>
          </cell>
          <cell r="H57">
            <v>7453</v>
          </cell>
          <cell r="I57">
            <v>116</v>
          </cell>
          <cell r="J57">
            <v>50</v>
          </cell>
          <cell r="L57">
            <v>0</v>
          </cell>
          <cell r="M57">
            <v>0</v>
          </cell>
          <cell r="N57">
            <v>0</v>
          </cell>
        </row>
        <row r="58">
          <cell r="E58">
            <v>0</v>
          </cell>
          <cell r="G58">
            <v>6242</v>
          </cell>
          <cell r="H58">
            <v>29074</v>
          </cell>
          <cell r="I58">
            <v>1025</v>
          </cell>
          <cell r="J58">
            <v>439</v>
          </cell>
          <cell r="L58">
            <v>0</v>
          </cell>
          <cell r="M58">
            <v>0</v>
          </cell>
          <cell r="N58">
            <v>0</v>
          </cell>
        </row>
        <row r="59">
          <cell r="E59">
            <v>0</v>
          </cell>
          <cell r="G59">
            <v>809</v>
          </cell>
          <cell r="H59">
            <v>3257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E60">
            <v>0</v>
          </cell>
          <cell r="G60">
            <v>2138</v>
          </cell>
          <cell r="H60">
            <v>12298</v>
          </cell>
          <cell r="I60">
            <v>1025</v>
          </cell>
          <cell r="J60">
            <v>439</v>
          </cell>
          <cell r="L60">
            <v>0</v>
          </cell>
          <cell r="M60">
            <v>0</v>
          </cell>
          <cell r="N60">
            <v>0</v>
          </cell>
        </row>
        <row r="61">
          <cell r="E61">
            <v>0</v>
          </cell>
          <cell r="G61">
            <v>2344</v>
          </cell>
          <cell r="H61">
            <v>13755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E62">
            <v>0</v>
          </cell>
          <cell r="G62">
            <v>25213</v>
          </cell>
          <cell r="H62">
            <v>72259</v>
          </cell>
          <cell r="I62">
            <v>1025</v>
          </cell>
          <cell r="J62">
            <v>439</v>
          </cell>
          <cell r="L62">
            <v>0</v>
          </cell>
          <cell r="M62">
            <v>896</v>
          </cell>
          <cell r="N62">
            <v>0</v>
          </cell>
        </row>
        <row r="63">
          <cell r="E63">
            <v>0</v>
          </cell>
          <cell r="G63">
            <v>2882</v>
          </cell>
          <cell r="H63">
            <v>4590</v>
          </cell>
          <cell r="I63">
            <v>47</v>
          </cell>
          <cell r="J63">
            <v>20</v>
          </cell>
          <cell r="L63">
            <v>0</v>
          </cell>
          <cell r="M63">
            <v>0</v>
          </cell>
          <cell r="N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E67">
            <v>0</v>
          </cell>
          <cell r="G67">
            <v>3000</v>
          </cell>
          <cell r="H67">
            <v>56425</v>
          </cell>
          <cell r="I67">
            <v>0</v>
          </cell>
          <cell r="J67">
            <v>0</v>
          </cell>
          <cell r="L67">
            <v>0</v>
          </cell>
          <cell r="M67">
            <v>1785</v>
          </cell>
          <cell r="N67">
            <v>0</v>
          </cell>
        </row>
        <row r="68">
          <cell r="E68">
            <v>0</v>
          </cell>
          <cell r="G68">
            <v>1360</v>
          </cell>
          <cell r="H68">
            <v>53035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E69">
            <v>0</v>
          </cell>
          <cell r="G69">
            <v>8400</v>
          </cell>
          <cell r="H69">
            <v>63464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E70">
            <v>0</v>
          </cell>
          <cell r="G70">
            <v>14524</v>
          </cell>
          <cell r="H70">
            <v>66011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E71">
            <v>0</v>
          </cell>
          <cell r="G71">
            <v>4635</v>
          </cell>
          <cell r="H71">
            <v>39782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E72">
            <v>39732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E73">
            <v>16383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E74">
            <v>0</v>
          </cell>
          <cell r="G74">
            <v>14749</v>
          </cell>
          <cell r="H74">
            <v>34089</v>
          </cell>
          <cell r="I74">
            <v>1025</v>
          </cell>
          <cell r="J74">
            <v>439</v>
          </cell>
          <cell r="L74">
            <v>0</v>
          </cell>
          <cell r="M74">
            <v>0</v>
          </cell>
          <cell r="N74">
            <v>0</v>
          </cell>
        </row>
        <row r="75">
          <cell r="E75">
            <v>0</v>
          </cell>
          <cell r="G75">
            <v>2998</v>
          </cell>
          <cell r="H75">
            <v>5416</v>
          </cell>
          <cell r="I75">
            <v>1025</v>
          </cell>
          <cell r="J75">
            <v>439</v>
          </cell>
          <cell r="L75">
            <v>0</v>
          </cell>
          <cell r="M75">
            <v>0</v>
          </cell>
          <cell r="N75">
            <v>0</v>
          </cell>
        </row>
        <row r="76">
          <cell r="E76">
            <v>0</v>
          </cell>
          <cell r="G76">
            <v>16593</v>
          </cell>
          <cell r="H76">
            <v>16449</v>
          </cell>
          <cell r="I76">
            <v>1025</v>
          </cell>
          <cell r="J76">
            <v>439</v>
          </cell>
          <cell r="L76">
            <v>0</v>
          </cell>
          <cell r="M76">
            <v>0</v>
          </cell>
          <cell r="N76">
            <v>0</v>
          </cell>
        </row>
        <row r="77">
          <cell r="E77">
            <v>1989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E78">
            <v>3730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E79">
            <v>3503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E80">
            <v>2599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E81">
            <v>16591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E82">
            <v>3405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E83">
            <v>6786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E84">
            <v>0</v>
          </cell>
          <cell r="G84">
            <v>8821</v>
          </cell>
          <cell r="H84">
            <v>47654</v>
          </cell>
          <cell r="I84">
            <v>127</v>
          </cell>
          <cell r="J84">
            <v>55</v>
          </cell>
          <cell r="L84">
            <v>0</v>
          </cell>
          <cell r="M84">
            <v>0</v>
          </cell>
          <cell r="N84">
            <v>0</v>
          </cell>
        </row>
        <row r="85">
          <cell r="E85">
            <v>0</v>
          </cell>
          <cell r="G85">
            <v>31723</v>
          </cell>
          <cell r="H85">
            <v>27054</v>
          </cell>
          <cell r="I85">
            <v>3075</v>
          </cell>
          <cell r="J85">
            <v>1317</v>
          </cell>
          <cell r="L85">
            <v>0</v>
          </cell>
          <cell r="M85">
            <v>2474</v>
          </cell>
          <cell r="N85">
            <v>0</v>
          </cell>
        </row>
        <row r="86">
          <cell r="E86">
            <v>0</v>
          </cell>
          <cell r="G86">
            <v>12617</v>
          </cell>
          <cell r="H86">
            <v>15205</v>
          </cell>
          <cell r="I86">
            <v>1025</v>
          </cell>
          <cell r="J86">
            <v>439</v>
          </cell>
          <cell r="L86">
            <v>0</v>
          </cell>
          <cell r="M86">
            <v>0</v>
          </cell>
          <cell r="N86">
            <v>0</v>
          </cell>
        </row>
        <row r="87">
          <cell r="E87">
            <v>0</v>
          </cell>
          <cell r="G87">
            <v>3120</v>
          </cell>
          <cell r="H87">
            <v>9068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E88">
            <v>0</v>
          </cell>
          <cell r="G88">
            <v>28969</v>
          </cell>
          <cell r="H88">
            <v>18544</v>
          </cell>
          <cell r="I88">
            <v>2050</v>
          </cell>
          <cell r="J88">
            <v>878</v>
          </cell>
          <cell r="L88">
            <v>4818</v>
          </cell>
          <cell r="M88">
            <v>9731</v>
          </cell>
          <cell r="N88">
            <v>0</v>
          </cell>
        </row>
        <row r="89">
          <cell r="E89">
            <v>0</v>
          </cell>
          <cell r="G89">
            <v>3970</v>
          </cell>
          <cell r="H89">
            <v>56430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E90">
            <v>0</v>
          </cell>
          <cell r="G90">
            <v>15837</v>
          </cell>
          <cell r="H90">
            <v>8907</v>
          </cell>
          <cell r="I90">
            <v>0</v>
          </cell>
          <cell r="J90">
            <v>0</v>
          </cell>
          <cell r="L90">
            <v>0</v>
          </cell>
          <cell r="M90">
            <v>3000</v>
          </cell>
          <cell r="N90">
            <v>0</v>
          </cell>
        </row>
        <row r="91">
          <cell r="E91">
            <v>14229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E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E93">
            <v>0</v>
          </cell>
          <cell r="G93">
            <v>1265</v>
          </cell>
          <cell r="H93">
            <v>3575</v>
          </cell>
          <cell r="I93">
            <v>0</v>
          </cell>
          <cell r="J93">
            <v>0</v>
          </cell>
          <cell r="L93">
            <v>0</v>
          </cell>
          <cell r="M93">
            <v>6536</v>
          </cell>
          <cell r="N93">
            <v>0</v>
          </cell>
        </row>
        <row r="94">
          <cell r="E94">
            <v>3600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E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8000</v>
          </cell>
        </row>
        <row r="96">
          <cell r="E96">
            <v>8400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E97">
            <v>0</v>
          </cell>
          <cell r="G97">
            <v>1650</v>
          </cell>
          <cell r="H97">
            <v>3963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E98">
            <v>0</v>
          </cell>
          <cell r="G98">
            <v>3397</v>
          </cell>
          <cell r="H98">
            <v>8116</v>
          </cell>
          <cell r="I98">
            <v>1026</v>
          </cell>
          <cell r="J98">
            <v>439</v>
          </cell>
          <cell r="L98">
            <v>0</v>
          </cell>
          <cell r="M98">
            <v>0</v>
          </cell>
          <cell r="N98">
            <v>0</v>
          </cell>
        </row>
        <row r="99">
          <cell r="E99">
            <v>0</v>
          </cell>
          <cell r="G99">
            <v>2740</v>
          </cell>
          <cell r="H99">
            <v>10823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E100">
            <v>0</v>
          </cell>
          <cell r="G100">
            <v>1519</v>
          </cell>
          <cell r="H100">
            <v>10164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E101">
            <v>0</v>
          </cell>
          <cell r="G101">
            <v>11680</v>
          </cell>
          <cell r="H101">
            <v>20327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E102">
            <v>0</v>
          </cell>
          <cell r="G102">
            <v>2361</v>
          </cell>
          <cell r="H102">
            <v>6979</v>
          </cell>
          <cell r="I102">
            <v>1025</v>
          </cell>
          <cell r="J102">
            <v>439</v>
          </cell>
          <cell r="L102">
            <v>0</v>
          </cell>
          <cell r="M102">
            <v>0</v>
          </cell>
          <cell r="N102">
            <v>0</v>
          </cell>
        </row>
        <row r="103">
          <cell r="E103">
            <v>0</v>
          </cell>
          <cell r="G103">
            <v>5156</v>
          </cell>
          <cell r="H103">
            <v>11969</v>
          </cell>
          <cell r="I103">
            <v>1025</v>
          </cell>
          <cell r="J103">
            <v>439</v>
          </cell>
          <cell r="L103">
            <v>0</v>
          </cell>
          <cell r="M103">
            <v>0</v>
          </cell>
          <cell r="N103">
            <v>0</v>
          </cell>
        </row>
        <row r="104">
          <cell r="E104">
            <v>0</v>
          </cell>
          <cell r="G104">
            <v>2868</v>
          </cell>
          <cell r="H104">
            <v>40997</v>
          </cell>
          <cell r="I104">
            <v>0</v>
          </cell>
          <cell r="J104">
            <v>0</v>
          </cell>
          <cell r="L104">
            <v>0</v>
          </cell>
          <cell r="M104">
            <v>33</v>
          </cell>
          <cell r="N104">
            <v>0</v>
          </cell>
        </row>
        <row r="105">
          <cell r="E105">
            <v>0</v>
          </cell>
          <cell r="G105">
            <v>9596</v>
          </cell>
          <cell r="H105">
            <v>23546</v>
          </cell>
          <cell r="I105">
            <v>0</v>
          </cell>
          <cell r="J105">
            <v>0</v>
          </cell>
          <cell r="L105">
            <v>0</v>
          </cell>
          <cell r="M105">
            <v>28</v>
          </cell>
          <cell r="N105">
            <v>0</v>
          </cell>
        </row>
        <row r="106">
          <cell r="E106">
            <v>0</v>
          </cell>
          <cell r="G106">
            <v>1074</v>
          </cell>
          <cell r="H106">
            <v>8651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E107">
            <v>0</v>
          </cell>
          <cell r="G107">
            <v>4197</v>
          </cell>
          <cell r="H107">
            <v>5315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E108">
            <v>0</v>
          </cell>
          <cell r="G108">
            <v>6005</v>
          </cell>
          <cell r="H108">
            <v>8923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E109">
            <v>0</v>
          </cell>
          <cell r="G109">
            <v>4735</v>
          </cell>
          <cell r="H109">
            <v>6285</v>
          </cell>
          <cell r="I109">
            <v>1025</v>
          </cell>
          <cell r="J109">
            <v>439</v>
          </cell>
          <cell r="L109">
            <v>0</v>
          </cell>
          <cell r="M109">
            <v>508</v>
          </cell>
          <cell r="N109">
            <v>0</v>
          </cell>
        </row>
        <row r="110">
          <cell r="E110">
            <v>0</v>
          </cell>
          <cell r="G110">
            <v>5558</v>
          </cell>
          <cell r="H110">
            <v>5937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E111">
            <v>0</v>
          </cell>
          <cell r="G111">
            <v>3078</v>
          </cell>
          <cell r="H111">
            <v>12845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E112">
            <v>0</v>
          </cell>
          <cell r="G112">
            <v>7889</v>
          </cell>
          <cell r="H112">
            <v>21645</v>
          </cell>
          <cell r="I112">
            <v>0</v>
          </cell>
          <cell r="J112">
            <v>0</v>
          </cell>
          <cell r="L112">
            <v>0</v>
          </cell>
          <cell r="M112">
            <v>130</v>
          </cell>
          <cell r="N112">
            <v>0</v>
          </cell>
        </row>
        <row r="113">
          <cell r="E113">
            <v>0</v>
          </cell>
          <cell r="G113">
            <v>1521</v>
          </cell>
          <cell r="H113">
            <v>15404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7964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E116">
            <v>1138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E121">
            <v>29246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E123">
            <v>130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E131">
            <v>1383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E133">
            <v>9742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M135">
            <v>223231</v>
          </cell>
          <cell r="N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180470</v>
          </cell>
          <cell r="N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90000</v>
          </cell>
          <cell r="N137">
            <v>300</v>
          </cell>
        </row>
        <row r="138">
          <cell r="E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108092</v>
          </cell>
          <cell r="N138">
            <v>0</v>
          </cell>
        </row>
        <row r="139">
          <cell r="E139">
            <v>10365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M139">
            <v>65356</v>
          </cell>
          <cell r="N139">
            <v>0</v>
          </cell>
        </row>
        <row r="140">
          <cell r="E140">
            <v>27644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9000</v>
          </cell>
          <cell r="N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78000</v>
          </cell>
          <cell r="N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182</v>
          </cell>
          <cell r="N142">
            <v>0</v>
          </cell>
        </row>
        <row r="143">
          <cell r="E143">
            <v>0</v>
          </cell>
          <cell r="G143">
            <v>0</v>
          </cell>
          <cell r="H143">
            <v>0</v>
          </cell>
          <cell r="I143">
            <v>3218</v>
          </cell>
          <cell r="J143">
            <v>1664</v>
          </cell>
          <cell r="L143">
            <v>0</v>
          </cell>
          <cell r="M143">
            <v>53000</v>
          </cell>
          <cell r="N143">
            <v>0</v>
          </cell>
        </row>
        <row r="144">
          <cell r="E144">
            <v>0</v>
          </cell>
          <cell r="G144">
            <v>6883</v>
          </cell>
          <cell r="H144">
            <v>4832</v>
          </cell>
          <cell r="I144">
            <v>0</v>
          </cell>
          <cell r="J144">
            <v>0</v>
          </cell>
          <cell r="L144">
            <v>0</v>
          </cell>
          <cell r="M144">
            <v>1777</v>
          </cell>
          <cell r="N144">
            <v>0</v>
          </cell>
        </row>
        <row r="145">
          <cell r="E145">
            <v>0</v>
          </cell>
          <cell r="G145">
            <v>14997</v>
          </cell>
          <cell r="H145">
            <v>41849</v>
          </cell>
          <cell r="I145">
            <v>230</v>
          </cell>
          <cell r="J145">
            <v>98</v>
          </cell>
          <cell r="L145">
            <v>0</v>
          </cell>
          <cell r="M145">
            <v>4363</v>
          </cell>
          <cell r="N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3</v>
          </cell>
          <cell r="M146">
            <v>3000</v>
          </cell>
          <cell r="N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14805</v>
          </cell>
          <cell r="N147">
            <v>0</v>
          </cell>
        </row>
        <row r="148">
          <cell r="E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E149">
            <v>0</v>
          </cell>
          <cell r="L149">
            <v>0</v>
          </cell>
          <cell r="N149">
            <v>0</v>
          </cell>
        </row>
        <row r="150">
          <cell r="E150">
            <v>0</v>
          </cell>
          <cell r="L150">
            <v>0</v>
          </cell>
          <cell r="N150">
            <v>0</v>
          </cell>
        </row>
        <row r="151">
          <cell r="E151">
            <v>0</v>
          </cell>
          <cell r="L151">
            <v>0</v>
          </cell>
          <cell r="N151">
            <v>0</v>
          </cell>
        </row>
        <row r="152">
          <cell r="E152">
            <v>0</v>
          </cell>
          <cell r="L152">
            <v>0</v>
          </cell>
          <cell r="N152">
            <v>0</v>
          </cell>
        </row>
      </sheetData>
      <sheetData sheetId="24" refreshError="1"/>
      <sheetData sheetId="25"/>
      <sheetData sheetId="26">
        <row r="11">
          <cell r="E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</row>
        <row r="12">
          <cell r="E12">
            <v>0</v>
          </cell>
          <cell r="G12">
            <v>0</v>
          </cell>
          <cell r="H12">
            <v>-267</v>
          </cell>
          <cell r="I12">
            <v>24</v>
          </cell>
          <cell r="J12">
            <v>53</v>
          </cell>
          <cell r="M12">
            <v>0</v>
          </cell>
        </row>
        <row r="13">
          <cell r="E13">
            <v>0</v>
          </cell>
          <cell r="G13">
            <v>0</v>
          </cell>
          <cell r="H13">
            <v>0</v>
          </cell>
          <cell r="I13">
            <v>-115</v>
          </cell>
          <cell r="J13">
            <v>-112</v>
          </cell>
          <cell r="M13">
            <v>-153</v>
          </cell>
        </row>
        <row r="14">
          <cell r="E14">
            <v>0</v>
          </cell>
          <cell r="G14">
            <v>0</v>
          </cell>
          <cell r="H14">
            <v>-52</v>
          </cell>
          <cell r="I14">
            <v>0</v>
          </cell>
          <cell r="J14">
            <v>0</v>
          </cell>
          <cell r="M14">
            <v>0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</row>
        <row r="16">
          <cell r="E16">
            <v>0</v>
          </cell>
          <cell r="G16">
            <v>934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</row>
        <row r="17">
          <cell r="E17">
            <v>0</v>
          </cell>
          <cell r="G17">
            <v>1115</v>
          </cell>
          <cell r="H17">
            <v>0</v>
          </cell>
          <cell r="I17">
            <v>64</v>
          </cell>
          <cell r="J17">
            <v>124</v>
          </cell>
          <cell r="M17">
            <v>0</v>
          </cell>
        </row>
        <row r="18">
          <cell r="E18">
            <v>0</v>
          </cell>
          <cell r="G18">
            <v>-1464</v>
          </cell>
          <cell r="H18">
            <v>-269</v>
          </cell>
          <cell r="I18">
            <v>0</v>
          </cell>
          <cell r="J18">
            <v>0</v>
          </cell>
          <cell r="M18">
            <v>0</v>
          </cell>
        </row>
        <row r="19">
          <cell r="E19">
            <v>0</v>
          </cell>
          <cell r="G19">
            <v>-835</v>
          </cell>
          <cell r="H19">
            <v>0</v>
          </cell>
          <cell r="I19">
            <v>0</v>
          </cell>
          <cell r="J19">
            <v>-210</v>
          </cell>
          <cell r="M19">
            <v>0</v>
          </cell>
        </row>
        <row r="20">
          <cell r="E20">
            <v>0</v>
          </cell>
          <cell r="G20">
            <v>1615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</row>
        <row r="21">
          <cell r="E21">
            <v>0</v>
          </cell>
          <cell r="G21">
            <v>1424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</row>
        <row r="22">
          <cell r="E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</row>
        <row r="23">
          <cell r="E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</row>
        <row r="24">
          <cell r="E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</row>
        <row r="25">
          <cell r="E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</row>
        <row r="26">
          <cell r="E26">
            <v>0</v>
          </cell>
          <cell r="G26">
            <v>0</v>
          </cell>
          <cell r="H26">
            <v>0</v>
          </cell>
          <cell r="I26">
            <v>-68</v>
          </cell>
          <cell r="J26">
            <v>3</v>
          </cell>
          <cell r="M26">
            <v>0</v>
          </cell>
        </row>
        <row r="27">
          <cell r="E27">
            <v>0</v>
          </cell>
          <cell r="G27">
            <v>739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</row>
        <row r="28">
          <cell r="E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37</v>
          </cell>
        </row>
        <row r="29">
          <cell r="E29">
            <v>0</v>
          </cell>
          <cell r="G29">
            <v>0</v>
          </cell>
          <cell r="H29">
            <v>-445</v>
          </cell>
          <cell r="I29">
            <v>0</v>
          </cell>
          <cell r="J29">
            <v>0</v>
          </cell>
          <cell r="M29">
            <v>0</v>
          </cell>
        </row>
        <row r="30">
          <cell r="E30">
            <v>0</v>
          </cell>
          <cell r="G30">
            <v>0</v>
          </cell>
          <cell r="H30">
            <v>-34</v>
          </cell>
          <cell r="I30">
            <v>0</v>
          </cell>
          <cell r="J30">
            <v>0</v>
          </cell>
          <cell r="M30">
            <v>0</v>
          </cell>
        </row>
        <row r="31">
          <cell r="E31">
            <v>0</v>
          </cell>
          <cell r="G31">
            <v>0</v>
          </cell>
          <cell r="H31">
            <v>0</v>
          </cell>
          <cell r="I31">
            <v>-1</v>
          </cell>
          <cell r="J31">
            <v>4</v>
          </cell>
          <cell r="M31">
            <v>0</v>
          </cell>
        </row>
        <row r="32">
          <cell r="E32">
            <v>0</v>
          </cell>
          <cell r="G32">
            <v>901</v>
          </cell>
          <cell r="H32">
            <v>0</v>
          </cell>
          <cell r="I32">
            <v>0</v>
          </cell>
          <cell r="J32">
            <v>4</v>
          </cell>
          <cell r="M32">
            <v>0</v>
          </cell>
        </row>
        <row r="33"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</row>
        <row r="35">
          <cell r="E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E36">
            <v>0</v>
          </cell>
          <cell r="G36">
            <v>0</v>
          </cell>
          <cell r="H36">
            <v>6526</v>
          </cell>
          <cell r="I36">
            <v>0</v>
          </cell>
          <cell r="J36">
            <v>-43</v>
          </cell>
          <cell r="M36">
            <v>875</v>
          </cell>
        </row>
        <row r="37">
          <cell r="E37">
            <v>0</v>
          </cell>
          <cell r="G37">
            <v>-1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</row>
        <row r="38">
          <cell r="E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-281</v>
          </cell>
        </row>
        <row r="39">
          <cell r="E39">
            <v>516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</row>
        <row r="40"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</row>
        <row r="41">
          <cell r="E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</row>
        <row r="42">
          <cell r="E42">
            <v>0</v>
          </cell>
          <cell r="G42">
            <v>-3317</v>
          </cell>
          <cell r="H42">
            <v>0</v>
          </cell>
          <cell r="I42">
            <v>0</v>
          </cell>
          <cell r="J42">
            <v>68</v>
          </cell>
          <cell r="M42">
            <v>-929</v>
          </cell>
        </row>
        <row r="43">
          <cell r="E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3</v>
          </cell>
        </row>
        <row r="44">
          <cell r="E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</row>
        <row r="45">
          <cell r="E45">
            <v>0</v>
          </cell>
          <cell r="G45">
            <v>0</v>
          </cell>
          <cell r="H45">
            <v>0</v>
          </cell>
          <cell r="I45">
            <v>-111</v>
          </cell>
          <cell r="J45">
            <v>-82</v>
          </cell>
          <cell r="M45">
            <v>0</v>
          </cell>
        </row>
        <row r="46"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M46">
            <v>0</v>
          </cell>
        </row>
        <row r="47"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</row>
        <row r="48">
          <cell r="E48">
            <v>0</v>
          </cell>
          <cell r="G48">
            <v>-811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</row>
        <row r="49">
          <cell r="E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M49">
            <v>0</v>
          </cell>
        </row>
        <row r="50">
          <cell r="E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</row>
        <row r="51">
          <cell r="E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M51">
            <v>0</v>
          </cell>
        </row>
        <row r="52">
          <cell r="E52">
            <v>0</v>
          </cell>
          <cell r="G52">
            <v>0</v>
          </cell>
          <cell r="H52">
            <v>-2</v>
          </cell>
          <cell r="I52">
            <v>0</v>
          </cell>
          <cell r="J52">
            <v>0</v>
          </cell>
          <cell r="M52">
            <v>0</v>
          </cell>
        </row>
        <row r="53">
          <cell r="E53">
            <v>0</v>
          </cell>
          <cell r="G53">
            <v>0</v>
          </cell>
          <cell r="H53">
            <v>0</v>
          </cell>
          <cell r="I53">
            <v>0</v>
          </cell>
          <cell r="J53">
            <v>67</v>
          </cell>
          <cell r="M53">
            <v>-1909</v>
          </cell>
        </row>
        <row r="54">
          <cell r="E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M54">
            <v>0</v>
          </cell>
        </row>
        <row r="55">
          <cell r="E55">
            <v>0</v>
          </cell>
          <cell r="G55">
            <v>0</v>
          </cell>
          <cell r="H55">
            <v>0</v>
          </cell>
          <cell r="I55">
            <v>0</v>
          </cell>
          <cell r="J55">
            <v>-35</v>
          </cell>
          <cell r="M55">
            <v>-44</v>
          </cell>
        </row>
        <row r="56">
          <cell r="E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-2</v>
          </cell>
          <cell r="J57">
            <v>0</v>
          </cell>
          <cell r="M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-6</v>
          </cell>
          <cell r="J58">
            <v>-19</v>
          </cell>
          <cell r="M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M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M60">
            <v>0</v>
          </cell>
        </row>
        <row r="61"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M61">
            <v>0</v>
          </cell>
        </row>
        <row r="62">
          <cell r="E62">
            <v>0</v>
          </cell>
          <cell r="G62">
            <v>659</v>
          </cell>
          <cell r="H62">
            <v>-3994</v>
          </cell>
          <cell r="I62">
            <v>0</v>
          </cell>
          <cell r="J62">
            <v>-439</v>
          </cell>
          <cell r="M62">
            <v>-38</v>
          </cell>
        </row>
        <row r="63">
          <cell r="E63">
            <v>0</v>
          </cell>
          <cell r="G63">
            <v>636</v>
          </cell>
          <cell r="H63">
            <v>0</v>
          </cell>
          <cell r="I63">
            <v>0</v>
          </cell>
          <cell r="J63">
            <v>-20</v>
          </cell>
          <cell r="M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M64">
            <v>0</v>
          </cell>
        </row>
        <row r="65"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M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M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M67">
            <v>-1038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M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M69">
            <v>0</v>
          </cell>
        </row>
        <row r="70">
          <cell r="E70">
            <v>0</v>
          </cell>
          <cell r="G70">
            <v>-1583</v>
          </cell>
          <cell r="H70">
            <v>0</v>
          </cell>
          <cell r="I70">
            <v>0</v>
          </cell>
          <cell r="J70">
            <v>0</v>
          </cell>
          <cell r="M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M71">
            <v>0</v>
          </cell>
        </row>
        <row r="72">
          <cell r="E72">
            <v>487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M72">
            <v>0</v>
          </cell>
        </row>
        <row r="73">
          <cell r="E73">
            <v>676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M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14</v>
          </cell>
          <cell r="M74">
            <v>0</v>
          </cell>
        </row>
        <row r="75">
          <cell r="E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M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126</v>
          </cell>
          <cell r="J76">
            <v>124</v>
          </cell>
          <cell r="M76">
            <v>0</v>
          </cell>
        </row>
        <row r="77">
          <cell r="E77">
            <v>153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M77">
            <v>0</v>
          </cell>
        </row>
        <row r="78">
          <cell r="E78">
            <v>145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M78">
            <v>0</v>
          </cell>
        </row>
        <row r="79">
          <cell r="E79">
            <v>241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M79">
            <v>0</v>
          </cell>
        </row>
        <row r="80">
          <cell r="E80">
            <v>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M80">
            <v>0</v>
          </cell>
        </row>
        <row r="81">
          <cell r="E81">
            <v>-16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M81">
            <v>0</v>
          </cell>
        </row>
        <row r="82">
          <cell r="E82">
            <v>219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M82">
            <v>0</v>
          </cell>
        </row>
        <row r="83">
          <cell r="E83">
            <v>396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M83">
            <v>0</v>
          </cell>
        </row>
        <row r="84">
          <cell r="E84">
            <v>0</v>
          </cell>
          <cell r="G84">
            <v>0</v>
          </cell>
          <cell r="H84">
            <v>0</v>
          </cell>
          <cell r="I84">
            <v>-2</v>
          </cell>
          <cell r="J84">
            <v>-55</v>
          </cell>
          <cell r="M84">
            <v>0</v>
          </cell>
        </row>
        <row r="85">
          <cell r="E85">
            <v>0</v>
          </cell>
          <cell r="G85">
            <v>0</v>
          </cell>
          <cell r="H85">
            <v>0</v>
          </cell>
          <cell r="I85">
            <v>172</v>
          </cell>
          <cell r="J85">
            <v>248</v>
          </cell>
          <cell r="M85">
            <v>0</v>
          </cell>
        </row>
        <row r="86">
          <cell r="E86">
            <v>0</v>
          </cell>
          <cell r="G86">
            <v>605</v>
          </cell>
          <cell r="H86">
            <v>0</v>
          </cell>
          <cell r="I86">
            <v>24</v>
          </cell>
          <cell r="J86">
            <v>118</v>
          </cell>
          <cell r="M86">
            <v>792</v>
          </cell>
        </row>
        <row r="87">
          <cell r="E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M87">
            <v>0</v>
          </cell>
        </row>
        <row r="88">
          <cell r="E88">
            <v>0</v>
          </cell>
          <cell r="G88">
            <v>0</v>
          </cell>
          <cell r="H88">
            <v>0</v>
          </cell>
          <cell r="I88">
            <v>0</v>
          </cell>
          <cell r="J88">
            <v>243</v>
          </cell>
          <cell r="M88">
            <v>0</v>
          </cell>
        </row>
        <row r="89">
          <cell r="E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M89">
            <v>0</v>
          </cell>
        </row>
        <row r="90">
          <cell r="E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M90">
            <v>0</v>
          </cell>
        </row>
        <row r="91">
          <cell r="E91">
            <v>-182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M91">
            <v>0</v>
          </cell>
        </row>
        <row r="92">
          <cell r="E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M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M93">
            <v>1637</v>
          </cell>
        </row>
        <row r="94">
          <cell r="E94">
            <v>135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M94">
            <v>0</v>
          </cell>
        </row>
        <row r="95">
          <cell r="E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M95">
            <v>0</v>
          </cell>
        </row>
        <row r="96">
          <cell r="E96">
            <v>-258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M96">
            <v>0</v>
          </cell>
        </row>
        <row r="97">
          <cell r="E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M97">
            <v>0</v>
          </cell>
        </row>
        <row r="98">
          <cell r="E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M98">
            <v>0</v>
          </cell>
        </row>
        <row r="99">
          <cell r="E99">
            <v>0</v>
          </cell>
          <cell r="G99">
            <v>-396</v>
          </cell>
          <cell r="H99">
            <v>0</v>
          </cell>
          <cell r="I99">
            <v>0</v>
          </cell>
          <cell r="J99">
            <v>0</v>
          </cell>
          <cell r="M99">
            <v>0</v>
          </cell>
        </row>
        <row r="100"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M100">
            <v>0</v>
          </cell>
        </row>
        <row r="101">
          <cell r="E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M101">
            <v>0</v>
          </cell>
        </row>
        <row r="102">
          <cell r="E102">
            <v>0</v>
          </cell>
          <cell r="G102">
            <v>0</v>
          </cell>
          <cell r="H102">
            <v>0</v>
          </cell>
          <cell r="I102">
            <v>-69</v>
          </cell>
          <cell r="J102">
            <v>-439</v>
          </cell>
          <cell r="M102">
            <v>0</v>
          </cell>
        </row>
        <row r="103">
          <cell r="E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297</v>
          </cell>
          <cell r="M103">
            <v>0</v>
          </cell>
        </row>
        <row r="104">
          <cell r="E104">
            <v>0</v>
          </cell>
          <cell r="G104">
            <v>0</v>
          </cell>
          <cell r="H104">
            <v>-13</v>
          </cell>
          <cell r="I104">
            <v>0</v>
          </cell>
          <cell r="J104">
            <v>0</v>
          </cell>
          <cell r="M104">
            <v>-33</v>
          </cell>
        </row>
        <row r="105">
          <cell r="E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M105">
            <v>-28</v>
          </cell>
        </row>
        <row r="106">
          <cell r="E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M106">
            <v>0</v>
          </cell>
        </row>
        <row r="107">
          <cell r="E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M107">
            <v>0</v>
          </cell>
        </row>
        <row r="108">
          <cell r="E108">
            <v>0</v>
          </cell>
          <cell r="G108">
            <v>-196</v>
          </cell>
          <cell r="H108">
            <v>-1450</v>
          </cell>
          <cell r="I108">
            <v>0</v>
          </cell>
          <cell r="J108">
            <v>0</v>
          </cell>
          <cell r="M108">
            <v>0</v>
          </cell>
        </row>
        <row r="109">
          <cell r="E109">
            <v>0</v>
          </cell>
          <cell r="G109">
            <v>0</v>
          </cell>
          <cell r="H109">
            <v>0</v>
          </cell>
          <cell r="I109">
            <v>-36</v>
          </cell>
          <cell r="J109">
            <v>0</v>
          </cell>
          <cell r="M109">
            <v>-467</v>
          </cell>
        </row>
        <row r="110">
          <cell r="E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M110">
            <v>0</v>
          </cell>
        </row>
        <row r="111">
          <cell r="E111">
            <v>0</v>
          </cell>
          <cell r="G111">
            <v>-25</v>
          </cell>
          <cell r="H111">
            <v>0</v>
          </cell>
          <cell r="I111">
            <v>0</v>
          </cell>
          <cell r="J111">
            <v>0</v>
          </cell>
          <cell r="M111">
            <v>0</v>
          </cell>
        </row>
        <row r="112">
          <cell r="E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M112">
            <v>-37</v>
          </cell>
        </row>
        <row r="113">
          <cell r="E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M113">
            <v>0</v>
          </cell>
        </row>
        <row r="114">
          <cell r="E114">
            <v>-1562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M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>
            <v>0</v>
          </cell>
        </row>
        <row r="116">
          <cell r="E116">
            <v>-205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M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M120">
            <v>0</v>
          </cell>
        </row>
        <row r="121">
          <cell r="E121">
            <v>-92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M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M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M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M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M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M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M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M130">
            <v>0</v>
          </cell>
        </row>
        <row r="131">
          <cell r="E131">
            <v>-45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M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M132">
            <v>0</v>
          </cell>
        </row>
        <row r="133">
          <cell r="E133">
            <v>-614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M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M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M135">
            <v>100</v>
          </cell>
        </row>
        <row r="136">
          <cell r="E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M136">
            <v>1</v>
          </cell>
        </row>
        <row r="137">
          <cell r="E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M137">
            <v>0</v>
          </cell>
        </row>
        <row r="138">
          <cell r="E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M138">
            <v>73</v>
          </cell>
        </row>
        <row r="139">
          <cell r="E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M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M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M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M142">
            <v>0</v>
          </cell>
        </row>
        <row r="143">
          <cell r="E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106</v>
          </cell>
          <cell r="M143">
            <v>-719</v>
          </cell>
        </row>
        <row r="144">
          <cell r="E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M144">
            <v>1729</v>
          </cell>
        </row>
        <row r="145">
          <cell r="E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-19</v>
          </cell>
          <cell r="M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M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M147">
            <v>429</v>
          </cell>
        </row>
        <row r="148">
          <cell r="E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M148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20-22"/>
      <sheetName val="Посещения с др.целями Пр.3-23"/>
      <sheetName val="Откл.Пр.3-23-Пр.2-20"/>
      <sheetName val="Ирина Пр.3-23"/>
      <sheetName val="Откл."/>
      <sheetName val="Лист1"/>
      <sheetName val="Пос с др.цел МЗ 16,02 "/>
      <sheetName val="Откл.Пр.3-23-Пр.2-20 16.02"/>
      <sheetName val="Для Прот."/>
      <sheetName val="Пос с др.целями Пр.3-23  "/>
      <sheetName val="Откл.Пр.3-23-Пр.20-22"/>
      <sheetName val="Пос с др.целями Пр9-23"/>
      <sheetName val="Откл.Пр.9-23-Пр.3-23"/>
      <sheetName val="Пос с др.целями Пр11-23"/>
      <sheetName val="Откл.Пр.11-23-Пр.9-23 "/>
      <sheetName val="Пос с др.целями Пр13-23 "/>
      <sheetName val="Откл.Пр.13-23-Пр.11-23  "/>
      <sheetName val="Пос с др.целями Пр15-23 "/>
      <sheetName val=" Откл.Пр15-23-Пр13-23"/>
      <sheetName val="Пос с др.целями Пр16-23  "/>
      <sheetName val="Уточнение Пр.16-23"/>
      <sheetName val="Пос с др.целями Пр17-23  "/>
      <sheetName val="Уточнение Пр.17-23 "/>
      <sheetName val="Пос с др.целями Пр.18-23  "/>
      <sheetName val="Уточнение Пр.18-23  "/>
      <sheetName val="Пос с др.целями Пр.19-23   "/>
      <sheetName val="Уточнение Пр.19-23  "/>
      <sheetName val="Пос с др.целями Пр.1-24"/>
      <sheetName val="Уточнение Пр.1-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0">
          <cell r="E10">
            <v>0</v>
          </cell>
          <cell r="F10">
            <v>1900</v>
          </cell>
          <cell r="G10">
            <v>4670</v>
          </cell>
          <cell r="H10">
            <v>0</v>
          </cell>
        </row>
        <row r="11">
          <cell r="E11">
            <v>0</v>
          </cell>
          <cell r="F11">
            <v>620</v>
          </cell>
          <cell r="G11">
            <v>3313</v>
          </cell>
          <cell r="H11">
            <v>0</v>
          </cell>
        </row>
        <row r="12">
          <cell r="E12">
            <v>0</v>
          </cell>
          <cell r="F12">
            <v>2806</v>
          </cell>
          <cell r="G12">
            <v>16717</v>
          </cell>
          <cell r="H12">
            <v>9291</v>
          </cell>
        </row>
        <row r="13">
          <cell r="E13">
            <v>0</v>
          </cell>
          <cell r="F13">
            <v>1920</v>
          </cell>
          <cell r="G13">
            <v>6801</v>
          </cell>
          <cell r="H13">
            <v>0</v>
          </cell>
        </row>
        <row r="14">
          <cell r="E14">
            <v>0</v>
          </cell>
          <cell r="F14">
            <v>4175</v>
          </cell>
          <cell r="G14">
            <v>4438</v>
          </cell>
          <cell r="H14">
            <v>0</v>
          </cell>
        </row>
        <row r="15">
          <cell r="E15">
            <v>0</v>
          </cell>
          <cell r="F15">
            <v>22479</v>
          </cell>
          <cell r="G15">
            <v>76082</v>
          </cell>
          <cell r="H15">
            <v>16096</v>
          </cell>
        </row>
        <row r="16">
          <cell r="E16">
            <v>0</v>
          </cell>
          <cell r="F16">
            <v>4765</v>
          </cell>
          <cell r="G16">
            <v>38989</v>
          </cell>
          <cell r="H16">
            <v>7958</v>
          </cell>
        </row>
        <row r="17">
          <cell r="E17">
            <v>0</v>
          </cell>
          <cell r="F17">
            <v>6160</v>
          </cell>
          <cell r="G17">
            <v>9479</v>
          </cell>
          <cell r="H17">
            <v>0</v>
          </cell>
        </row>
        <row r="18">
          <cell r="E18">
            <v>0</v>
          </cell>
          <cell r="F18">
            <v>1858</v>
          </cell>
          <cell r="G18">
            <v>10305</v>
          </cell>
          <cell r="H18">
            <v>0</v>
          </cell>
        </row>
        <row r="19">
          <cell r="E19">
            <v>0</v>
          </cell>
          <cell r="F19">
            <v>3844</v>
          </cell>
          <cell r="G19">
            <v>12482</v>
          </cell>
          <cell r="H19">
            <v>0</v>
          </cell>
        </row>
        <row r="20">
          <cell r="E20">
            <v>0</v>
          </cell>
          <cell r="F20">
            <v>3496</v>
          </cell>
          <cell r="G20">
            <v>2797</v>
          </cell>
          <cell r="H20">
            <v>0</v>
          </cell>
        </row>
        <row r="21">
          <cell r="E21">
            <v>0</v>
          </cell>
          <cell r="F21">
            <v>3175</v>
          </cell>
          <cell r="G21">
            <v>22397</v>
          </cell>
          <cell r="H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F24">
            <v>2309</v>
          </cell>
          <cell r="G24">
            <v>18260</v>
          </cell>
          <cell r="H24">
            <v>0</v>
          </cell>
        </row>
        <row r="25">
          <cell r="E25">
            <v>0</v>
          </cell>
          <cell r="F25">
            <v>15143</v>
          </cell>
          <cell r="G25">
            <v>16580</v>
          </cell>
          <cell r="H25">
            <v>0</v>
          </cell>
        </row>
        <row r="26">
          <cell r="E26">
            <v>0</v>
          </cell>
          <cell r="F26">
            <v>11760</v>
          </cell>
          <cell r="G26">
            <v>21938</v>
          </cell>
          <cell r="H26">
            <v>0</v>
          </cell>
        </row>
        <row r="27">
          <cell r="E27">
            <v>0</v>
          </cell>
          <cell r="F27">
            <v>11900</v>
          </cell>
          <cell r="G27">
            <v>37203</v>
          </cell>
          <cell r="H27">
            <v>14260</v>
          </cell>
        </row>
        <row r="28">
          <cell r="E28">
            <v>0</v>
          </cell>
          <cell r="F28">
            <v>1870</v>
          </cell>
          <cell r="G28">
            <v>4916</v>
          </cell>
          <cell r="H28">
            <v>0</v>
          </cell>
        </row>
        <row r="29">
          <cell r="E29">
            <v>0</v>
          </cell>
          <cell r="F29">
            <v>1940</v>
          </cell>
          <cell r="G29">
            <v>6861</v>
          </cell>
          <cell r="H29">
            <v>0</v>
          </cell>
        </row>
        <row r="30">
          <cell r="E30">
            <v>0</v>
          </cell>
          <cell r="F30">
            <v>14077</v>
          </cell>
          <cell r="G30">
            <v>31976</v>
          </cell>
          <cell r="H30">
            <v>0</v>
          </cell>
        </row>
        <row r="31">
          <cell r="E31">
            <v>0</v>
          </cell>
          <cell r="F31">
            <v>6121</v>
          </cell>
          <cell r="G31">
            <v>27695</v>
          </cell>
          <cell r="H31">
            <v>9166</v>
          </cell>
        </row>
        <row r="32">
          <cell r="E32">
            <v>0</v>
          </cell>
          <cell r="F32">
            <v>1318</v>
          </cell>
          <cell r="G32">
            <v>5049</v>
          </cell>
          <cell r="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F35">
            <v>17190</v>
          </cell>
          <cell r="G35">
            <v>20886</v>
          </cell>
          <cell r="H35">
            <v>20642</v>
          </cell>
        </row>
        <row r="36">
          <cell r="E36">
            <v>0</v>
          </cell>
          <cell r="F36">
            <v>6318</v>
          </cell>
          <cell r="G36">
            <v>23165</v>
          </cell>
          <cell r="H36">
            <v>0</v>
          </cell>
        </row>
        <row r="37">
          <cell r="E37">
            <v>0</v>
          </cell>
          <cell r="F37">
            <v>1224</v>
          </cell>
          <cell r="G37">
            <v>56878</v>
          </cell>
          <cell r="H37">
            <v>6057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202</v>
          </cell>
          <cell r="G40">
            <v>908</v>
          </cell>
          <cell r="H40">
            <v>0</v>
          </cell>
        </row>
        <row r="41">
          <cell r="E41">
            <v>0</v>
          </cell>
          <cell r="F41">
            <v>14276</v>
          </cell>
          <cell r="G41">
            <v>42695</v>
          </cell>
          <cell r="H41">
            <v>8004</v>
          </cell>
        </row>
        <row r="42">
          <cell r="E42">
            <v>0</v>
          </cell>
          <cell r="F42">
            <v>13000</v>
          </cell>
          <cell r="G42">
            <v>43265</v>
          </cell>
          <cell r="H42">
            <v>13814</v>
          </cell>
        </row>
        <row r="43">
          <cell r="E43">
            <v>0</v>
          </cell>
          <cell r="F43">
            <v>5310</v>
          </cell>
          <cell r="G43">
            <v>9634</v>
          </cell>
          <cell r="H43">
            <v>0</v>
          </cell>
        </row>
        <row r="44">
          <cell r="E44">
            <v>0</v>
          </cell>
          <cell r="F44">
            <v>10191</v>
          </cell>
          <cell r="G44">
            <v>28749</v>
          </cell>
          <cell r="H44">
            <v>4400</v>
          </cell>
        </row>
        <row r="45">
          <cell r="E45">
            <v>0</v>
          </cell>
          <cell r="F45">
            <v>2677</v>
          </cell>
          <cell r="G45">
            <v>9266</v>
          </cell>
          <cell r="H45">
            <v>0</v>
          </cell>
        </row>
        <row r="46">
          <cell r="E46">
            <v>0</v>
          </cell>
          <cell r="F46">
            <v>2285</v>
          </cell>
          <cell r="G46">
            <v>39736</v>
          </cell>
          <cell r="H46">
            <v>0</v>
          </cell>
        </row>
        <row r="47">
          <cell r="E47">
            <v>0</v>
          </cell>
          <cell r="F47">
            <v>2922</v>
          </cell>
          <cell r="G47">
            <v>16094</v>
          </cell>
          <cell r="H47">
            <v>0</v>
          </cell>
        </row>
        <row r="48">
          <cell r="E48">
            <v>0</v>
          </cell>
          <cell r="F48">
            <v>0</v>
          </cell>
          <cell r="G48">
            <v>12114</v>
          </cell>
          <cell r="H48">
            <v>0</v>
          </cell>
        </row>
        <row r="49">
          <cell r="E49">
            <v>0</v>
          </cell>
          <cell r="F49">
            <v>1622</v>
          </cell>
          <cell r="G49">
            <v>14774</v>
          </cell>
          <cell r="H49">
            <v>0</v>
          </cell>
        </row>
        <row r="50">
          <cell r="E50">
            <v>0</v>
          </cell>
          <cell r="F50">
            <v>1688</v>
          </cell>
          <cell r="G50">
            <v>5335</v>
          </cell>
          <cell r="H50">
            <v>0</v>
          </cell>
        </row>
        <row r="51">
          <cell r="E51">
            <v>0</v>
          </cell>
          <cell r="F51">
            <v>20</v>
          </cell>
          <cell r="G51">
            <v>3130</v>
          </cell>
          <cell r="H51">
            <v>0</v>
          </cell>
        </row>
        <row r="52">
          <cell r="E52">
            <v>0</v>
          </cell>
          <cell r="F52">
            <v>12926</v>
          </cell>
          <cell r="G52">
            <v>47120</v>
          </cell>
          <cell r="H52">
            <v>21978</v>
          </cell>
        </row>
        <row r="53">
          <cell r="E53">
            <v>0</v>
          </cell>
          <cell r="F53">
            <v>1790</v>
          </cell>
          <cell r="G53">
            <v>7617</v>
          </cell>
          <cell r="H53">
            <v>0</v>
          </cell>
        </row>
        <row r="54">
          <cell r="E54">
            <v>0</v>
          </cell>
          <cell r="F54">
            <v>12396</v>
          </cell>
          <cell r="G54">
            <v>42672</v>
          </cell>
          <cell r="H54">
            <v>0</v>
          </cell>
        </row>
        <row r="55">
          <cell r="E55">
            <v>0</v>
          </cell>
          <cell r="F55">
            <v>3700</v>
          </cell>
          <cell r="G55">
            <v>8412</v>
          </cell>
          <cell r="H55">
            <v>0</v>
          </cell>
        </row>
        <row r="56">
          <cell r="E56">
            <v>0</v>
          </cell>
          <cell r="F56">
            <v>8359</v>
          </cell>
          <cell r="G56">
            <v>13181</v>
          </cell>
          <cell r="H56">
            <v>0</v>
          </cell>
        </row>
        <row r="57">
          <cell r="E57">
            <v>0</v>
          </cell>
          <cell r="F57">
            <v>952</v>
          </cell>
          <cell r="G57">
            <v>11330</v>
          </cell>
          <cell r="H57">
            <v>0</v>
          </cell>
        </row>
        <row r="58">
          <cell r="E58">
            <v>0</v>
          </cell>
          <cell r="F58">
            <v>1984</v>
          </cell>
          <cell r="G58">
            <v>7289</v>
          </cell>
          <cell r="H58">
            <v>0</v>
          </cell>
        </row>
        <row r="59">
          <cell r="E59">
            <v>0</v>
          </cell>
          <cell r="F59">
            <v>4044</v>
          </cell>
          <cell r="G59">
            <v>8027</v>
          </cell>
          <cell r="H59">
            <v>0</v>
          </cell>
        </row>
        <row r="60">
          <cell r="E60">
            <v>0</v>
          </cell>
          <cell r="F60">
            <v>6958</v>
          </cell>
          <cell r="G60">
            <v>17119</v>
          </cell>
          <cell r="H60">
            <v>0</v>
          </cell>
        </row>
        <row r="61">
          <cell r="E61">
            <v>0</v>
          </cell>
          <cell r="F61">
            <v>15612</v>
          </cell>
          <cell r="G61">
            <v>47755</v>
          </cell>
          <cell r="H61">
            <v>3067</v>
          </cell>
        </row>
        <row r="62">
          <cell r="E62">
            <v>0</v>
          </cell>
          <cell r="F62">
            <v>5277</v>
          </cell>
          <cell r="G62">
            <v>10359</v>
          </cell>
          <cell r="H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>
            <v>0</v>
          </cell>
          <cell r="F66">
            <v>3631</v>
          </cell>
          <cell r="G66">
            <v>67182</v>
          </cell>
          <cell r="H66">
            <v>0</v>
          </cell>
        </row>
        <row r="67">
          <cell r="E67">
            <v>0</v>
          </cell>
          <cell r="F67">
            <v>1020</v>
          </cell>
          <cell r="G67">
            <v>47830</v>
          </cell>
          <cell r="H67">
            <v>0</v>
          </cell>
        </row>
        <row r="68">
          <cell r="E68">
            <v>0</v>
          </cell>
          <cell r="F68">
            <v>360</v>
          </cell>
          <cell r="G68">
            <v>60698</v>
          </cell>
          <cell r="H68">
            <v>0</v>
          </cell>
        </row>
        <row r="69">
          <cell r="E69">
            <v>0</v>
          </cell>
          <cell r="F69">
            <v>9055</v>
          </cell>
          <cell r="G69">
            <v>88607</v>
          </cell>
          <cell r="H69">
            <v>9433</v>
          </cell>
        </row>
        <row r="70">
          <cell r="E70">
            <v>0</v>
          </cell>
          <cell r="F70">
            <v>3324</v>
          </cell>
          <cell r="G70">
            <v>21565</v>
          </cell>
          <cell r="H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E73">
            <v>0</v>
          </cell>
          <cell r="F73">
            <v>1644</v>
          </cell>
          <cell r="G73">
            <v>8824</v>
          </cell>
          <cell r="H73">
            <v>0</v>
          </cell>
        </row>
        <row r="74">
          <cell r="E74">
            <v>0</v>
          </cell>
          <cell r="F74">
            <v>2658</v>
          </cell>
          <cell r="G74">
            <v>3894</v>
          </cell>
          <cell r="H74">
            <v>10363</v>
          </cell>
        </row>
        <row r="75">
          <cell r="E75">
            <v>0</v>
          </cell>
          <cell r="F75">
            <v>7555</v>
          </cell>
          <cell r="G75">
            <v>3415</v>
          </cell>
          <cell r="H75">
            <v>0</v>
          </cell>
        </row>
        <row r="76">
          <cell r="E76">
            <v>300</v>
          </cell>
          <cell r="F76">
            <v>0</v>
          </cell>
          <cell r="G76">
            <v>0</v>
          </cell>
          <cell r="H76">
            <v>0</v>
          </cell>
        </row>
        <row r="77">
          <cell r="E77">
            <v>100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50</v>
          </cell>
          <cell r="F78">
            <v>0</v>
          </cell>
          <cell r="G78">
            <v>0</v>
          </cell>
          <cell r="H78">
            <v>0</v>
          </cell>
        </row>
        <row r="79">
          <cell r="E79">
            <v>290</v>
          </cell>
          <cell r="F79">
            <v>0</v>
          </cell>
          <cell r="G79">
            <v>0</v>
          </cell>
          <cell r="H79">
            <v>0</v>
          </cell>
        </row>
        <row r="80">
          <cell r="E80">
            <v>1600</v>
          </cell>
          <cell r="F80">
            <v>0</v>
          </cell>
          <cell r="G80">
            <v>0</v>
          </cell>
          <cell r="H80">
            <v>0</v>
          </cell>
        </row>
        <row r="81">
          <cell r="E81">
            <v>150</v>
          </cell>
          <cell r="F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>
            <v>0</v>
          </cell>
          <cell r="F83">
            <v>8645</v>
          </cell>
          <cell r="G83">
            <v>54346</v>
          </cell>
          <cell r="H83">
            <v>8702</v>
          </cell>
        </row>
        <row r="84">
          <cell r="E84">
            <v>0</v>
          </cell>
          <cell r="F84">
            <v>18500</v>
          </cell>
          <cell r="G84">
            <v>13308</v>
          </cell>
          <cell r="H84">
            <v>0</v>
          </cell>
        </row>
        <row r="85">
          <cell r="E85">
            <v>0</v>
          </cell>
          <cell r="F85">
            <v>5411</v>
          </cell>
          <cell r="G85">
            <v>8232</v>
          </cell>
          <cell r="H85">
            <v>9072</v>
          </cell>
        </row>
        <row r="86">
          <cell r="E86">
            <v>0</v>
          </cell>
          <cell r="F86">
            <v>1182</v>
          </cell>
          <cell r="G86">
            <v>1086</v>
          </cell>
          <cell r="H86">
            <v>0</v>
          </cell>
        </row>
        <row r="87">
          <cell r="E87">
            <v>0</v>
          </cell>
          <cell r="F87">
            <v>12510</v>
          </cell>
          <cell r="G87">
            <v>36324</v>
          </cell>
          <cell r="H87">
            <v>0</v>
          </cell>
        </row>
        <row r="88">
          <cell r="E88">
            <v>0</v>
          </cell>
          <cell r="F88">
            <v>2340</v>
          </cell>
          <cell r="G88">
            <v>32873</v>
          </cell>
          <cell r="H88">
            <v>6107</v>
          </cell>
        </row>
        <row r="89">
          <cell r="E89">
            <v>0</v>
          </cell>
          <cell r="F89">
            <v>8000</v>
          </cell>
          <cell r="G89">
            <v>15575</v>
          </cell>
          <cell r="H89">
            <v>37782</v>
          </cell>
        </row>
        <row r="90">
          <cell r="E90">
            <v>28748</v>
          </cell>
          <cell r="F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E92">
            <v>0</v>
          </cell>
          <cell r="F92">
            <v>0</v>
          </cell>
          <cell r="G92">
            <v>1186</v>
          </cell>
          <cell r="H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E96">
            <v>0</v>
          </cell>
          <cell r="F96">
            <v>300</v>
          </cell>
          <cell r="G96">
            <v>2863</v>
          </cell>
          <cell r="H96">
            <v>0</v>
          </cell>
        </row>
        <row r="97">
          <cell r="E97">
            <v>0</v>
          </cell>
          <cell r="F97">
            <v>806</v>
          </cell>
          <cell r="G97">
            <v>3282</v>
          </cell>
          <cell r="H97">
            <v>0</v>
          </cell>
        </row>
        <row r="98">
          <cell r="E98">
            <v>0</v>
          </cell>
          <cell r="F98">
            <v>2019</v>
          </cell>
          <cell r="G98">
            <v>6915</v>
          </cell>
          <cell r="H98">
            <v>0</v>
          </cell>
        </row>
        <row r="99">
          <cell r="E99">
            <v>0</v>
          </cell>
          <cell r="F99">
            <v>1368</v>
          </cell>
          <cell r="G99">
            <v>6988</v>
          </cell>
          <cell r="H99">
            <v>0</v>
          </cell>
        </row>
        <row r="100">
          <cell r="E100">
            <v>0</v>
          </cell>
          <cell r="F100">
            <v>6300</v>
          </cell>
          <cell r="G100">
            <v>21463</v>
          </cell>
          <cell r="H100">
            <v>0</v>
          </cell>
        </row>
        <row r="101">
          <cell r="E101">
            <v>0</v>
          </cell>
          <cell r="F101">
            <v>1662</v>
          </cell>
          <cell r="G101">
            <v>9540</v>
          </cell>
          <cell r="H101">
            <v>0</v>
          </cell>
        </row>
        <row r="102">
          <cell r="E102">
            <v>0</v>
          </cell>
          <cell r="F102">
            <v>6541</v>
          </cell>
          <cell r="G102">
            <v>4087</v>
          </cell>
          <cell r="H102">
            <v>0</v>
          </cell>
        </row>
        <row r="103">
          <cell r="E103">
            <v>0</v>
          </cell>
          <cell r="F103">
            <v>3525</v>
          </cell>
          <cell r="G103">
            <v>36131</v>
          </cell>
          <cell r="H103">
            <v>0</v>
          </cell>
        </row>
        <row r="104">
          <cell r="E104">
            <v>0</v>
          </cell>
          <cell r="F104">
            <v>13653</v>
          </cell>
          <cell r="G104">
            <v>11705</v>
          </cell>
          <cell r="H104">
            <v>0</v>
          </cell>
        </row>
        <row r="105">
          <cell r="E105">
            <v>0</v>
          </cell>
          <cell r="F105">
            <v>1400</v>
          </cell>
          <cell r="G105">
            <v>9100</v>
          </cell>
          <cell r="H105">
            <v>0</v>
          </cell>
        </row>
        <row r="106">
          <cell r="E106">
            <v>0</v>
          </cell>
          <cell r="F106">
            <v>2905</v>
          </cell>
          <cell r="G106">
            <v>13129</v>
          </cell>
          <cell r="H106">
            <v>0</v>
          </cell>
        </row>
        <row r="107">
          <cell r="E107">
            <v>0</v>
          </cell>
          <cell r="F107">
            <v>2521</v>
          </cell>
          <cell r="G107">
            <v>8910</v>
          </cell>
          <cell r="H107">
            <v>0</v>
          </cell>
        </row>
        <row r="108">
          <cell r="E108">
            <v>0</v>
          </cell>
          <cell r="F108">
            <v>2830</v>
          </cell>
          <cell r="G108">
            <v>15699</v>
          </cell>
          <cell r="H108">
            <v>6291</v>
          </cell>
        </row>
        <row r="109">
          <cell r="E109">
            <v>0</v>
          </cell>
          <cell r="F109">
            <v>5443</v>
          </cell>
          <cell r="G109">
            <v>7154</v>
          </cell>
          <cell r="H109">
            <v>0</v>
          </cell>
        </row>
        <row r="110">
          <cell r="E110">
            <v>0</v>
          </cell>
          <cell r="F110">
            <v>3290</v>
          </cell>
          <cell r="G110">
            <v>8996</v>
          </cell>
          <cell r="H110">
            <v>0</v>
          </cell>
        </row>
        <row r="111">
          <cell r="E111">
            <v>0</v>
          </cell>
          <cell r="F111">
            <v>4765</v>
          </cell>
          <cell r="G111">
            <v>20594</v>
          </cell>
          <cell r="H111">
            <v>0</v>
          </cell>
        </row>
        <row r="112">
          <cell r="E112">
            <v>0</v>
          </cell>
          <cell r="F112">
            <v>1165</v>
          </cell>
          <cell r="G112">
            <v>4308</v>
          </cell>
          <cell r="H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E138">
            <v>11801</v>
          </cell>
          <cell r="F138">
            <v>0</v>
          </cell>
          <cell r="G138">
            <v>0</v>
          </cell>
          <cell r="H138">
            <v>0</v>
          </cell>
        </row>
        <row r="139">
          <cell r="E139">
            <v>24131</v>
          </cell>
          <cell r="F139">
            <v>0</v>
          </cell>
          <cell r="G139">
            <v>0</v>
          </cell>
          <cell r="H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12487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F143">
            <v>3836</v>
          </cell>
          <cell r="G143">
            <v>3986</v>
          </cell>
          <cell r="H143">
            <v>0</v>
          </cell>
        </row>
        <row r="144">
          <cell r="E144">
            <v>0</v>
          </cell>
          <cell r="F144">
            <v>13757</v>
          </cell>
          <cell r="G144">
            <v>47958</v>
          </cell>
          <cell r="H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H148">
            <v>0</v>
          </cell>
        </row>
        <row r="149">
          <cell r="H149">
            <v>0</v>
          </cell>
        </row>
        <row r="150">
          <cell r="H150">
            <v>0</v>
          </cell>
        </row>
        <row r="151">
          <cell r="H151">
            <v>0</v>
          </cell>
        </row>
      </sheetData>
      <sheetData sheetId="26" refreshError="1"/>
      <sheetData sheetId="27"/>
      <sheetData sheetId="28">
        <row r="10">
          <cell r="E10">
            <v>0</v>
          </cell>
          <cell r="F10">
            <v>-180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E12">
            <v>0</v>
          </cell>
          <cell r="F12">
            <v>489</v>
          </cell>
          <cell r="G12">
            <v>0</v>
          </cell>
          <cell r="H12">
            <v>53</v>
          </cell>
        </row>
        <row r="13">
          <cell r="E13">
            <v>0</v>
          </cell>
          <cell r="F13">
            <v>24</v>
          </cell>
          <cell r="G13">
            <v>-484</v>
          </cell>
          <cell r="H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E15">
            <v>0</v>
          </cell>
          <cell r="F15">
            <v>484</v>
          </cell>
          <cell r="G15">
            <v>3000</v>
          </cell>
          <cell r="H15">
            <v>61</v>
          </cell>
        </row>
        <row r="16">
          <cell r="E16">
            <v>0</v>
          </cell>
          <cell r="F16">
            <v>1311</v>
          </cell>
          <cell r="G16">
            <v>0</v>
          </cell>
          <cell r="H16">
            <v>528</v>
          </cell>
        </row>
        <row r="17">
          <cell r="E17">
            <v>0</v>
          </cell>
          <cell r="F17">
            <v>-1358</v>
          </cell>
          <cell r="G17">
            <v>0</v>
          </cell>
          <cell r="H17">
            <v>0</v>
          </cell>
        </row>
        <row r="18">
          <cell r="E18">
            <v>0</v>
          </cell>
          <cell r="F18">
            <v>298</v>
          </cell>
          <cell r="G18">
            <v>0</v>
          </cell>
          <cell r="H18">
            <v>0</v>
          </cell>
        </row>
        <row r="19">
          <cell r="E19">
            <v>0</v>
          </cell>
          <cell r="F19">
            <v>1236</v>
          </cell>
          <cell r="G19">
            <v>0</v>
          </cell>
          <cell r="H19">
            <v>0</v>
          </cell>
        </row>
        <row r="20">
          <cell r="E20">
            <v>0</v>
          </cell>
          <cell r="F20">
            <v>90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300</v>
          </cell>
          <cell r="G21">
            <v>-955</v>
          </cell>
          <cell r="H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F24">
            <v>106</v>
          </cell>
          <cell r="G24">
            <v>0</v>
          </cell>
          <cell r="H24">
            <v>0</v>
          </cell>
        </row>
        <row r="25">
          <cell r="E25">
            <v>0</v>
          </cell>
          <cell r="F25">
            <v>-3570</v>
          </cell>
          <cell r="G25">
            <v>0</v>
          </cell>
          <cell r="H25">
            <v>0</v>
          </cell>
        </row>
        <row r="26">
          <cell r="E26">
            <v>0</v>
          </cell>
          <cell r="F26">
            <v>229</v>
          </cell>
          <cell r="G26">
            <v>0</v>
          </cell>
          <cell r="H26">
            <v>0</v>
          </cell>
        </row>
        <row r="27">
          <cell r="E27">
            <v>0</v>
          </cell>
          <cell r="F27">
            <v>1003</v>
          </cell>
          <cell r="G27">
            <v>0</v>
          </cell>
          <cell r="H27">
            <v>-205</v>
          </cell>
        </row>
        <row r="28">
          <cell r="E28">
            <v>0</v>
          </cell>
          <cell r="F28">
            <v>-196</v>
          </cell>
          <cell r="G28">
            <v>0</v>
          </cell>
          <cell r="H28">
            <v>0</v>
          </cell>
        </row>
        <row r="29">
          <cell r="E29">
            <v>0</v>
          </cell>
          <cell r="F29">
            <v>4</v>
          </cell>
          <cell r="G29">
            <v>0</v>
          </cell>
          <cell r="H29">
            <v>0</v>
          </cell>
        </row>
        <row r="30">
          <cell r="E30">
            <v>0</v>
          </cell>
          <cell r="F30">
            <v>-28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216</v>
          </cell>
          <cell r="G31">
            <v>0</v>
          </cell>
          <cell r="H31">
            <v>0</v>
          </cell>
        </row>
        <row r="32">
          <cell r="E32">
            <v>0</v>
          </cell>
          <cell r="F32">
            <v>79</v>
          </cell>
          <cell r="G32">
            <v>0</v>
          </cell>
          <cell r="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F35">
            <v>1220</v>
          </cell>
          <cell r="G35">
            <v>3000</v>
          </cell>
          <cell r="H35">
            <v>0</v>
          </cell>
        </row>
        <row r="36">
          <cell r="E36">
            <v>0</v>
          </cell>
          <cell r="F36">
            <v>-1</v>
          </cell>
          <cell r="G36">
            <v>-2</v>
          </cell>
          <cell r="H36">
            <v>0</v>
          </cell>
        </row>
        <row r="37">
          <cell r="E37">
            <v>0</v>
          </cell>
          <cell r="F37">
            <v>1049</v>
          </cell>
          <cell r="G37">
            <v>3000</v>
          </cell>
          <cell r="H37">
            <v>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-91</v>
          </cell>
          <cell r="G40">
            <v>0</v>
          </cell>
          <cell r="H40">
            <v>0</v>
          </cell>
        </row>
        <row r="41">
          <cell r="E41">
            <v>0</v>
          </cell>
          <cell r="F41">
            <v>-6591</v>
          </cell>
          <cell r="G41">
            <v>0</v>
          </cell>
          <cell r="H41">
            <v>830</v>
          </cell>
        </row>
        <row r="42">
          <cell r="E42">
            <v>0</v>
          </cell>
          <cell r="F42">
            <v>662</v>
          </cell>
          <cell r="G42">
            <v>-656</v>
          </cell>
          <cell r="H42">
            <v>9</v>
          </cell>
        </row>
        <row r="43">
          <cell r="E43">
            <v>0</v>
          </cell>
          <cell r="F43">
            <v>444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80</v>
          </cell>
          <cell r="G44">
            <v>0</v>
          </cell>
          <cell r="H44">
            <v>-335</v>
          </cell>
        </row>
        <row r="45">
          <cell r="E45">
            <v>0</v>
          </cell>
          <cell r="F45">
            <v>155</v>
          </cell>
          <cell r="G45">
            <v>0</v>
          </cell>
          <cell r="H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E47">
            <v>0</v>
          </cell>
          <cell r="F47">
            <v>24</v>
          </cell>
          <cell r="G47">
            <v>-2512</v>
          </cell>
          <cell r="H47">
            <v>0</v>
          </cell>
        </row>
        <row r="48">
          <cell r="E48">
            <v>0</v>
          </cell>
          <cell r="F48">
            <v>24</v>
          </cell>
          <cell r="G48">
            <v>-3977</v>
          </cell>
          <cell r="H48">
            <v>0</v>
          </cell>
        </row>
        <row r="49">
          <cell r="E49">
            <v>0</v>
          </cell>
          <cell r="F49">
            <v>5</v>
          </cell>
          <cell r="G49">
            <v>0</v>
          </cell>
          <cell r="H49">
            <v>0</v>
          </cell>
        </row>
        <row r="50">
          <cell r="E50">
            <v>0</v>
          </cell>
          <cell r="F50">
            <v>71</v>
          </cell>
          <cell r="G50">
            <v>0</v>
          </cell>
          <cell r="H50">
            <v>0</v>
          </cell>
        </row>
        <row r="51">
          <cell r="E51">
            <v>0</v>
          </cell>
          <cell r="F51">
            <v>0</v>
          </cell>
          <cell r="G51">
            <v>-2550</v>
          </cell>
          <cell r="H51">
            <v>0</v>
          </cell>
        </row>
        <row r="52">
          <cell r="E52">
            <v>0</v>
          </cell>
          <cell r="F52">
            <v>1</v>
          </cell>
          <cell r="G52">
            <v>0</v>
          </cell>
          <cell r="H52">
            <v>-1559</v>
          </cell>
        </row>
        <row r="53">
          <cell r="E53">
            <v>0</v>
          </cell>
          <cell r="F53">
            <v>36</v>
          </cell>
          <cell r="G53">
            <v>0</v>
          </cell>
          <cell r="H53">
            <v>0</v>
          </cell>
        </row>
        <row r="54">
          <cell r="E54">
            <v>0</v>
          </cell>
          <cell r="F54">
            <v>-452</v>
          </cell>
          <cell r="G54">
            <v>0</v>
          </cell>
          <cell r="H54">
            <v>0</v>
          </cell>
        </row>
        <row r="55">
          <cell r="E55">
            <v>0</v>
          </cell>
          <cell r="F55">
            <v>54</v>
          </cell>
          <cell r="G55">
            <v>0</v>
          </cell>
          <cell r="H55">
            <v>0</v>
          </cell>
        </row>
        <row r="56">
          <cell r="E56">
            <v>0</v>
          </cell>
          <cell r="F56">
            <v>-2101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1037</v>
          </cell>
          <cell r="G57">
            <v>0</v>
          </cell>
          <cell r="H57">
            <v>0</v>
          </cell>
        </row>
        <row r="58">
          <cell r="E58">
            <v>0</v>
          </cell>
          <cell r="F58">
            <v>223</v>
          </cell>
          <cell r="G58">
            <v>0</v>
          </cell>
          <cell r="H58">
            <v>0</v>
          </cell>
        </row>
        <row r="59">
          <cell r="E59">
            <v>0</v>
          </cell>
          <cell r="F59">
            <v>131</v>
          </cell>
          <cell r="G59">
            <v>0</v>
          </cell>
          <cell r="H59">
            <v>0</v>
          </cell>
        </row>
        <row r="60">
          <cell r="E60">
            <v>0</v>
          </cell>
          <cell r="F60">
            <v>195</v>
          </cell>
          <cell r="G60">
            <v>0</v>
          </cell>
          <cell r="H60">
            <v>0</v>
          </cell>
        </row>
        <row r="61">
          <cell r="E61">
            <v>0</v>
          </cell>
          <cell r="F61">
            <v>1756</v>
          </cell>
          <cell r="G61">
            <v>0</v>
          </cell>
          <cell r="H61">
            <v>0</v>
          </cell>
        </row>
        <row r="62">
          <cell r="E62">
            <v>0</v>
          </cell>
          <cell r="F62">
            <v>249</v>
          </cell>
          <cell r="G62">
            <v>0</v>
          </cell>
          <cell r="H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>
            <v>0</v>
          </cell>
          <cell r="F66">
            <v>0</v>
          </cell>
          <cell r="G66">
            <v>3000</v>
          </cell>
          <cell r="H66">
            <v>0</v>
          </cell>
        </row>
        <row r="67">
          <cell r="E67">
            <v>0</v>
          </cell>
          <cell r="F67">
            <v>0</v>
          </cell>
          <cell r="G67">
            <v>3000</v>
          </cell>
          <cell r="H67">
            <v>0</v>
          </cell>
        </row>
        <row r="68">
          <cell r="E68">
            <v>0</v>
          </cell>
          <cell r="F68">
            <v>76</v>
          </cell>
          <cell r="G68">
            <v>3000</v>
          </cell>
          <cell r="H68">
            <v>0</v>
          </cell>
        </row>
        <row r="69">
          <cell r="E69">
            <v>0</v>
          </cell>
          <cell r="F69">
            <v>0</v>
          </cell>
          <cell r="G69">
            <v>3000</v>
          </cell>
          <cell r="H69">
            <v>0</v>
          </cell>
        </row>
        <row r="70">
          <cell r="E70">
            <v>0</v>
          </cell>
          <cell r="F70">
            <v>139</v>
          </cell>
          <cell r="G70">
            <v>3000</v>
          </cell>
          <cell r="H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135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>
            <v>0</v>
          </cell>
          <cell r="F83">
            <v>579</v>
          </cell>
          <cell r="G83">
            <v>0</v>
          </cell>
          <cell r="H83">
            <v>14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474</v>
          </cell>
          <cell r="G85">
            <v>0</v>
          </cell>
          <cell r="H85">
            <v>688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E87">
            <v>0</v>
          </cell>
          <cell r="F87">
            <v>0</v>
          </cell>
          <cell r="G87">
            <v>-13120</v>
          </cell>
          <cell r="H87">
            <v>0</v>
          </cell>
        </row>
        <row r="88">
          <cell r="E88">
            <v>0</v>
          </cell>
          <cell r="F88">
            <v>0</v>
          </cell>
          <cell r="G88">
            <v>3914</v>
          </cell>
          <cell r="H88">
            <v>0</v>
          </cell>
        </row>
        <row r="89">
          <cell r="E89">
            <v>0</v>
          </cell>
          <cell r="F89">
            <v>217</v>
          </cell>
          <cell r="G89">
            <v>0</v>
          </cell>
          <cell r="H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E96">
            <v>0</v>
          </cell>
          <cell r="F96">
            <v>14</v>
          </cell>
          <cell r="G96">
            <v>0</v>
          </cell>
          <cell r="H96">
            <v>0</v>
          </cell>
        </row>
        <row r="97">
          <cell r="E97">
            <v>0</v>
          </cell>
          <cell r="F97">
            <v>42</v>
          </cell>
          <cell r="G97">
            <v>-230</v>
          </cell>
          <cell r="H97">
            <v>0</v>
          </cell>
        </row>
        <row r="98">
          <cell r="E98">
            <v>0</v>
          </cell>
          <cell r="F98">
            <v>322</v>
          </cell>
          <cell r="G98">
            <v>0</v>
          </cell>
          <cell r="H98">
            <v>0</v>
          </cell>
        </row>
        <row r="99">
          <cell r="E99">
            <v>0</v>
          </cell>
          <cell r="F99">
            <v>115</v>
          </cell>
          <cell r="G99">
            <v>0</v>
          </cell>
          <cell r="H99">
            <v>0</v>
          </cell>
        </row>
        <row r="100">
          <cell r="E100">
            <v>0</v>
          </cell>
          <cell r="F100">
            <v>192</v>
          </cell>
          <cell r="G100">
            <v>0</v>
          </cell>
          <cell r="H100">
            <v>0</v>
          </cell>
        </row>
        <row r="101">
          <cell r="E101">
            <v>0</v>
          </cell>
          <cell r="F101">
            <v>11</v>
          </cell>
          <cell r="G101">
            <v>-1423</v>
          </cell>
          <cell r="H101">
            <v>0</v>
          </cell>
        </row>
        <row r="102">
          <cell r="E102">
            <v>0</v>
          </cell>
          <cell r="F102">
            <v>45</v>
          </cell>
          <cell r="G102">
            <v>0</v>
          </cell>
          <cell r="H102">
            <v>0</v>
          </cell>
        </row>
        <row r="103">
          <cell r="E103">
            <v>0</v>
          </cell>
          <cell r="F103">
            <v>520</v>
          </cell>
          <cell r="G103">
            <v>0</v>
          </cell>
          <cell r="H103">
            <v>0</v>
          </cell>
        </row>
        <row r="104">
          <cell r="E104">
            <v>0</v>
          </cell>
          <cell r="F104">
            <v>-2098</v>
          </cell>
          <cell r="G104">
            <v>0</v>
          </cell>
          <cell r="H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E107">
            <v>0</v>
          </cell>
          <cell r="F107">
            <v>-206</v>
          </cell>
          <cell r="G107">
            <v>-1900</v>
          </cell>
          <cell r="H107">
            <v>0</v>
          </cell>
        </row>
        <row r="108">
          <cell r="E108">
            <v>0</v>
          </cell>
          <cell r="F108">
            <v>133</v>
          </cell>
          <cell r="G108">
            <v>0</v>
          </cell>
          <cell r="H108">
            <v>-222</v>
          </cell>
        </row>
        <row r="109">
          <cell r="E109">
            <v>0</v>
          </cell>
          <cell r="F109">
            <v>38</v>
          </cell>
          <cell r="G109">
            <v>0</v>
          </cell>
          <cell r="H109">
            <v>0</v>
          </cell>
        </row>
        <row r="110">
          <cell r="E110">
            <v>0</v>
          </cell>
          <cell r="F110">
            <v>162</v>
          </cell>
          <cell r="G110">
            <v>0</v>
          </cell>
          <cell r="H110">
            <v>0</v>
          </cell>
        </row>
        <row r="111">
          <cell r="E111">
            <v>0</v>
          </cell>
          <cell r="F111">
            <v>115</v>
          </cell>
          <cell r="G111">
            <v>-105</v>
          </cell>
          <cell r="H111">
            <v>0</v>
          </cell>
        </row>
        <row r="112">
          <cell r="E112">
            <v>0</v>
          </cell>
          <cell r="F112">
            <v>312</v>
          </cell>
          <cell r="G112">
            <v>0</v>
          </cell>
          <cell r="H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F143">
            <v>-52</v>
          </cell>
          <cell r="G143">
            <v>0</v>
          </cell>
          <cell r="H143">
            <v>0</v>
          </cell>
        </row>
        <row r="144">
          <cell r="E144">
            <v>0</v>
          </cell>
          <cell r="F144">
            <v>133</v>
          </cell>
          <cell r="G144">
            <v>0</v>
          </cell>
          <cell r="H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МП Пр.3-23"/>
      <sheetName val="Ирина Прот.4 вар"/>
      <sheetName val="Откл."/>
      <sheetName val="Посещения СМП Прплан-факт 3 мес"/>
      <sheetName val="Посещения СМП Пр.9-23"/>
      <sheetName val="Откл.Пр.9-23-Пр.3-23"/>
      <sheetName val="Посещения СМП Пр.11-23 "/>
      <sheetName val="Откл.Пр.11-23-Пр.9-23"/>
      <sheetName val="Посещения СМП Пр.13-23 "/>
      <sheetName val="Откл.Пр.13-23-Пр.11-23 "/>
      <sheetName val="Посещения СМП Пр.16-23"/>
      <sheetName val="Откл.Пр.16-23-Пр.13-23  "/>
      <sheetName val="Посещения СМП Пр.17-23 "/>
      <sheetName val="Откл.Пр.17-23-Пр.16-23   "/>
      <sheetName val="Посещения СМП Пр.18-23  "/>
      <sheetName val="Откл.Пр.18-23-Пр.17-23  "/>
      <sheetName val="Посещения СМП Пр.19-23  "/>
      <sheetName val="Откл.Пр.19-23-Пр.18-23  "/>
      <sheetName val="Посещения СМП Пр.1-24  "/>
      <sheetName val="Откл.Пр.1-24-Пр.19-23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0">
          <cell r="E10">
            <v>0</v>
          </cell>
          <cell r="G10">
            <v>0</v>
          </cell>
          <cell r="H10">
            <v>0</v>
          </cell>
        </row>
        <row r="11">
          <cell r="E11">
            <v>0</v>
          </cell>
          <cell r="G11">
            <v>0</v>
          </cell>
          <cell r="H11">
            <v>2852</v>
          </cell>
        </row>
        <row r="12">
          <cell r="E12">
            <v>0</v>
          </cell>
          <cell r="G12">
            <v>285</v>
          </cell>
          <cell r="H12">
            <v>24565</v>
          </cell>
        </row>
        <row r="13">
          <cell r="E13">
            <v>0</v>
          </cell>
          <cell r="G13">
            <v>0</v>
          </cell>
          <cell r="H13">
            <v>2387</v>
          </cell>
        </row>
        <row r="14">
          <cell r="E14">
            <v>0</v>
          </cell>
          <cell r="G14">
            <v>1500</v>
          </cell>
          <cell r="H14">
            <v>4701</v>
          </cell>
        </row>
        <row r="15">
          <cell r="E15">
            <v>0</v>
          </cell>
          <cell r="G15">
            <v>2320</v>
          </cell>
          <cell r="H15">
            <v>1340</v>
          </cell>
        </row>
        <row r="16">
          <cell r="E16">
            <v>0</v>
          </cell>
          <cell r="G16">
            <v>2012</v>
          </cell>
          <cell r="H16">
            <v>5153</v>
          </cell>
        </row>
        <row r="17">
          <cell r="E17">
            <v>0</v>
          </cell>
          <cell r="G17">
            <v>3000</v>
          </cell>
          <cell r="H17">
            <v>3000</v>
          </cell>
        </row>
        <row r="18">
          <cell r="E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G19">
            <v>1206</v>
          </cell>
          <cell r="H19">
            <v>4000</v>
          </cell>
        </row>
        <row r="20">
          <cell r="E20">
            <v>0</v>
          </cell>
          <cell r="G20">
            <v>2520</v>
          </cell>
          <cell r="H20">
            <v>8585</v>
          </cell>
        </row>
        <row r="21">
          <cell r="E21">
            <v>0</v>
          </cell>
          <cell r="G21">
            <v>10</v>
          </cell>
          <cell r="H21">
            <v>2000</v>
          </cell>
        </row>
        <row r="22">
          <cell r="E22">
            <v>0</v>
          </cell>
          <cell r="G22">
            <v>0</v>
          </cell>
          <cell r="H22">
            <v>0</v>
          </cell>
        </row>
        <row r="23">
          <cell r="E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G24">
            <v>602</v>
          </cell>
          <cell r="H24">
            <v>4505</v>
          </cell>
        </row>
        <row r="25">
          <cell r="E25">
            <v>0</v>
          </cell>
          <cell r="G25">
            <v>0</v>
          </cell>
          <cell r="H25">
            <v>0</v>
          </cell>
        </row>
        <row r="26">
          <cell r="E26">
            <v>0</v>
          </cell>
          <cell r="G26">
            <v>2272</v>
          </cell>
          <cell r="H26">
            <v>6594</v>
          </cell>
        </row>
        <row r="27">
          <cell r="E27">
            <v>0</v>
          </cell>
          <cell r="G27">
            <v>800</v>
          </cell>
          <cell r="H27">
            <v>51500</v>
          </cell>
        </row>
        <row r="28">
          <cell r="E28">
            <v>0</v>
          </cell>
          <cell r="G28">
            <v>1200</v>
          </cell>
          <cell r="H28">
            <v>400</v>
          </cell>
        </row>
        <row r="29">
          <cell r="E29">
            <v>0</v>
          </cell>
          <cell r="G29">
            <v>0</v>
          </cell>
          <cell r="H29">
            <v>0</v>
          </cell>
        </row>
        <row r="30">
          <cell r="E30">
            <v>0</v>
          </cell>
          <cell r="G30">
            <v>1981</v>
          </cell>
          <cell r="H30">
            <v>1052</v>
          </cell>
        </row>
        <row r="31">
          <cell r="E31">
            <v>0</v>
          </cell>
          <cell r="G31">
            <v>2250</v>
          </cell>
          <cell r="H31">
            <v>0</v>
          </cell>
        </row>
        <row r="32">
          <cell r="E32">
            <v>0</v>
          </cell>
          <cell r="G32">
            <v>1200</v>
          </cell>
          <cell r="H32">
            <v>493</v>
          </cell>
        </row>
        <row r="33">
          <cell r="E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G35">
            <v>1987</v>
          </cell>
          <cell r="H35">
            <v>31302</v>
          </cell>
        </row>
        <row r="36">
          <cell r="E36">
            <v>0</v>
          </cell>
          <cell r="G36">
            <v>2063</v>
          </cell>
          <cell r="H36">
            <v>44244</v>
          </cell>
        </row>
        <row r="37">
          <cell r="E37">
            <v>0</v>
          </cell>
          <cell r="G37">
            <v>0</v>
          </cell>
          <cell r="H37">
            <v>58000</v>
          </cell>
        </row>
        <row r="38">
          <cell r="E38">
            <v>3050</v>
          </cell>
          <cell r="G38">
            <v>0</v>
          </cell>
          <cell r="H38">
            <v>0</v>
          </cell>
        </row>
        <row r="39">
          <cell r="E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G40">
            <v>0</v>
          </cell>
          <cell r="H40">
            <v>275</v>
          </cell>
        </row>
        <row r="41">
          <cell r="E41">
            <v>0</v>
          </cell>
          <cell r="G41">
            <v>5400</v>
          </cell>
          <cell r="H41">
            <v>6660</v>
          </cell>
        </row>
        <row r="42">
          <cell r="E42">
            <v>0</v>
          </cell>
          <cell r="G42">
            <v>8900</v>
          </cell>
          <cell r="H42">
            <v>13640</v>
          </cell>
        </row>
        <row r="43">
          <cell r="E43">
            <v>0</v>
          </cell>
          <cell r="G43">
            <v>1030</v>
          </cell>
          <cell r="H43">
            <v>5995</v>
          </cell>
        </row>
        <row r="44">
          <cell r="E44">
            <v>0</v>
          </cell>
          <cell r="G44">
            <v>8000</v>
          </cell>
          <cell r="H44">
            <v>26180</v>
          </cell>
        </row>
        <row r="45">
          <cell r="E45">
            <v>0</v>
          </cell>
          <cell r="G45">
            <v>1246</v>
          </cell>
          <cell r="H45">
            <v>6545</v>
          </cell>
        </row>
        <row r="46">
          <cell r="E46">
            <v>0</v>
          </cell>
          <cell r="G46">
            <v>6000</v>
          </cell>
          <cell r="H46">
            <v>0</v>
          </cell>
        </row>
        <row r="47">
          <cell r="E47">
            <v>0</v>
          </cell>
          <cell r="G47">
            <v>0</v>
          </cell>
          <cell r="H47">
            <v>8350</v>
          </cell>
        </row>
        <row r="48">
          <cell r="E48">
            <v>0</v>
          </cell>
          <cell r="G48">
            <v>2400</v>
          </cell>
          <cell r="H48">
            <v>0</v>
          </cell>
        </row>
        <row r="49">
          <cell r="E49">
            <v>0</v>
          </cell>
          <cell r="G49">
            <v>400</v>
          </cell>
          <cell r="H49">
            <v>1000</v>
          </cell>
        </row>
        <row r="50">
          <cell r="E50">
            <v>0</v>
          </cell>
          <cell r="G50">
            <v>1000</v>
          </cell>
          <cell r="H50">
            <v>3032</v>
          </cell>
        </row>
        <row r="51">
          <cell r="E51">
            <v>0</v>
          </cell>
          <cell r="G51">
            <v>0</v>
          </cell>
          <cell r="H51">
            <v>0</v>
          </cell>
        </row>
        <row r="52">
          <cell r="E52">
            <v>0</v>
          </cell>
          <cell r="G52">
            <v>5939</v>
          </cell>
          <cell r="H52">
            <v>13779</v>
          </cell>
        </row>
        <row r="53">
          <cell r="E53">
            <v>0</v>
          </cell>
          <cell r="G53">
            <v>360</v>
          </cell>
          <cell r="H53">
            <v>7036</v>
          </cell>
        </row>
        <row r="54">
          <cell r="E54">
            <v>0</v>
          </cell>
          <cell r="G54">
            <v>1426</v>
          </cell>
          <cell r="H54">
            <v>3658</v>
          </cell>
        </row>
        <row r="55">
          <cell r="E55">
            <v>0</v>
          </cell>
          <cell r="G55">
            <v>0</v>
          </cell>
          <cell r="H55">
            <v>2742</v>
          </cell>
        </row>
        <row r="56">
          <cell r="E56">
            <v>0</v>
          </cell>
          <cell r="G56">
            <v>2500</v>
          </cell>
          <cell r="H56">
            <v>150</v>
          </cell>
        </row>
        <row r="57">
          <cell r="E57">
            <v>0</v>
          </cell>
          <cell r="G57">
            <v>0</v>
          </cell>
          <cell r="H57">
            <v>0</v>
          </cell>
        </row>
        <row r="58">
          <cell r="E58">
            <v>0</v>
          </cell>
          <cell r="G58">
            <v>0</v>
          </cell>
          <cell r="H58">
            <v>317</v>
          </cell>
        </row>
        <row r="59">
          <cell r="E59">
            <v>0</v>
          </cell>
          <cell r="G59">
            <v>200</v>
          </cell>
          <cell r="H59">
            <v>4740</v>
          </cell>
        </row>
        <row r="60">
          <cell r="E60">
            <v>0</v>
          </cell>
          <cell r="G60">
            <v>160</v>
          </cell>
          <cell r="H60">
            <v>3200</v>
          </cell>
        </row>
        <row r="61">
          <cell r="E61">
            <v>0</v>
          </cell>
          <cell r="G61">
            <v>506</v>
          </cell>
          <cell r="H61">
            <v>15830</v>
          </cell>
        </row>
        <row r="62">
          <cell r="E62">
            <v>0</v>
          </cell>
          <cell r="G62">
            <v>2150</v>
          </cell>
          <cell r="H62">
            <v>1801</v>
          </cell>
        </row>
        <row r="63">
          <cell r="E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G65">
            <v>0</v>
          </cell>
          <cell r="H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</row>
        <row r="68">
          <cell r="E68">
            <v>0</v>
          </cell>
          <cell r="G68">
            <v>800</v>
          </cell>
          <cell r="H68">
            <v>800</v>
          </cell>
        </row>
        <row r="69">
          <cell r="E69">
            <v>0</v>
          </cell>
          <cell r="G69">
            <v>0</v>
          </cell>
          <cell r="H69">
            <v>0</v>
          </cell>
        </row>
        <row r="70">
          <cell r="E70">
            <v>0</v>
          </cell>
          <cell r="G70">
            <v>0</v>
          </cell>
          <cell r="H70">
            <v>0</v>
          </cell>
        </row>
        <row r="71">
          <cell r="E71">
            <v>6102</v>
          </cell>
          <cell r="G71">
            <v>0</v>
          </cell>
          <cell r="H71">
            <v>0</v>
          </cell>
        </row>
        <row r="72">
          <cell r="E72">
            <v>19904</v>
          </cell>
          <cell r="G72">
            <v>0</v>
          </cell>
          <cell r="H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</row>
        <row r="75">
          <cell r="E75">
            <v>0</v>
          </cell>
          <cell r="G75">
            <v>0</v>
          </cell>
          <cell r="H75">
            <v>0</v>
          </cell>
        </row>
        <row r="76">
          <cell r="E76">
            <v>200</v>
          </cell>
          <cell r="G76">
            <v>0</v>
          </cell>
          <cell r="H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</row>
        <row r="78">
          <cell r="E78">
            <v>50</v>
          </cell>
          <cell r="G78">
            <v>0</v>
          </cell>
          <cell r="H78">
            <v>0</v>
          </cell>
        </row>
        <row r="79">
          <cell r="E79">
            <v>0</v>
          </cell>
          <cell r="G79">
            <v>0</v>
          </cell>
          <cell r="H79">
            <v>0</v>
          </cell>
        </row>
        <row r="80">
          <cell r="E80">
            <v>4000</v>
          </cell>
          <cell r="G80">
            <v>0</v>
          </cell>
          <cell r="H80">
            <v>0</v>
          </cell>
        </row>
        <row r="81">
          <cell r="E81">
            <v>163</v>
          </cell>
          <cell r="G81">
            <v>0</v>
          </cell>
          <cell r="H81">
            <v>0</v>
          </cell>
        </row>
        <row r="82">
          <cell r="E82">
            <v>324</v>
          </cell>
          <cell r="G82">
            <v>0</v>
          </cell>
          <cell r="H82">
            <v>0</v>
          </cell>
        </row>
        <row r="83">
          <cell r="E83">
            <v>0</v>
          </cell>
          <cell r="G83">
            <v>0</v>
          </cell>
          <cell r="H83">
            <v>3940</v>
          </cell>
        </row>
        <row r="84">
          <cell r="E84">
            <v>0</v>
          </cell>
          <cell r="G84">
            <v>0</v>
          </cell>
          <cell r="H84">
            <v>960</v>
          </cell>
        </row>
        <row r="85">
          <cell r="E85">
            <v>0</v>
          </cell>
          <cell r="G85">
            <v>0</v>
          </cell>
          <cell r="H85">
            <v>4300</v>
          </cell>
        </row>
        <row r="86">
          <cell r="E86">
            <v>0</v>
          </cell>
          <cell r="G86">
            <v>0</v>
          </cell>
          <cell r="H86">
            <v>0</v>
          </cell>
        </row>
        <row r="87">
          <cell r="E87">
            <v>0</v>
          </cell>
          <cell r="G87">
            <v>0</v>
          </cell>
          <cell r="H87">
            <v>0</v>
          </cell>
        </row>
        <row r="88">
          <cell r="E88">
            <v>0</v>
          </cell>
          <cell r="G88">
            <v>0</v>
          </cell>
          <cell r="H88">
            <v>0</v>
          </cell>
        </row>
        <row r="89">
          <cell r="E89">
            <v>0</v>
          </cell>
          <cell r="G89">
            <v>0</v>
          </cell>
          <cell r="H89">
            <v>1500</v>
          </cell>
        </row>
        <row r="90">
          <cell r="E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G91">
            <v>0</v>
          </cell>
          <cell r="H91">
            <v>0</v>
          </cell>
        </row>
        <row r="92">
          <cell r="E92">
            <v>0</v>
          </cell>
          <cell r="G92">
            <v>0</v>
          </cell>
          <cell r="H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G94">
            <v>0</v>
          </cell>
          <cell r="H94">
            <v>0</v>
          </cell>
        </row>
        <row r="95">
          <cell r="E95">
            <v>0</v>
          </cell>
          <cell r="G95">
            <v>0</v>
          </cell>
          <cell r="H95">
            <v>0</v>
          </cell>
        </row>
        <row r="96">
          <cell r="E96">
            <v>0</v>
          </cell>
          <cell r="G96">
            <v>0</v>
          </cell>
          <cell r="H96">
            <v>0</v>
          </cell>
        </row>
        <row r="97">
          <cell r="E97">
            <v>0</v>
          </cell>
          <cell r="G97">
            <v>0</v>
          </cell>
          <cell r="H97">
            <v>1025</v>
          </cell>
        </row>
        <row r="98">
          <cell r="E98">
            <v>0</v>
          </cell>
          <cell r="G98">
            <v>0</v>
          </cell>
          <cell r="H98">
            <v>0</v>
          </cell>
        </row>
        <row r="99">
          <cell r="E99">
            <v>0</v>
          </cell>
          <cell r="G99">
            <v>0</v>
          </cell>
          <cell r="H99">
            <v>2960</v>
          </cell>
        </row>
        <row r="100">
          <cell r="E100">
            <v>0</v>
          </cell>
          <cell r="G100">
            <v>2000</v>
          </cell>
          <cell r="H100">
            <v>6000</v>
          </cell>
        </row>
        <row r="101">
          <cell r="E101">
            <v>0</v>
          </cell>
          <cell r="G101">
            <v>0</v>
          </cell>
          <cell r="H101">
            <v>6620</v>
          </cell>
        </row>
        <row r="102">
          <cell r="E102">
            <v>0</v>
          </cell>
          <cell r="G102">
            <v>0</v>
          </cell>
          <cell r="H102">
            <v>0</v>
          </cell>
        </row>
        <row r="103">
          <cell r="E103">
            <v>0</v>
          </cell>
          <cell r="G103">
            <v>2300</v>
          </cell>
          <cell r="H103">
            <v>0</v>
          </cell>
        </row>
        <row r="104">
          <cell r="E104">
            <v>0</v>
          </cell>
          <cell r="G104">
            <v>1440</v>
          </cell>
          <cell r="H104">
            <v>6037</v>
          </cell>
        </row>
        <row r="105">
          <cell r="E105">
            <v>0</v>
          </cell>
          <cell r="G105">
            <v>2277</v>
          </cell>
          <cell r="H105">
            <v>0</v>
          </cell>
        </row>
        <row r="106">
          <cell r="E106">
            <v>0</v>
          </cell>
          <cell r="G106">
            <v>0</v>
          </cell>
          <cell r="H106">
            <v>4000</v>
          </cell>
        </row>
        <row r="107">
          <cell r="E107">
            <v>0</v>
          </cell>
          <cell r="G107">
            <v>1170</v>
          </cell>
          <cell r="H107">
            <v>4791</v>
          </cell>
        </row>
        <row r="108">
          <cell r="E108">
            <v>0</v>
          </cell>
          <cell r="G108">
            <v>2700</v>
          </cell>
          <cell r="H108">
            <v>7080</v>
          </cell>
        </row>
        <row r="109">
          <cell r="E109">
            <v>0</v>
          </cell>
          <cell r="G109">
            <v>1000</v>
          </cell>
          <cell r="H109">
            <v>113</v>
          </cell>
        </row>
        <row r="110">
          <cell r="E110">
            <v>0</v>
          </cell>
          <cell r="G110">
            <v>2150</v>
          </cell>
          <cell r="H110">
            <v>4000</v>
          </cell>
        </row>
        <row r="111">
          <cell r="E111">
            <v>0</v>
          </cell>
          <cell r="G111">
            <v>2600</v>
          </cell>
          <cell r="H111">
            <v>2000</v>
          </cell>
        </row>
        <row r="112">
          <cell r="E112">
            <v>0</v>
          </cell>
          <cell r="G112">
            <v>1874</v>
          </cell>
          <cell r="H112">
            <v>3300</v>
          </cell>
        </row>
        <row r="113">
          <cell r="E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</row>
        <row r="138">
          <cell r="E138">
            <v>0</v>
          </cell>
          <cell r="G138">
            <v>0</v>
          </cell>
          <cell r="H138">
            <v>0</v>
          </cell>
        </row>
        <row r="139">
          <cell r="E139">
            <v>0</v>
          </cell>
          <cell r="G139">
            <v>0</v>
          </cell>
          <cell r="H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G143">
            <v>0</v>
          </cell>
          <cell r="H143">
            <v>0</v>
          </cell>
        </row>
        <row r="144">
          <cell r="E144">
            <v>0</v>
          </cell>
          <cell r="G144">
            <v>0</v>
          </cell>
          <cell r="H144">
            <v>2770</v>
          </cell>
        </row>
        <row r="145">
          <cell r="E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</row>
      </sheetData>
      <sheetData sheetId="17" refreshError="1"/>
      <sheetData sheetId="18"/>
      <sheetData sheetId="19">
        <row r="10">
          <cell r="E10">
            <v>0</v>
          </cell>
          <cell r="G10">
            <v>0</v>
          </cell>
          <cell r="H10">
            <v>0</v>
          </cell>
        </row>
        <row r="11">
          <cell r="E11">
            <v>0</v>
          </cell>
          <cell r="G11">
            <v>0</v>
          </cell>
          <cell r="H11">
            <v>0</v>
          </cell>
        </row>
        <row r="12">
          <cell r="E12">
            <v>0</v>
          </cell>
          <cell r="G12">
            <v>0</v>
          </cell>
          <cell r="H12">
            <v>0</v>
          </cell>
        </row>
        <row r="13">
          <cell r="E13">
            <v>0</v>
          </cell>
          <cell r="G13">
            <v>0</v>
          </cell>
          <cell r="H13">
            <v>0</v>
          </cell>
        </row>
        <row r="14">
          <cell r="E14">
            <v>0</v>
          </cell>
          <cell r="G14">
            <v>0</v>
          </cell>
          <cell r="H14">
            <v>0</v>
          </cell>
        </row>
        <row r="15">
          <cell r="E15">
            <v>0</v>
          </cell>
          <cell r="G15">
            <v>0</v>
          </cell>
          <cell r="H15">
            <v>0</v>
          </cell>
        </row>
        <row r="16">
          <cell r="E16">
            <v>0</v>
          </cell>
          <cell r="G16">
            <v>0</v>
          </cell>
          <cell r="H16">
            <v>0</v>
          </cell>
        </row>
        <row r="17">
          <cell r="E17">
            <v>0</v>
          </cell>
          <cell r="G17">
            <v>-270</v>
          </cell>
          <cell r="H17">
            <v>0</v>
          </cell>
        </row>
        <row r="18">
          <cell r="E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G19">
            <v>0</v>
          </cell>
          <cell r="H19">
            <v>0</v>
          </cell>
        </row>
        <row r="20">
          <cell r="E20">
            <v>0</v>
          </cell>
          <cell r="G20">
            <v>-1074</v>
          </cell>
          <cell r="H20">
            <v>0</v>
          </cell>
        </row>
        <row r="21">
          <cell r="E21">
            <v>0</v>
          </cell>
          <cell r="G21">
            <v>0</v>
          </cell>
          <cell r="H21">
            <v>-39</v>
          </cell>
        </row>
        <row r="22">
          <cell r="E22">
            <v>0</v>
          </cell>
          <cell r="G22">
            <v>0</v>
          </cell>
          <cell r="H22">
            <v>0</v>
          </cell>
        </row>
        <row r="23">
          <cell r="E23">
            <v>0</v>
          </cell>
          <cell r="G23">
            <v>0</v>
          </cell>
          <cell r="H23">
            <v>0</v>
          </cell>
        </row>
        <row r="24">
          <cell r="E24">
            <v>0</v>
          </cell>
          <cell r="G24">
            <v>0</v>
          </cell>
          <cell r="H24">
            <v>0</v>
          </cell>
        </row>
        <row r="25">
          <cell r="E25">
            <v>0</v>
          </cell>
          <cell r="G25">
            <v>0</v>
          </cell>
          <cell r="H25">
            <v>0</v>
          </cell>
        </row>
        <row r="26">
          <cell r="E26">
            <v>0</v>
          </cell>
          <cell r="G26">
            <v>0</v>
          </cell>
          <cell r="H26">
            <v>0</v>
          </cell>
        </row>
        <row r="27">
          <cell r="E27">
            <v>0</v>
          </cell>
          <cell r="G27">
            <v>0</v>
          </cell>
          <cell r="H27">
            <v>4342</v>
          </cell>
        </row>
        <row r="28">
          <cell r="E28">
            <v>0</v>
          </cell>
          <cell r="G28">
            <v>0</v>
          </cell>
          <cell r="H28">
            <v>0</v>
          </cell>
        </row>
        <row r="29">
          <cell r="E29">
            <v>0</v>
          </cell>
          <cell r="G29">
            <v>0</v>
          </cell>
          <cell r="H29">
            <v>0</v>
          </cell>
        </row>
        <row r="30">
          <cell r="E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G31">
            <v>0</v>
          </cell>
          <cell r="H31">
            <v>0</v>
          </cell>
        </row>
        <row r="32">
          <cell r="E32">
            <v>0</v>
          </cell>
          <cell r="G32">
            <v>0</v>
          </cell>
          <cell r="H32">
            <v>0</v>
          </cell>
        </row>
        <row r="33">
          <cell r="E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G34">
            <v>0</v>
          </cell>
          <cell r="H34">
            <v>0</v>
          </cell>
        </row>
        <row r="35">
          <cell r="E35">
            <v>0</v>
          </cell>
          <cell r="G35">
            <v>0</v>
          </cell>
          <cell r="H35">
            <v>4342</v>
          </cell>
        </row>
        <row r="36">
          <cell r="E36">
            <v>0</v>
          </cell>
          <cell r="G36">
            <v>0</v>
          </cell>
          <cell r="H36">
            <v>-3</v>
          </cell>
        </row>
        <row r="37">
          <cell r="E37">
            <v>0</v>
          </cell>
          <cell r="G37">
            <v>0</v>
          </cell>
          <cell r="H37">
            <v>-5512</v>
          </cell>
        </row>
        <row r="38">
          <cell r="E38">
            <v>100</v>
          </cell>
          <cell r="G38">
            <v>0</v>
          </cell>
          <cell r="H38">
            <v>0</v>
          </cell>
        </row>
        <row r="39">
          <cell r="E39">
            <v>0</v>
          </cell>
          <cell r="G39">
            <v>0</v>
          </cell>
          <cell r="H39">
            <v>0</v>
          </cell>
        </row>
        <row r="40">
          <cell r="E40">
            <v>0</v>
          </cell>
          <cell r="G40">
            <v>0</v>
          </cell>
          <cell r="H40">
            <v>0</v>
          </cell>
        </row>
        <row r="41">
          <cell r="E41">
            <v>0</v>
          </cell>
          <cell r="G41">
            <v>0</v>
          </cell>
          <cell r="H41">
            <v>0</v>
          </cell>
        </row>
        <row r="42">
          <cell r="E42">
            <v>0</v>
          </cell>
          <cell r="G42">
            <v>0</v>
          </cell>
          <cell r="H42">
            <v>4342</v>
          </cell>
        </row>
        <row r="43">
          <cell r="E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G44">
            <v>0</v>
          </cell>
          <cell r="H44">
            <v>4342</v>
          </cell>
        </row>
        <row r="45">
          <cell r="E45">
            <v>0</v>
          </cell>
          <cell r="G45">
            <v>0</v>
          </cell>
          <cell r="H45">
            <v>0</v>
          </cell>
        </row>
        <row r="46">
          <cell r="E46">
            <v>0</v>
          </cell>
          <cell r="G46">
            <v>0</v>
          </cell>
          <cell r="H46">
            <v>0</v>
          </cell>
        </row>
        <row r="47">
          <cell r="E47">
            <v>0</v>
          </cell>
          <cell r="G47">
            <v>0</v>
          </cell>
          <cell r="H47">
            <v>0</v>
          </cell>
        </row>
        <row r="48">
          <cell r="E48">
            <v>0</v>
          </cell>
          <cell r="G48">
            <v>0</v>
          </cell>
          <cell r="H48">
            <v>0</v>
          </cell>
        </row>
        <row r="49">
          <cell r="E49">
            <v>0</v>
          </cell>
          <cell r="G49">
            <v>0</v>
          </cell>
          <cell r="H49">
            <v>0</v>
          </cell>
        </row>
        <row r="50">
          <cell r="E50">
            <v>0</v>
          </cell>
          <cell r="G50">
            <v>0</v>
          </cell>
          <cell r="H50">
            <v>0</v>
          </cell>
        </row>
        <row r="51">
          <cell r="E51">
            <v>0</v>
          </cell>
          <cell r="G51">
            <v>0</v>
          </cell>
          <cell r="H51">
            <v>0</v>
          </cell>
        </row>
        <row r="52">
          <cell r="E52">
            <v>0</v>
          </cell>
          <cell r="G52">
            <v>0</v>
          </cell>
          <cell r="H52">
            <v>-10981</v>
          </cell>
        </row>
        <row r="53">
          <cell r="E53">
            <v>0</v>
          </cell>
          <cell r="G53">
            <v>0</v>
          </cell>
          <cell r="H53">
            <v>0</v>
          </cell>
        </row>
        <row r="54">
          <cell r="E54">
            <v>0</v>
          </cell>
          <cell r="G54">
            <v>0</v>
          </cell>
          <cell r="H54">
            <v>0</v>
          </cell>
        </row>
        <row r="55">
          <cell r="E55">
            <v>0</v>
          </cell>
          <cell r="G55">
            <v>0</v>
          </cell>
          <cell r="H55">
            <v>0</v>
          </cell>
        </row>
        <row r="56">
          <cell r="E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</row>
        <row r="61">
          <cell r="E61">
            <v>0</v>
          </cell>
          <cell r="G61">
            <v>0</v>
          </cell>
          <cell r="H61">
            <v>0</v>
          </cell>
        </row>
        <row r="62">
          <cell r="E62">
            <v>0</v>
          </cell>
          <cell r="G62">
            <v>0</v>
          </cell>
          <cell r="H62">
            <v>0</v>
          </cell>
        </row>
        <row r="63">
          <cell r="E63">
            <v>0</v>
          </cell>
          <cell r="G63">
            <v>0</v>
          </cell>
          <cell r="H63">
            <v>0</v>
          </cell>
        </row>
        <row r="64">
          <cell r="E64">
            <v>0</v>
          </cell>
          <cell r="G64">
            <v>0</v>
          </cell>
          <cell r="H64">
            <v>0</v>
          </cell>
        </row>
        <row r="65">
          <cell r="E65">
            <v>0</v>
          </cell>
          <cell r="G65">
            <v>0</v>
          </cell>
          <cell r="H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</row>
        <row r="68">
          <cell r="E68">
            <v>0</v>
          </cell>
          <cell r="G68">
            <v>0</v>
          </cell>
          <cell r="H68">
            <v>-789</v>
          </cell>
        </row>
        <row r="69">
          <cell r="E69">
            <v>0</v>
          </cell>
          <cell r="G69">
            <v>0</v>
          </cell>
          <cell r="H69">
            <v>0</v>
          </cell>
        </row>
        <row r="70">
          <cell r="E70">
            <v>0</v>
          </cell>
          <cell r="G70">
            <v>0</v>
          </cell>
          <cell r="H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</row>
        <row r="72">
          <cell r="E72">
            <v>-274</v>
          </cell>
          <cell r="G72">
            <v>0</v>
          </cell>
          <cell r="H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</row>
        <row r="75">
          <cell r="E75">
            <v>0</v>
          </cell>
          <cell r="G75">
            <v>0</v>
          </cell>
          <cell r="H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</row>
        <row r="79">
          <cell r="E79">
            <v>0</v>
          </cell>
          <cell r="G79">
            <v>0</v>
          </cell>
          <cell r="H79">
            <v>0</v>
          </cell>
        </row>
        <row r="80">
          <cell r="E80">
            <v>174</v>
          </cell>
          <cell r="G80">
            <v>0</v>
          </cell>
          <cell r="H80">
            <v>0</v>
          </cell>
        </row>
        <row r="81">
          <cell r="E81">
            <v>0</v>
          </cell>
          <cell r="G81">
            <v>0</v>
          </cell>
          <cell r="H81">
            <v>0</v>
          </cell>
        </row>
        <row r="82">
          <cell r="E82">
            <v>0</v>
          </cell>
          <cell r="G82">
            <v>0</v>
          </cell>
          <cell r="H82">
            <v>0</v>
          </cell>
        </row>
        <row r="83">
          <cell r="E83">
            <v>0</v>
          </cell>
          <cell r="G83">
            <v>0</v>
          </cell>
          <cell r="H83">
            <v>0</v>
          </cell>
        </row>
        <row r="84">
          <cell r="E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G85">
            <v>1344</v>
          </cell>
          <cell r="H85">
            <v>0</v>
          </cell>
        </row>
        <row r="86">
          <cell r="E86">
            <v>0</v>
          </cell>
          <cell r="G86">
            <v>0</v>
          </cell>
          <cell r="H86">
            <v>0</v>
          </cell>
        </row>
        <row r="87">
          <cell r="E87">
            <v>0</v>
          </cell>
          <cell r="G87">
            <v>0</v>
          </cell>
          <cell r="H87">
            <v>0</v>
          </cell>
        </row>
        <row r="88">
          <cell r="E88">
            <v>0</v>
          </cell>
          <cell r="G88">
            <v>0</v>
          </cell>
          <cell r="H88">
            <v>0</v>
          </cell>
        </row>
        <row r="89">
          <cell r="E89">
            <v>0</v>
          </cell>
          <cell r="G89">
            <v>0</v>
          </cell>
          <cell r="H89">
            <v>0</v>
          </cell>
        </row>
        <row r="90">
          <cell r="E90">
            <v>0</v>
          </cell>
          <cell r="G90">
            <v>0</v>
          </cell>
          <cell r="H90">
            <v>0</v>
          </cell>
        </row>
        <row r="91">
          <cell r="E91">
            <v>0</v>
          </cell>
          <cell r="G91">
            <v>0</v>
          </cell>
          <cell r="H91">
            <v>0</v>
          </cell>
        </row>
        <row r="92">
          <cell r="E92">
            <v>0</v>
          </cell>
          <cell r="G92">
            <v>0</v>
          </cell>
          <cell r="H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</row>
        <row r="94">
          <cell r="E94">
            <v>0</v>
          </cell>
          <cell r="G94">
            <v>0</v>
          </cell>
          <cell r="H94">
            <v>0</v>
          </cell>
        </row>
        <row r="95">
          <cell r="E95">
            <v>0</v>
          </cell>
          <cell r="G95">
            <v>0</v>
          </cell>
          <cell r="H95">
            <v>0</v>
          </cell>
        </row>
        <row r="96">
          <cell r="E96">
            <v>0</v>
          </cell>
          <cell r="G96">
            <v>0</v>
          </cell>
          <cell r="H96">
            <v>0</v>
          </cell>
        </row>
        <row r="97">
          <cell r="E97">
            <v>0</v>
          </cell>
          <cell r="G97">
            <v>0</v>
          </cell>
          <cell r="H97">
            <v>0</v>
          </cell>
        </row>
        <row r="98">
          <cell r="E98">
            <v>0</v>
          </cell>
          <cell r="G98">
            <v>0</v>
          </cell>
          <cell r="H98">
            <v>0</v>
          </cell>
        </row>
        <row r="99">
          <cell r="E99">
            <v>0</v>
          </cell>
          <cell r="G99">
            <v>0</v>
          </cell>
          <cell r="H99">
            <v>0</v>
          </cell>
        </row>
        <row r="100">
          <cell r="E100">
            <v>0</v>
          </cell>
          <cell r="G100">
            <v>0</v>
          </cell>
          <cell r="H100">
            <v>0</v>
          </cell>
        </row>
        <row r="101">
          <cell r="E101">
            <v>0</v>
          </cell>
          <cell r="G101">
            <v>0</v>
          </cell>
          <cell r="H101">
            <v>0</v>
          </cell>
        </row>
        <row r="102">
          <cell r="E102">
            <v>0</v>
          </cell>
          <cell r="G102">
            <v>0</v>
          </cell>
          <cell r="H102">
            <v>0</v>
          </cell>
        </row>
        <row r="103">
          <cell r="E103">
            <v>0</v>
          </cell>
          <cell r="G103">
            <v>0</v>
          </cell>
          <cell r="H103">
            <v>0</v>
          </cell>
        </row>
        <row r="104">
          <cell r="E104">
            <v>0</v>
          </cell>
          <cell r="G104">
            <v>0</v>
          </cell>
          <cell r="H104">
            <v>0</v>
          </cell>
        </row>
        <row r="105">
          <cell r="E105">
            <v>0</v>
          </cell>
          <cell r="G105">
            <v>0</v>
          </cell>
          <cell r="H105">
            <v>0</v>
          </cell>
        </row>
        <row r="106">
          <cell r="E106">
            <v>0</v>
          </cell>
          <cell r="G106">
            <v>0</v>
          </cell>
          <cell r="H106">
            <v>-44</v>
          </cell>
        </row>
        <row r="107">
          <cell r="E107">
            <v>0</v>
          </cell>
          <cell r="G107">
            <v>0</v>
          </cell>
          <cell r="H107">
            <v>0</v>
          </cell>
        </row>
        <row r="108">
          <cell r="E108">
            <v>0</v>
          </cell>
          <cell r="G108">
            <v>0</v>
          </cell>
          <cell r="H108">
            <v>0</v>
          </cell>
        </row>
        <row r="109">
          <cell r="E109">
            <v>0</v>
          </cell>
          <cell r="G109">
            <v>0</v>
          </cell>
          <cell r="H109">
            <v>0</v>
          </cell>
        </row>
        <row r="110">
          <cell r="E110">
            <v>0</v>
          </cell>
          <cell r="G110">
            <v>0</v>
          </cell>
          <cell r="H110">
            <v>0</v>
          </cell>
        </row>
        <row r="111">
          <cell r="E111">
            <v>0</v>
          </cell>
          <cell r="G111">
            <v>0</v>
          </cell>
          <cell r="H111">
            <v>0</v>
          </cell>
        </row>
        <row r="112">
          <cell r="E112">
            <v>0</v>
          </cell>
          <cell r="G112">
            <v>0</v>
          </cell>
          <cell r="H112">
            <v>0</v>
          </cell>
        </row>
        <row r="113">
          <cell r="E113">
            <v>0</v>
          </cell>
          <cell r="G113">
            <v>0</v>
          </cell>
          <cell r="H113">
            <v>0</v>
          </cell>
        </row>
        <row r="114">
          <cell r="E114">
            <v>0</v>
          </cell>
          <cell r="G114">
            <v>0</v>
          </cell>
          <cell r="H114">
            <v>0</v>
          </cell>
        </row>
        <row r="115">
          <cell r="E115">
            <v>0</v>
          </cell>
          <cell r="G115">
            <v>0</v>
          </cell>
          <cell r="H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</row>
        <row r="122">
          <cell r="E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</row>
        <row r="134">
          <cell r="E134">
            <v>0</v>
          </cell>
          <cell r="G134">
            <v>0</v>
          </cell>
          <cell r="H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</row>
        <row r="138">
          <cell r="E138">
            <v>0</v>
          </cell>
          <cell r="G138">
            <v>0</v>
          </cell>
          <cell r="H138">
            <v>0</v>
          </cell>
        </row>
        <row r="139">
          <cell r="E139">
            <v>0</v>
          </cell>
          <cell r="G139">
            <v>0</v>
          </cell>
          <cell r="H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</row>
        <row r="143">
          <cell r="E143">
            <v>0</v>
          </cell>
          <cell r="G143">
            <v>0</v>
          </cell>
          <cell r="H143">
            <v>0</v>
          </cell>
        </row>
        <row r="144">
          <cell r="E144">
            <v>0</v>
          </cell>
          <cell r="G144">
            <v>0</v>
          </cell>
          <cell r="H144">
            <v>0</v>
          </cell>
        </row>
        <row r="145">
          <cell r="E145">
            <v>0</v>
          </cell>
          <cell r="G145">
            <v>0</v>
          </cell>
          <cell r="H145">
            <v>0</v>
          </cell>
        </row>
        <row r="146">
          <cell r="E146">
            <v>0</v>
          </cell>
          <cell r="G146">
            <v>0</v>
          </cell>
          <cell r="H146">
            <v>0</v>
          </cell>
        </row>
        <row r="147">
          <cell r="E147">
            <v>0</v>
          </cell>
          <cell r="G147">
            <v>0</v>
          </cell>
          <cell r="H147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  <sheetName val="Диспан.набл.взрослых Пр.15-23"/>
      <sheetName val="Уточнение Пр.15-23"/>
      <sheetName val="Уточнение Пр.16-23 "/>
      <sheetName val="Диспан.набл.взрослых Пр.16- 23"/>
      <sheetName val="Уточнение Пр.17-23  "/>
      <sheetName val="Диспан.набл.взрослых Пр.17-23"/>
    </sheetNames>
    <sheetDataSet>
      <sheetData sheetId="0"/>
      <sheetData sheetId="1"/>
      <sheetData sheetId="2"/>
      <sheetData sheetId="3"/>
      <sheetData sheetId="4"/>
      <sheetData sheetId="5">
        <row r="12">
          <cell r="D12">
            <v>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7</v>
          </cell>
          <cell r="P12">
            <v>0</v>
          </cell>
          <cell r="Q12">
            <v>0</v>
          </cell>
          <cell r="R12">
            <v>0</v>
          </cell>
        </row>
      </sheetData>
      <sheetData sheetId="6"/>
      <sheetData sheetId="7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</sheetData>
      <sheetData sheetId="8">
        <row r="14">
          <cell r="D14">
            <v>8935</v>
          </cell>
          <cell r="E14">
            <v>7589</v>
          </cell>
          <cell r="F14">
            <v>1136</v>
          </cell>
          <cell r="G14">
            <v>76</v>
          </cell>
          <cell r="H14">
            <v>60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8</v>
          </cell>
          <cell r="O14">
            <v>1</v>
          </cell>
          <cell r="P14">
            <v>0</v>
          </cell>
          <cell r="Q14">
            <v>60</v>
          </cell>
          <cell r="R14">
            <v>4</v>
          </cell>
        </row>
        <row r="15">
          <cell r="E15">
            <v>5362</v>
          </cell>
          <cell r="F15">
            <v>155</v>
          </cell>
          <cell r="G15">
            <v>53</v>
          </cell>
          <cell r="H15">
            <v>23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4</v>
          </cell>
          <cell r="O15">
            <v>0</v>
          </cell>
          <cell r="P15">
            <v>0</v>
          </cell>
          <cell r="Q15">
            <v>18</v>
          </cell>
          <cell r="R15">
            <v>2</v>
          </cell>
        </row>
        <row r="16">
          <cell r="E16">
            <v>13193</v>
          </cell>
          <cell r="F16">
            <v>1387</v>
          </cell>
          <cell r="G16">
            <v>145</v>
          </cell>
          <cell r="H16">
            <v>81</v>
          </cell>
          <cell r="I16">
            <v>0</v>
          </cell>
          <cell r="J16">
            <v>0</v>
          </cell>
          <cell r="K16">
            <v>10</v>
          </cell>
          <cell r="L16">
            <v>1</v>
          </cell>
          <cell r="M16">
            <v>0</v>
          </cell>
          <cell r="N16">
            <v>60</v>
          </cell>
          <cell r="O16">
            <v>4</v>
          </cell>
          <cell r="P16">
            <v>0</v>
          </cell>
          <cell r="Q16">
            <v>48</v>
          </cell>
          <cell r="R16">
            <v>4</v>
          </cell>
        </row>
        <row r="17">
          <cell r="E17">
            <v>4641</v>
          </cell>
          <cell r="F17">
            <v>321</v>
          </cell>
          <cell r="G17">
            <v>74</v>
          </cell>
          <cell r="H17">
            <v>10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</v>
          </cell>
          <cell r="O17">
            <v>0</v>
          </cell>
          <cell r="P17">
            <v>1</v>
          </cell>
          <cell r="Q17">
            <v>15</v>
          </cell>
          <cell r="R17">
            <v>0</v>
          </cell>
        </row>
        <row r="18">
          <cell r="E18">
            <v>4693</v>
          </cell>
          <cell r="F18">
            <v>916</v>
          </cell>
          <cell r="G18">
            <v>52</v>
          </cell>
          <cell r="H18">
            <v>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</v>
          </cell>
          <cell r="O18">
            <v>5</v>
          </cell>
          <cell r="P18">
            <v>3</v>
          </cell>
          <cell r="Q18">
            <v>13</v>
          </cell>
          <cell r="R18">
            <v>0</v>
          </cell>
        </row>
        <row r="19">
          <cell r="E19">
            <v>45681</v>
          </cell>
          <cell r="F19">
            <v>699</v>
          </cell>
          <cell r="G19">
            <v>13</v>
          </cell>
          <cell r="H19">
            <v>38</v>
          </cell>
          <cell r="I19">
            <v>0</v>
          </cell>
          <cell r="J19">
            <v>0</v>
          </cell>
          <cell r="K19">
            <v>1</v>
          </cell>
          <cell r="L19">
            <v>1</v>
          </cell>
          <cell r="M19">
            <v>4</v>
          </cell>
          <cell r="N19">
            <v>66</v>
          </cell>
          <cell r="O19">
            <v>1</v>
          </cell>
          <cell r="P19">
            <v>0</v>
          </cell>
          <cell r="Q19">
            <v>347</v>
          </cell>
          <cell r="R19">
            <v>9</v>
          </cell>
        </row>
        <row r="20">
          <cell r="E20">
            <v>13840</v>
          </cell>
          <cell r="F20">
            <v>1253</v>
          </cell>
          <cell r="G20">
            <v>338</v>
          </cell>
          <cell r="H20">
            <v>21</v>
          </cell>
          <cell r="I20">
            <v>0</v>
          </cell>
          <cell r="J20">
            <v>0</v>
          </cell>
          <cell r="K20">
            <v>12</v>
          </cell>
          <cell r="L20">
            <v>3</v>
          </cell>
          <cell r="M20">
            <v>1</v>
          </cell>
          <cell r="N20">
            <v>1</v>
          </cell>
          <cell r="O20">
            <v>15</v>
          </cell>
          <cell r="P20">
            <v>9</v>
          </cell>
          <cell r="Q20">
            <v>46</v>
          </cell>
          <cell r="R20">
            <v>0</v>
          </cell>
        </row>
        <row r="21">
          <cell r="E21">
            <v>6100</v>
          </cell>
          <cell r="F21">
            <v>3</v>
          </cell>
          <cell r="G21">
            <v>15</v>
          </cell>
          <cell r="H21">
            <v>12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1</v>
          </cell>
          <cell r="N21">
            <v>5</v>
          </cell>
          <cell r="O21">
            <v>9</v>
          </cell>
          <cell r="P21">
            <v>0</v>
          </cell>
          <cell r="Q21">
            <v>49</v>
          </cell>
          <cell r="R21">
            <v>32</v>
          </cell>
        </row>
        <row r="22">
          <cell r="E22">
            <v>7131</v>
          </cell>
          <cell r="F22">
            <v>48</v>
          </cell>
          <cell r="G22">
            <v>1</v>
          </cell>
          <cell r="H22">
            <v>180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3</v>
          </cell>
          <cell r="P22">
            <v>0</v>
          </cell>
          <cell r="Q22">
            <v>12</v>
          </cell>
          <cell r="R22">
            <v>0</v>
          </cell>
        </row>
        <row r="23">
          <cell r="E23">
            <v>8808</v>
          </cell>
          <cell r="F23">
            <v>56</v>
          </cell>
          <cell r="G23">
            <v>0</v>
          </cell>
          <cell r="H23">
            <v>76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0</v>
          </cell>
          <cell r="Q23">
            <v>41</v>
          </cell>
          <cell r="R23">
            <v>25</v>
          </cell>
        </row>
        <row r="24">
          <cell r="E24">
            <v>8436</v>
          </cell>
          <cell r="F24">
            <v>168</v>
          </cell>
          <cell r="G24">
            <v>0</v>
          </cell>
          <cell r="H24">
            <v>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16</v>
          </cell>
          <cell r="O24">
            <v>0</v>
          </cell>
          <cell r="P24">
            <v>0</v>
          </cell>
          <cell r="Q24">
            <v>8</v>
          </cell>
          <cell r="R24">
            <v>1</v>
          </cell>
        </row>
        <row r="25">
          <cell r="E25">
            <v>12692</v>
          </cell>
          <cell r="F25">
            <v>1574</v>
          </cell>
          <cell r="G25">
            <v>316</v>
          </cell>
          <cell r="H25">
            <v>82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</v>
          </cell>
          <cell r="R25">
            <v>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5931</v>
          </cell>
          <cell r="F28">
            <v>294</v>
          </cell>
          <cell r="G28">
            <v>74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18</v>
          </cell>
          <cell r="O28">
            <v>1</v>
          </cell>
          <cell r="P28">
            <v>0</v>
          </cell>
          <cell r="Q28">
            <v>20</v>
          </cell>
          <cell r="R28">
            <v>14</v>
          </cell>
        </row>
        <row r="29">
          <cell r="E29">
            <v>5331</v>
          </cell>
          <cell r="F29">
            <v>757</v>
          </cell>
          <cell r="G29">
            <v>167</v>
          </cell>
          <cell r="H29">
            <v>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83</v>
          </cell>
          <cell r="O29">
            <v>0</v>
          </cell>
          <cell r="P29">
            <v>1</v>
          </cell>
          <cell r="Q29">
            <v>9</v>
          </cell>
          <cell r="R29">
            <v>2</v>
          </cell>
        </row>
        <row r="30">
          <cell r="E30">
            <v>6903</v>
          </cell>
          <cell r="F30">
            <v>380</v>
          </cell>
          <cell r="G30">
            <v>179</v>
          </cell>
          <cell r="H30">
            <v>22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1</v>
          </cell>
          <cell r="N30">
            <v>4</v>
          </cell>
          <cell r="O30">
            <v>0</v>
          </cell>
          <cell r="P30">
            <v>0</v>
          </cell>
          <cell r="Q30">
            <v>129</v>
          </cell>
          <cell r="R30">
            <v>3</v>
          </cell>
        </row>
        <row r="31">
          <cell r="E31">
            <v>12799</v>
          </cell>
          <cell r="F31">
            <v>41</v>
          </cell>
          <cell r="G31">
            <v>50</v>
          </cell>
          <cell r="H31">
            <v>62</v>
          </cell>
          <cell r="I31">
            <v>0</v>
          </cell>
          <cell r="J31">
            <v>0</v>
          </cell>
          <cell r="K31">
            <v>1</v>
          </cell>
          <cell r="L31">
            <v>2</v>
          </cell>
          <cell r="M31">
            <v>0</v>
          </cell>
          <cell r="N31">
            <v>3</v>
          </cell>
          <cell r="O31">
            <v>3</v>
          </cell>
          <cell r="P31">
            <v>6</v>
          </cell>
          <cell r="Q31">
            <v>40</v>
          </cell>
          <cell r="R31">
            <v>18</v>
          </cell>
        </row>
        <row r="32">
          <cell r="E32">
            <v>3220</v>
          </cell>
          <cell r="F32">
            <v>0</v>
          </cell>
          <cell r="G32">
            <v>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</v>
          </cell>
          <cell r="M32">
            <v>0</v>
          </cell>
          <cell r="N32">
            <v>14</v>
          </cell>
          <cell r="O32">
            <v>0</v>
          </cell>
          <cell r="P32">
            <v>0</v>
          </cell>
          <cell r="Q32">
            <v>91</v>
          </cell>
          <cell r="R32">
            <v>0</v>
          </cell>
        </row>
        <row r="33">
          <cell r="E33">
            <v>4406</v>
          </cell>
          <cell r="F33">
            <v>0</v>
          </cell>
          <cell r="G33">
            <v>93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</v>
          </cell>
          <cell r="O33">
            <v>0</v>
          </cell>
          <cell r="P33">
            <v>4</v>
          </cell>
          <cell r="Q33">
            <v>41</v>
          </cell>
          <cell r="R33">
            <v>0</v>
          </cell>
        </row>
        <row r="34">
          <cell r="E34">
            <v>16901</v>
          </cell>
          <cell r="F34">
            <v>525</v>
          </cell>
          <cell r="G34">
            <v>0</v>
          </cell>
          <cell r="H34">
            <v>40</v>
          </cell>
          <cell r="I34">
            <v>0</v>
          </cell>
          <cell r="J34">
            <v>0</v>
          </cell>
          <cell r="K34">
            <v>2</v>
          </cell>
          <cell r="L34">
            <v>0</v>
          </cell>
          <cell r="M34">
            <v>0</v>
          </cell>
          <cell r="N34">
            <v>35</v>
          </cell>
          <cell r="O34">
            <v>1</v>
          </cell>
          <cell r="P34">
            <v>1</v>
          </cell>
          <cell r="Q34">
            <v>86</v>
          </cell>
          <cell r="R34">
            <v>9</v>
          </cell>
        </row>
        <row r="35">
          <cell r="E35">
            <v>16049</v>
          </cell>
          <cell r="F35">
            <v>1481</v>
          </cell>
          <cell r="G35">
            <v>117</v>
          </cell>
          <cell r="H35">
            <v>24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</v>
          </cell>
          <cell r="N35">
            <v>1</v>
          </cell>
          <cell r="O35">
            <v>0</v>
          </cell>
          <cell r="P35">
            <v>5</v>
          </cell>
          <cell r="Q35">
            <v>22</v>
          </cell>
          <cell r="R35">
            <v>1</v>
          </cell>
        </row>
        <row r="36">
          <cell r="E36">
            <v>1984</v>
          </cell>
          <cell r="F36">
            <v>0</v>
          </cell>
          <cell r="G36">
            <v>45</v>
          </cell>
          <cell r="H36">
            <v>32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4</v>
          </cell>
          <cell r="N36">
            <v>13</v>
          </cell>
          <cell r="O36">
            <v>4</v>
          </cell>
          <cell r="P36">
            <v>0</v>
          </cell>
          <cell r="Q36">
            <v>9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39091</v>
          </cell>
          <cell r="F39">
            <v>2465</v>
          </cell>
          <cell r="G39">
            <v>975</v>
          </cell>
          <cell r="H39">
            <v>1145</v>
          </cell>
          <cell r="I39">
            <v>0</v>
          </cell>
          <cell r="J39">
            <v>1</v>
          </cell>
          <cell r="K39">
            <v>4</v>
          </cell>
          <cell r="L39">
            <v>17</v>
          </cell>
          <cell r="M39">
            <v>4</v>
          </cell>
          <cell r="N39">
            <v>36</v>
          </cell>
          <cell r="O39">
            <v>6</v>
          </cell>
          <cell r="P39">
            <v>5</v>
          </cell>
          <cell r="Q39">
            <v>8</v>
          </cell>
          <cell r="R39">
            <v>80</v>
          </cell>
        </row>
        <row r="40">
          <cell r="E40">
            <v>10821</v>
          </cell>
          <cell r="F40">
            <v>458</v>
          </cell>
          <cell r="G40">
            <v>0</v>
          </cell>
          <cell r="H40">
            <v>185</v>
          </cell>
          <cell r="I40">
            <v>0</v>
          </cell>
          <cell r="J40">
            <v>0</v>
          </cell>
          <cell r="K40">
            <v>13</v>
          </cell>
          <cell r="L40">
            <v>0</v>
          </cell>
          <cell r="M40">
            <v>3</v>
          </cell>
          <cell r="N40">
            <v>63</v>
          </cell>
          <cell r="O40">
            <v>0</v>
          </cell>
          <cell r="P40">
            <v>1</v>
          </cell>
          <cell r="Q40">
            <v>13</v>
          </cell>
          <cell r="R40">
            <v>45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2</v>
          </cell>
          <cell r="F44">
            <v>85</v>
          </cell>
          <cell r="G44">
            <v>3</v>
          </cell>
          <cell r="H44">
            <v>11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4</v>
          </cell>
          <cell r="O44">
            <v>0</v>
          </cell>
          <cell r="P44">
            <v>0</v>
          </cell>
          <cell r="Q44">
            <v>50</v>
          </cell>
          <cell r="R44">
            <v>0</v>
          </cell>
        </row>
        <row r="45">
          <cell r="E45">
            <v>16961</v>
          </cell>
          <cell r="F45">
            <v>556</v>
          </cell>
          <cell r="G45">
            <v>418</v>
          </cell>
          <cell r="H45">
            <v>254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</v>
          </cell>
          <cell r="O45">
            <v>6</v>
          </cell>
          <cell r="P45">
            <v>2</v>
          </cell>
          <cell r="Q45">
            <v>3</v>
          </cell>
          <cell r="R45">
            <v>0</v>
          </cell>
        </row>
        <row r="46">
          <cell r="E46">
            <v>24034</v>
          </cell>
          <cell r="F46">
            <v>920</v>
          </cell>
          <cell r="G46">
            <v>625</v>
          </cell>
          <cell r="H46">
            <v>41</v>
          </cell>
          <cell r="I46">
            <v>1</v>
          </cell>
          <cell r="J46">
            <v>0</v>
          </cell>
          <cell r="K46">
            <v>1</v>
          </cell>
          <cell r="L46">
            <v>5</v>
          </cell>
          <cell r="M46">
            <v>0</v>
          </cell>
          <cell r="N46">
            <v>30</v>
          </cell>
          <cell r="O46">
            <v>0</v>
          </cell>
          <cell r="P46">
            <v>0</v>
          </cell>
          <cell r="Q46">
            <v>426</v>
          </cell>
          <cell r="R46">
            <v>18</v>
          </cell>
        </row>
        <row r="47">
          <cell r="E47">
            <v>3024</v>
          </cell>
          <cell r="F47">
            <v>1186</v>
          </cell>
          <cell r="G47">
            <v>8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21</v>
          </cell>
          <cell r="R47">
            <v>0</v>
          </cell>
        </row>
        <row r="48">
          <cell r="E48">
            <v>15130</v>
          </cell>
          <cell r="F48">
            <v>253</v>
          </cell>
          <cell r="G48">
            <v>443</v>
          </cell>
          <cell r="H48">
            <v>51</v>
          </cell>
          <cell r="I48">
            <v>0</v>
          </cell>
          <cell r="J48">
            <v>1</v>
          </cell>
          <cell r="K48">
            <v>20</v>
          </cell>
          <cell r="L48">
            <v>8</v>
          </cell>
          <cell r="M48">
            <v>1</v>
          </cell>
          <cell r="N48">
            <v>13</v>
          </cell>
          <cell r="O48">
            <v>3</v>
          </cell>
          <cell r="P48">
            <v>0</v>
          </cell>
          <cell r="Q48">
            <v>217</v>
          </cell>
          <cell r="R48">
            <v>58</v>
          </cell>
        </row>
        <row r="49">
          <cell r="E49">
            <v>6259</v>
          </cell>
          <cell r="F49">
            <v>242</v>
          </cell>
          <cell r="G49">
            <v>130</v>
          </cell>
          <cell r="H49">
            <v>78</v>
          </cell>
          <cell r="I49">
            <v>0</v>
          </cell>
          <cell r="J49">
            <v>0</v>
          </cell>
          <cell r="K49">
            <v>3</v>
          </cell>
          <cell r="L49">
            <v>2</v>
          </cell>
          <cell r="M49">
            <v>2</v>
          </cell>
          <cell r="N49">
            <v>27</v>
          </cell>
          <cell r="O49">
            <v>1</v>
          </cell>
          <cell r="P49">
            <v>0</v>
          </cell>
          <cell r="Q49">
            <v>7</v>
          </cell>
          <cell r="R49">
            <v>0</v>
          </cell>
        </row>
        <row r="50">
          <cell r="E50">
            <v>26192</v>
          </cell>
          <cell r="F50">
            <v>3487</v>
          </cell>
          <cell r="G50">
            <v>594</v>
          </cell>
          <cell r="H50">
            <v>336</v>
          </cell>
          <cell r="I50">
            <v>0</v>
          </cell>
          <cell r="J50">
            <v>2</v>
          </cell>
          <cell r="K50">
            <v>21</v>
          </cell>
          <cell r="L50">
            <v>5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31</v>
          </cell>
          <cell r="R50">
            <v>8</v>
          </cell>
        </row>
        <row r="51">
          <cell r="E51">
            <v>6400</v>
          </cell>
          <cell r="F51">
            <v>433</v>
          </cell>
          <cell r="G51">
            <v>0</v>
          </cell>
          <cell r="H51">
            <v>39</v>
          </cell>
          <cell r="I51">
            <v>0</v>
          </cell>
          <cell r="J51">
            <v>0</v>
          </cell>
          <cell r="K51">
            <v>13</v>
          </cell>
          <cell r="L51">
            <v>2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</row>
        <row r="52">
          <cell r="E52">
            <v>6886</v>
          </cell>
          <cell r="F52">
            <v>133</v>
          </cell>
          <cell r="G52">
            <v>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</v>
          </cell>
          <cell r="O52">
            <v>0</v>
          </cell>
          <cell r="P52">
            <v>0</v>
          </cell>
          <cell r="Q52">
            <v>42</v>
          </cell>
          <cell r="R52">
            <v>0</v>
          </cell>
        </row>
        <row r="53">
          <cell r="E53">
            <v>9771</v>
          </cell>
          <cell r="F53">
            <v>736</v>
          </cell>
          <cell r="G53">
            <v>141</v>
          </cell>
          <cell r="H53">
            <v>384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</v>
          </cell>
          <cell r="N53">
            <v>77</v>
          </cell>
          <cell r="O53">
            <v>7</v>
          </cell>
          <cell r="P53">
            <v>0</v>
          </cell>
          <cell r="Q53">
            <v>33</v>
          </cell>
          <cell r="R53">
            <v>0</v>
          </cell>
        </row>
        <row r="54">
          <cell r="E54">
            <v>4575</v>
          </cell>
          <cell r="F54">
            <v>135</v>
          </cell>
          <cell r="G54">
            <v>0</v>
          </cell>
          <cell r="H54">
            <v>8</v>
          </cell>
          <cell r="I54">
            <v>0</v>
          </cell>
          <cell r="J54">
            <v>2</v>
          </cell>
          <cell r="K54">
            <v>0</v>
          </cell>
          <cell r="L54">
            <v>0</v>
          </cell>
          <cell r="M54">
            <v>1</v>
          </cell>
          <cell r="N54">
            <v>35</v>
          </cell>
          <cell r="O54">
            <v>3</v>
          </cell>
          <cell r="P54">
            <v>0</v>
          </cell>
          <cell r="Q54">
            <v>19</v>
          </cell>
          <cell r="R54">
            <v>0</v>
          </cell>
        </row>
        <row r="55">
          <cell r="E55">
            <v>1015</v>
          </cell>
          <cell r="F55">
            <v>318</v>
          </cell>
          <cell r="G55">
            <v>38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</v>
          </cell>
          <cell r="O55">
            <v>0</v>
          </cell>
          <cell r="P55">
            <v>0</v>
          </cell>
          <cell r="Q55">
            <v>1</v>
          </cell>
          <cell r="R55">
            <v>1</v>
          </cell>
        </row>
        <row r="56">
          <cell r="E56">
            <v>28024</v>
          </cell>
          <cell r="F56">
            <v>995</v>
          </cell>
          <cell r="G56">
            <v>1158</v>
          </cell>
          <cell r="H56">
            <v>126</v>
          </cell>
          <cell r="I56">
            <v>0</v>
          </cell>
          <cell r="J56">
            <v>5</v>
          </cell>
          <cell r="K56">
            <v>13</v>
          </cell>
          <cell r="L56">
            <v>1</v>
          </cell>
          <cell r="M56">
            <v>6</v>
          </cell>
          <cell r="N56">
            <v>142</v>
          </cell>
          <cell r="O56">
            <v>6</v>
          </cell>
          <cell r="P56">
            <v>0</v>
          </cell>
          <cell r="Q56">
            <v>72</v>
          </cell>
          <cell r="R56">
            <v>2</v>
          </cell>
        </row>
        <row r="57">
          <cell r="E57">
            <v>6154</v>
          </cell>
          <cell r="F57">
            <v>1220</v>
          </cell>
          <cell r="G57">
            <v>92</v>
          </cell>
          <cell r="H57">
            <v>173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14</v>
          </cell>
          <cell r="O57">
            <v>1</v>
          </cell>
          <cell r="P57">
            <v>0</v>
          </cell>
          <cell r="Q57">
            <v>15</v>
          </cell>
          <cell r="R57">
            <v>0</v>
          </cell>
        </row>
        <row r="58">
          <cell r="E58">
            <v>11538</v>
          </cell>
          <cell r="F58">
            <v>94</v>
          </cell>
          <cell r="G58">
            <v>78</v>
          </cell>
          <cell r="H58">
            <v>9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7</v>
          </cell>
          <cell r="O58">
            <v>1</v>
          </cell>
          <cell r="P58">
            <v>0</v>
          </cell>
          <cell r="Q58">
            <v>83</v>
          </cell>
          <cell r="R58">
            <v>14</v>
          </cell>
        </row>
        <row r="59">
          <cell r="E59">
            <v>6802</v>
          </cell>
          <cell r="F59">
            <v>1</v>
          </cell>
          <cell r="G59">
            <v>8</v>
          </cell>
          <cell r="H59">
            <v>29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1</v>
          </cell>
          <cell r="N59">
            <v>3</v>
          </cell>
          <cell r="O59">
            <v>2</v>
          </cell>
          <cell r="P59">
            <v>9</v>
          </cell>
          <cell r="Q59">
            <v>18</v>
          </cell>
          <cell r="R59">
            <v>2</v>
          </cell>
        </row>
        <row r="60">
          <cell r="E60">
            <v>9798</v>
          </cell>
          <cell r="F60">
            <v>427</v>
          </cell>
          <cell r="G60">
            <v>137</v>
          </cell>
          <cell r="H60">
            <v>227</v>
          </cell>
          <cell r="I60">
            <v>0</v>
          </cell>
          <cell r="J60">
            <v>3</v>
          </cell>
          <cell r="K60">
            <v>0</v>
          </cell>
          <cell r="L60">
            <v>0</v>
          </cell>
          <cell r="M60">
            <v>3</v>
          </cell>
          <cell r="N60">
            <v>11</v>
          </cell>
          <cell r="O60">
            <v>8</v>
          </cell>
          <cell r="P60">
            <v>3</v>
          </cell>
          <cell r="Q60">
            <v>26</v>
          </cell>
          <cell r="R60">
            <v>0</v>
          </cell>
        </row>
        <row r="61">
          <cell r="E61">
            <v>9702</v>
          </cell>
          <cell r="F61">
            <v>119</v>
          </cell>
          <cell r="G61">
            <v>253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</v>
          </cell>
          <cell r="N61">
            <v>6</v>
          </cell>
          <cell r="O61">
            <v>1</v>
          </cell>
          <cell r="P61">
            <v>0</v>
          </cell>
          <cell r="Q61">
            <v>30</v>
          </cell>
          <cell r="R61">
            <v>0</v>
          </cell>
        </row>
        <row r="62">
          <cell r="E62">
            <v>2953</v>
          </cell>
          <cell r="F62">
            <v>168</v>
          </cell>
          <cell r="G62">
            <v>10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796</v>
          </cell>
          <cell r="O62">
            <v>0</v>
          </cell>
          <cell r="P62">
            <v>0</v>
          </cell>
          <cell r="Q62">
            <v>14</v>
          </cell>
          <cell r="R62">
            <v>0</v>
          </cell>
        </row>
        <row r="63">
          <cell r="E63">
            <v>5102</v>
          </cell>
          <cell r="F63">
            <v>164</v>
          </cell>
          <cell r="G63">
            <v>100</v>
          </cell>
          <cell r="H63">
            <v>32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24</v>
          </cell>
          <cell r="O63">
            <v>0</v>
          </cell>
          <cell r="P63">
            <v>0</v>
          </cell>
          <cell r="Q63">
            <v>6</v>
          </cell>
          <cell r="R63">
            <v>0</v>
          </cell>
        </row>
        <row r="64">
          <cell r="E64">
            <v>11219</v>
          </cell>
          <cell r="F64">
            <v>1258</v>
          </cell>
          <cell r="G64">
            <v>243</v>
          </cell>
          <cell r="H64">
            <v>1</v>
          </cell>
          <cell r="I64">
            <v>0</v>
          </cell>
          <cell r="J64">
            <v>0</v>
          </cell>
          <cell r="K64">
            <v>5</v>
          </cell>
          <cell r="L64">
            <v>0</v>
          </cell>
          <cell r="M64">
            <v>4</v>
          </cell>
          <cell r="N64">
            <v>51</v>
          </cell>
          <cell r="O64">
            <v>2</v>
          </cell>
          <cell r="P64">
            <v>0</v>
          </cell>
          <cell r="Q64">
            <v>128</v>
          </cell>
          <cell r="R64">
            <v>1</v>
          </cell>
        </row>
        <row r="65">
          <cell r="E65">
            <v>33912</v>
          </cell>
          <cell r="F65">
            <v>1014</v>
          </cell>
          <cell r="G65">
            <v>596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2</v>
          </cell>
          <cell r="M65">
            <v>2</v>
          </cell>
          <cell r="N65">
            <v>4</v>
          </cell>
          <cell r="O65">
            <v>11</v>
          </cell>
          <cell r="P65">
            <v>0</v>
          </cell>
          <cell r="Q65">
            <v>126</v>
          </cell>
          <cell r="R65">
            <v>0</v>
          </cell>
        </row>
        <row r="66">
          <cell r="E66">
            <v>5866</v>
          </cell>
          <cell r="F66">
            <v>22</v>
          </cell>
          <cell r="G66">
            <v>56</v>
          </cell>
          <cell r="H66">
            <v>2</v>
          </cell>
          <cell r="I66">
            <v>0</v>
          </cell>
          <cell r="J66">
            <v>0</v>
          </cell>
          <cell r="K66">
            <v>3</v>
          </cell>
          <cell r="L66">
            <v>1</v>
          </cell>
          <cell r="M66">
            <v>0</v>
          </cell>
          <cell r="N66">
            <v>9</v>
          </cell>
          <cell r="O66">
            <v>1</v>
          </cell>
          <cell r="P66">
            <v>0</v>
          </cell>
          <cell r="Q66">
            <v>9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23465</v>
          </cell>
          <cell r="F77">
            <v>1388</v>
          </cell>
          <cell r="G77">
            <v>1256</v>
          </cell>
          <cell r="H77">
            <v>59</v>
          </cell>
          <cell r="I77">
            <v>0</v>
          </cell>
          <cell r="J77">
            <v>4</v>
          </cell>
          <cell r="K77">
            <v>3</v>
          </cell>
          <cell r="L77">
            <v>0</v>
          </cell>
          <cell r="M77">
            <v>10</v>
          </cell>
          <cell r="N77">
            <v>87</v>
          </cell>
          <cell r="O77">
            <v>0</v>
          </cell>
          <cell r="P77">
            <v>0</v>
          </cell>
          <cell r="Q77">
            <v>189</v>
          </cell>
          <cell r="R77">
            <v>9</v>
          </cell>
        </row>
        <row r="78">
          <cell r="E78">
            <v>27108</v>
          </cell>
          <cell r="F78">
            <v>2029</v>
          </cell>
          <cell r="G78">
            <v>388</v>
          </cell>
          <cell r="H78">
            <v>71</v>
          </cell>
          <cell r="I78">
            <v>0</v>
          </cell>
          <cell r="J78">
            <v>0</v>
          </cell>
          <cell r="K78">
            <v>6</v>
          </cell>
          <cell r="L78">
            <v>0</v>
          </cell>
          <cell r="M78">
            <v>10</v>
          </cell>
          <cell r="N78">
            <v>234</v>
          </cell>
          <cell r="O78">
            <v>0</v>
          </cell>
          <cell r="P78">
            <v>181</v>
          </cell>
          <cell r="Q78">
            <v>0</v>
          </cell>
          <cell r="R78">
            <v>0</v>
          </cell>
        </row>
        <row r="79">
          <cell r="E79">
            <v>37165</v>
          </cell>
          <cell r="F79">
            <v>3105</v>
          </cell>
          <cell r="G79">
            <v>497</v>
          </cell>
          <cell r="H79">
            <v>710</v>
          </cell>
          <cell r="I79">
            <v>0</v>
          </cell>
          <cell r="J79">
            <v>0</v>
          </cell>
          <cell r="K79">
            <v>46</v>
          </cell>
          <cell r="L79">
            <v>3</v>
          </cell>
          <cell r="M79">
            <v>24</v>
          </cell>
          <cell r="N79">
            <v>147</v>
          </cell>
          <cell r="O79">
            <v>0</v>
          </cell>
          <cell r="P79">
            <v>199</v>
          </cell>
          <cell r="Q79">
            <v>235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7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19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22627</v>
          </cell>
          <cell r="F87">
            <v>1453</v>
          </cell>
          <cell r="G87">
            <v>1012</v>
          </cell>
          <cell r="H87">
            <v>424</v>
          </cell>
          <cell r="I87">
            <v>0</v>
          </cell>
          <cell r="J87">
            <v>0</v>
          </cell>
          <cell r="K87">
            <v>40</v>
          </cell>
          <cell r="L87">
            <v>4</v>
          </cell>
          <cell r="M87">
            <v>1</v>
          </cell>
          <cell r="N87">
            <v>65</v>
          </cell>
          <cell r="O87">
            <v>3</v>
          </cell>
          <cell r="P87">
            <v>0</v>
          </cell>
          <cell r="Q87">
            <v>274</v>
          </cell>
          <cell r="R87">
            <v>1</v>
          </cell>
        </row>
        <row r="88">
          <cell r="E88">
            <v>29964</v>
          </cell>
          <cell r="F88">
            <v>4660</v>
          </cell>
          <cell r="G88">
            <v>1231</v>
          </cell>
          <cell r="H88">
            <v>520</v>
          </cell>
          <cell r="I88">
            <v>1</v>
          </cell>
          <cell r="J88">
            <v>1</v>
          </cell>
          <cell r="K88">
            <v>15</v>
          </cell>
          <cell r="L88">
            <v>2</v>
          </cell>
          <cell r="M88">
            <v>34</v>
          </cell>
          <cell r="N88">
            <v>327</v>
          </cell>
          <cell r="O88">
            <v>0</v>
          </cell>
          <cell r="P88">
            <v>18</v>
          </cell>
          <cell r="Q88">
            <v>281</v>
          </cell>
          <cell r="R88">
            <v>59</v>
          </cell>
        </row>
        <row r="89">
          <cell r="E89">
            <v>28302</v>
          </cell>
          <cell r="F89">
            <v>1137</v>
          </cell>
          <cell r="G89">
            <v>1966</v>
          </cell>
          <cell r="H89">
            <v>291</v>
          </cell>
          <cell r="I89">
            <v>1</v>
          </cell>
          <cell r="J89">
            <v>0</v>
          </cell>
          <cell r="K89">
            <v>13</v>
          </cell>
          <cell r="L89">
            <v>2</v>
          </cell>
          <cell r="M89">
            <v>1</v>
          </cell>
          <cell r="N89">
            <v>130</v>
          </cell>
          <cell r="O89">
            <v>9</v>
          </cell>
          <cell r="P89">
            <v>0</v>
          </cell>
          <cell r="Q89">
            <v>112</v>
          </cell>
          <cell r="R89">
            <v>7</v>
          </cell>
        </row>
        <row r="90">
          <cell r="E90">
            <v>9878</v>
          </cell>
          <cell r="F90">
            <v>49</v>
          </cell>
          <cell r="G90">
            <v>150</v>
          </cell>
          <cell r="H90">
            <v>35</v>
          </cell>
          <cell r="I90">
            <v>0</v>
          </cell>
          <cell r="J90">
            <v>1</v>
          </cell>
          <cell r="K90">
            <v>13</v>
          </cell>
          <cell r="L90">
            <v>0</v>
          </cell>
          <cell r="M90">
            <v>0</v>
          </cell>
          <cell r="N90">
            <v>0</v>
          </cell>
          <cell r="O90">
            <v>13</v>
          </cell>
          <cell r="P90">
            <v>0</v>
          </cell>
          <cell r="Q90">
            <v>167</v>
          </cell>
          <cell r="R90">
            <v>0</v>
          </cell>
        </row>
        <row r="91">
          <cell r="E91">
            <v>52894</v>
          </cell>
          <cell r="F91">
            <v>4321</v>
          </cell>
          <cell r="G91">
            <v>640</v>
          </cell>
          <cell r="H91">
            <v>221</v>
          </cell>
          <cell r="I91">
            <v>0</v>
          </cell>
          <cell r="J91">
            <v>0</v>
          </cell>
          <cell r="K91">
            <v>9</v>
          </cell>
          <cell r="L91">
            <v>10</v>
          </cell>
          <cell r="M91">
            <v>1</v>
          </cell>
          <cell r="N91">
            <v>116</v>
          </cell>
          <cell r="O91">
            <v>8</v>
          </cell>
          <cell r="P91">
            <v>0</v>
          </cell>
          <cell r="Q91">
            <v>177</v>
          </cell>
          <cell r="R91">
            <v>43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32003</v>
          </cell>
          <cell r="F93">
            <v>4187</v>
          </cell>
          <cell r="G93">
            <v>920</v>
          </cell>
          <cell r="H93">
            <v>124</v>
          </cell>
          <cell r="I93">
            <v>0</v>
          </cell>
          <cell r="J93">
            <v>0</v>
          </cell>
          <cell r="K93">
            <v>22</v>
          </cell>
          <cell r="L93">
            <v>1</v>
          </cell>
          <cell r="M93">
            <v>2</v>
          </cell>
          <cell r="N93">
            <v>143</v>
          </cell>
          <cell r="O93">
            <v>2</v>
          </cell>
          <cell r="P93">
            <v>46</v>
          </cell>
          <cell r="Q93">
            <v>91</v>
          </cell>
          <cell r="R93">
            <v>31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154</v>
          </cell>
          <cell r="F96">
            <v>38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1740</v>
          </cell>
          <cell r="F100">
            <v>416</v>
          </cell>
          <cell r="G100">
            <v>0</v>
          </cell>
          <cell r="H100">
            <v>11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5333</v>
          </cell>
          <cell r="F101">
            <v>974</v>
          </cell>
          <cell r="G101">
            <v>156</v>
          </cell>
          <cell r="H101">
            <v>150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</v>
          </cell>
          <cell r="N101">
            <v>0</v>
          </cell>
          <cell r="O101">
            <v>1</v>
          </cell>
          <cell r="P101">
            <v>3</v>
          </cell>
          <cell r="Q101">
            <v>0</v>
          </cell>
          <cell r="R101">
            <v>69</v>
          </cell>
        </row>
        <row r="102">
          <cell r="E102">
            <v>3740</v>
          </cell>
          <cell r="F102">
            <v>649</v>
          </cell>
          <cell r="G102">
            <v>4</v>
          </cell>
          <cell r="H102">
            <v>94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19</v>
          </cell>
          <cell r="R102">
            <v>71</v>
          </cell>
        </row>
        <row r="103">
          <cell r="E103">
            <v>3552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5</v>
          </cell>
          <cell r="N103">
            <v>3</v>
          </cell>
          <cell r="O103">
            <v>0</v>
          </cell>
          <cell r="P103">
            <v>0</v>
          </cell>
          <cell r="Q103">
            <v>16</v>
          </cell>
          <cell r="R103">
            <v>5</v>
          </cell>
        </row>
        <row r="104">
          <cell r="E104">
            <v>12785</v>
          </cell>
          <cell r="F104">
            <v>121</v>
          </cell>
          <cell r="G104">
            <v>100</v>
          </cell>
          <cell r="H104">
            <v>79</v>
          </cell>
          <cell r="I104">
            <v>0</v>
          </cell>
          <cell r="J104">
            <v>0</v>
          </cell>
          <cell r="K104">
            <v>3</v>
          </cell>
          <cell r="L104">
            <v>0</v>
          </cell>
          <cell r="M104">
            <v>2</v>
          </cell>
          <cell r="N104">
            <v>18</v>
          </cell>
          <cell r="O104">
            <v>4</v>
          </cell>
          <cell r="P104">
            <v>0</v>
          </cell>
          <cell r="Q104">
            <v>28</v>
          </cell>
          <cell r="R104">
            <v>0</v>
          </cell>
        </row>
        <row r="105">
          <cell r="E105">
            <v>4763</v>
          </cell>
          <cell r="F105">
            <v>351</v>
          </cell>
          <cell r="G105">
            <v>95</v>
          </cell>
          <cell r="H105">
            <v>0</v>
          </cell>
          <cell r="I105">
            <v>0</v>
          </cell>
          <cell r="J105">
            <v>0</v>
          </cell>
          <cell r="K105">
            <v>2</v>
          </cell>
          <cell r="L105">
            <v>0</v>
          </cell>
          <cell r="M105">
            <v>1</v>
          </cell>
          <cell r="N105">
            <v>30</v>
          </cell>
          <cell r="O105">
            <v>0</v>
          </cell>
          <cell r="P105">
            <v>0</v>
          </cell>
          <cell r="Q105">
            <v>19</v>
          </cell>
          <cell r="R105">
            <v>3</v>
          </cell>
        </row>
        <row r="106">
          <cell r="E106">
            <v>9461</v>
          </cell>
          <cell r="F106">
            <v>565</v>
          </cell>
          <cell r="G106">
            <v>220</v>
          </cell>
          <cell r="H106">
            <v>138</v>
          </cell>
          <cell r="I106">
            <v>0</v>
          </cell>
          <cell r="J106">
            <v>0</v>
          </cell>
          <cell r="K106">
            <v>0</v>
          </cell>
          <cell r="L106">
            <v>3</v>
          </cell>
          <cell r="M106">
            <v>6</v>
          </cell>
          <cell r="N106">
            <v>10</v>
          </cell>
          <cell r="O106">
            <v>0</v>
          </cell>
          <cell r="P106">
            <v>0</v>
          </cell>
          <cell r="Q106">
            <v>77</v>
          </cell>
          <cell r="R106">
            <v>5</v>
          </cell>
        </row>
        <row r="107">
          <cell r="E107">
            <v>8534</v>
          </cell>
          <cell r="F107">
            <v>858</v>
          </cell>
          <cell r="G107">
            <v>200</v>
          </cell>
          <cell r="H107">
            <v>38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2</v>
          </cell>
          <cell r="O107">
            <v>0</v>
          </cell>
          <cell r="P107">
            <v>0</v>
          </cell>
          <cell r="Q107">
            <v>22</v>
          </cell>
          <cell r="R107">
            <v>1</v>
          </cell>
        </row>
        <row r="108">
          <cell r="E108">
            <v>7513</v>
          </cell>
          <cell r="F108">
            <v>794</v>
          </cell>
          <cell r="G108">
            <v>2</v>
          </cell>
          <cell r="H108">
            <v>28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17</v>
          </cell>
          <cell r="N108">
            <v>4</v>
          </cell>
          <cell r="O108">
            <v>2</v>
          </cell>
          <cell r="P108">
            <v>2</v>
          </cell>
          <cell r="Q108">
            <v>21</v>
          </cell>
          <cell r="R108">
            <v>7</v>
          </cell>
        </row>
        <row r="109">
          <cell r="E109">
            <v>4652</v>
          </cell>
          <cell r="F109">
            <v>193</v>
          </cell>
          <cell r="G109">
            <v>70</v>
          </cell>
          <cell r="H109">
            <v>16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35</v>
          </cell>
          <cell r="O109">
            <v>0</v>
          </cell>
          <cell r="P109">
            <v>0</v>
          </cell>
          <cell r="Q109">
            <v>20</v>
          </cell>
          <cell r="R109">
            <v>7</v>
          </cell>
        </row>
        <row r="110">
          <cell r="E110">
            <v>6908</v>
          </cell>
          <cell r="F110">
            <v>33</v>
          </cell>
          <cell r="G110">
            <v>185</v>
          </cell>
          <cell r="H110">
            <v>25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7</v>
          </cell>
          <cell r="O110">
            <v>0</v>
          </cell>
          <cell r="P110">
            <v>0</v>
          </cell>
          <cell r="Q110">
            <v>61</v>
          </cell>
          <cell r="R110">
            <v>0</v>
          </cell>
        </row>
        <row r="111">
          <cell r="E111">
            <v>6390</v>
          </cell>
          <cell r="F111">
            <v>455</v>
          </cell>
          <cell r="G111">
            <v>16</v>
          </cell>
          <cell r="H111">
            <v>27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24</v>
          </cell>
        </row>
        <row r="112">
          <cell r="E112">
            <v>5484</v>
          </cell>
          <cell r="F112">
            <v>777</v>
          </cell>
          <cell r="G112">
            <v>47</v>
          </cell>
          <cell r="H112">
            <v>10</v>
          </cell>
          <cell r="I112">
            <v>0</v>
          </cell>
          <cell r="J112">
            <v>0</v>
          </cell>
          <cell r="K112">
            <v>4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58</v>
          </cell>
          <cell r="R112">
            <v>27</v>
          </cell>
        </row>
        <row r="113">
          <cell r="E113">
            <v>4161</v>
          </cell>
          <cell r="F113">
            <v>91</v>
          </cell>
          <cell r="G113">
            <v>46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</v>
          </cell>
          <cell r="N113">
            <v>37</v>
          </cell>
          <cell r="O113">
            <v>0</v>
          </cell>
          <cell r="P113">
            <v>0</v>
          </cell>
          <cell r="Q113">
            <v>8</v>
          </cell>
          <cell r="R113">
            <v>1</v>
          </cell>
        </row>
        <row r="114">
          <cell r="E114">
            <v>7346</v>
          </cell>
          <cell r="F114">
            <v>843</v>
          </cell>
          <cell r="G114">
            <v>144</v>
          </cell>
          <cell r="H114">
            <v>31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</v>
          </cell>
          <cell r="O114">
            <v>0</v>
          </cell>
          <cell r="P114">
            <v>0</v>
          </cell>
          <cell r="Q114">
            <v>12</v>
          </cell>
          <cell r="R114">
            <v>0</v>
          </cell>
        </row>
        <row r="115">
          <cell r="E115">
            <v>10623</v>
          </cell>
          <cell r="F115">
            <v>1840</v>
          </cell>
          <cell r="G115">
            <v>81</v>
          </cell>
          <cell r="H115">
            <v>13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1</v>
          </cell>
          <cell r="N115">
            <v>213</v>
          </cell>
          <cell r="O115">
            <v>8</v>
          </cell>
          <cell r="P115">
            <v>7</v>
          </cell>
          <cell r="Q115">
            <v>65</v>
          </cell>
          <cell r="R115">
            <v>1</v>
          </cell>
        </row>
        <row r="116">
          <cell r="E116">
            <v>6917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3</v>
          </cell>
          <cell r="N116">
            <v>3</v>
          </cell>
          <cell r="O116">
            <v>3</v>
          </cell>
          <cell r="P116">
            <v>0</v>
          </cell>
          <cell r="Q116">
            <v>84</v>
          </cell>
          <cell r="R116">
            <v>36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15756</v>
          </cell>
          <cell r="F147">
            <v>3685</v>
          </cell>
          <cell r="G147">
            <v>376</v>
          </cell>
          <cell r="H147">
            <v>75</v>
          </cell>
          <cell r="I147">
            <v>0</v>
          </cell>
          <cell r="J147">
            <v>0</v>
          </cell>
          <cell r="K147">
            <v>13</v>
          </cell>
          <cell r="L147">
            <v>0</v>
          </cell>
          <cell r="M147">
            <v>11</v>
          </cell>
          <cell r="N147">
            <v>138</v>
          </cell>
          <cell r="O147">
            <v>0</v>
          </cell>
          <cell r="P147">
            <v>51</v>
          </cell>
          <cell r="Q147">
            <v>0</v>
          </cell>
          <cell r="R147">
            <v>25</v>
          </cell>
        </row>
        <row r="148">
          <cell r="E148">
            <v>20292</v>
          </cell>
          <cell r="F148">
            <v>3046</v>
          </cell>
          <cell r="G148">
            <v>706</v>
          </cell>
          <cell r="H148">
            <v>180</v>
          </cell>
          <cell r="I148">
            <v>0</v>
          </cell>
          <cell r="J148">
            <v>0</v>
          </cell>
          <cell r="K148">
            <v>0</v>
          </cell>
          <cell r="L148">
            <v>4</v>
          </cell>
          <cell r="M148">
            <v>13</v>
          </cell>
          <cell r="N148">
            <v>0</v>
          </cell>
          <cell r="O148">
            <v>2</v>
          </cell>
          <cell r="P148">
            <v>0</v>
          </cell>
          <cell r="Q148">
            <v>219</v>
          </cell>
          <cell r="R148">
            <v>37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9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932</v>
          </cell>
          <cell r="F88">
            <v>0</v>
          </cell>
          <cell r="G88">
            <v>-800</v>
          </cell>
          <cell r="H88">
            <v>0</v>
          </cell>
          <cell r="I88">
            <v>0</v>
          </cell>
          <cell r="J88">
            <v>0</v>
          </cell>
          <cell r="K88">
            <v>-14</v>
          </cell>
          <cell r="L88">
            <v>0</v>
          </cell>
          <cell r="M88">
            <v>0</v>
          </cell>
          <cell r="N88">
            <v>-118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  <sheetName val="Уточнение Пр.16-23"/>
      <sheetName val="Углуб.дисп.Пр. 16-23"/>
      <sheetName val="Уточнение Пр.17-23 "/>
      <sheetName val="Углуб.дисп.Пр. 17-23"/>
      <sheetName val="Углуб.дисп.Пр. 18-23 "/>
      <sheetName val="откл.Пр.18-23-Пр.17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ы здоровья Пр.20-22"/>
      <sheetName val="Центры здоровья Пр.15-23"/>
      <sheetName val="Откл.ЦЗ Пр.15-23-20-22"/>
      <sheetName val="Центры здоровья Пр.1-24 расчет"/>
      <sheetName val="ЦЗ факт 2023"/>
      <sheetName val="ЦЗ Пр.1-24 уточнение"/>
      <sheetName val="ЦЗ Пр.1-24"/>
    </sheetNames>
    <sheetDataSet>
      <sheetData sheetId="0"/>
      <sheetData sheetId="1">
        <row r="9">
          <cell r="H9">
            <v>8555</v>
          </cell>
          <cell r="I9">
            <v>2139</v>
          </cell>
          <cell r="K9">
            <v>2853</v>
          </cell>
          <cell r="L9">
            <v>713</v>
          </cell>
        </row>
        <row r="10">
          <cell r="H10">
            <v>5804</v>
          </cell>
          <cell r="I10">
            <v>1451</v>
          </cell>
          <cell r="K10">
            <v>1629</v>
          </cell>
          <cell r="L10">
            <v>407</v>
          </cell>
        </row>
        <row r="11">
          <cell r="H11">
            <v>5011</v>
          </cell>
          <cell r="I11">
            <v>1253</v>
          </cell>
          <cell r="K11">
            <v>1392</v>
          </cell>
          <cell r="L11">
            <v>348</v>
          </cell>
        </row>
        <row r="12">
          <cell r="H12">
            <v>3823</v>
          </cell>
          <cell r="I12">
            <v>956</v>
          </cell>
          <cell r="K12">
            <v>1210</v>
          </cell>
          <cell r="L12">
            <v>302</v>
          </cell>
        </row>
        <row r="13">
          <cell r="H13">
            <v>9902</v>
          </cell>
          <cell r="I13">
            <v>2476</v>
          </cell>
          <cell r="K13">
            <v>2974</v>
          </cell>
          <cell r="L13">
            <v>744</v>
          </cell>
        </row>
        <row r="14">
          <cell r="H14">
            <v>5418</v>
          </cell>
          <cell r="I14">
            <v>1355</v>
          </cell>
          <cell r="K14">
            <v>1914</v>
          </cell>
          <cell r="L14">
            <v>479</v>
          </cell>
        </row>
        <row r="15">
          <cell r="H15">
            <v>16599</v>
          </cell>
          <cell r="I15">
            <v>4043</v>
          </cell>
          <cell r="K15">
            <v>0</v>
          </cell>
          <cell r="L15">
            <v>0</v>
          </cell>
        </row>
        <row r="16">
          <cell r="H16">
            <v>15530</v>
          </cell>
          <cell r="I16">
            <v>3882</v>
          </cell>
          <cell r="K16">
            <v>2053</v>
          </cell>
          <cell r="L16">
            <v>513</v>
          </cell>
        </row>
        <row r="17">
          <cell r="H17">
            <v>9041</v>
          </cell>
          <cell r="I17">
            <v>2062</v>
          </cell>
          <cell r="K17">
            <v>1107</v>
          </cell>
          <cell r="L17">
            <v>277</v>
          </cell>
        </row>
        <row r="18">
          <cell r="H18">
            <v>0</v>
          </cell>
          <cell r="I18">
            <v>0</v>
          </cell>
          <cell r="K18">
            <v>4846</v>
          </cell>
          <cell r="L18">
            <v>1211</v>
          </cell>
        </row>
        <row r="19">
          <cell r="H19">
            <v>4901</v>
          </cell>
          <cell r="I19">
            <v>1286</v>
          </cell>
          <cell r="K19">
            <v>1417</v>
          </cell>
          <cell r="L19">
            <v>354</v>
          </cell>
        </row>
        <row r="20">
          <cell r="H20">
            <v>2551</v>
          </cell>
          <cell r="I20">
            <v>744</v>
          </cell>
          <cell r="K20">
            <v>884</v>
          </cell>
          <cell r="L20">
            <v>221</v>
          </cell>
        </row>
        <row r="21">
          <cell r="H21">
            <v>8730</v>
          </cell>
          <cell r="I21">
            <v>2182</v>
          </cell>
          <cell r="K21">
            <v>2322</v>
          </cell>
          <cell r="L21">
            <v>580</v>
          </cell>
        </row>
        <row r="22">
          <cell r="H22">
            <v>0</v>
          </cell>
          <cell r="I22">
            <v>0</v>
          </cell>
          <cell r="K22">
            <v>2454</v>
          </cell>
          <cell r="L22">
            <v>613</v>
          </cell>
        </row>
        <row r="23">
          <cell r="H23">
            <v>0</v>
          </cell>
          <cell r="I23">
            <v>0</v>
          </cell>
          <cell r="K23">
            <v>7546</v>
          </cell>
          <cell r="L23">
            <v>1887</v>
          </cell>
        </row>
        <row r="24">
          <cell r="H24">
            <v>8290</v>
          </cell>
          <cell r="I24">
            <v>2073</v>
          </cell>
          <cell r="K24">
            <v>0</v>
          </cell>
          <cell r="L24">
            <v>0</v>
          </cell>
        </row>
        <row r="25">
          <cell r="H25">
            <v>5168</v>
          </cell>
          <cell r="I25">
            <v>1429</v>
          </cell>
          <cell r="K25">
            <v>1684</v>
          </cell>
          <cell r="L25">
            <v>421</v>
          </cell>
        </row>
        <row r="26">
          <cell r="H26">
            <v>5526</v>
          </cell>
          <cell r="I26">
            <v>1381</v>
          </cell>
          <cell r="K26">
            <v>1732</v>
          </cell>
          <cell r="L26">
            <v>433</v>
          </cell>
        </row>
        <row r="27">
          <cell r="H27">
            <v>0</v>
          </cell>
          <cell r="I27">
            <v>0</v>
          </cell>
          <cell r="K27">
            <v>4886</v>
          </cell>
          <cell r="L27">
            <v>1221</v>
          </cell>
        </row>
        <row r="28">
          <cell r="H28">
            <v>30226</v>
          </cell>
          <cell r="I28">
            <v>7556</v>
          </cell>
          <cell r="K28">
            <v>0</v>
          </cell>
          <cell r="L28">
            <v>0</v>
          </cell>
        </row>
      </sheetData>
      <sheetData sheetId="2"/>
      <sheetData sheetId="3"/>
      <sheetData sheetId="4"/>
      <sheetData sheetId="5">
        <row r="9">
          <cell r="H9">
            <v>-175</v>
          </cell>
          <cell r="I9">
            <v>-26</v>
          </cell>
          <cell r="K9">
            <v>0</v>
          </cell>
          <cell r="L9">
            <v>-4</v>
          </cell>
        </row>
        <row r="10">
          <cell r="H10">
            <v>0</v>
          </cell>
          <cell r="I10">
            <v>53</v>
          </cell>
          <cell r="K10">
            <v>0</v>
          </cell>
          <cell r="L10">
            <v>0</v>
          </cell>
        </row>
        <row r="11">
          <cell r="H11">
            <v>0</v>
          </cell>
          <cell r="I11">
            <v>0</v>
          </cell>
          <cell r="K11">
            <v>830</v>
          </cell>
          <cell r="L11">
            <v>0</v>
          </cell>
        </row>
        <row r="12">
          <cell r="H12">
            <v>-178</v>
          </cell>
          <cell r="I12">
            <v>-44</v>
          </cell>
          <cell r="K12">
            <v>0</v>
          </cell>
          <cell r="L12">
            <v>0</v>
          </cell>
        </row>
        <row r="13">
          <cell r="H13">
            <v>0</v>
          </cell>
          <cell r="I13">
            <v>54</v>
          </cell>
          <cell r="K13">
            <v>7</v>
          </cell>
          <cell r="L13">
            <v>0</v>
          </cell>
        </row>
        <row r="14"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H15">
            <v>0</v>
          </cell>
          <cell r="I15">
            <v>0</v>
          </cell>
          <cell r="K15">
            <v>0</v>
          </cell>
          <cell r="L15">
            <v>0</v>
          </cell>
        </row>
        <row r="16">
          <cell r="H16">
            <v>-115</v>
          </cell>
          <cell r="I16">
            <v>-143</v>
          </cell>
          <cell r="K16">
            <v>-1091</v>
          </cell>
          <cell r="L16">
            <v>-210</v>
          </cell>
        </row>
        <row r="17"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K18">
            <v>0</v>
          </cell>
          <cell r="L18">
            <v>3</v>
          </cell>
        </row>
        <row r="19">
          <cell r="H19">
            <v>550</v>
          </cell>
          <cell r="I19">
            <v>0</v>
          </cell>
          <cell r="K19">
            <v>-38</v>
          </cell>
          <cell r="L19">
            <v>16</v>
          </cell>
        </row>
        <row r="20">
          <cell r="H20">
            <v>-71</v>
          </cell>
          <cell r="I20">
            <v>-84</v>
          </cell>
          <cell r="K20">
            <v>-154</v>
          </cell>
          <cell r="L20">
            <v>-26</v>
          </cell>
        </row>
        <row r="21">
          <cell r="H21">
            <v>0</v>
          </cell>
          <cell r="I21">
            <v>9</v>
          </cell>
          <cell r="K21">
            <v>0</v>
          </cell>
          <cell r="L21">
            <v>0</v>
          </cell>
        </row>
        <row r="22"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H23">
            <v>0</v>
          </cell>
          <cell r="I23">
            <v>0</v>
          </cell>
          <cell r="K23">
            <v>0</v>
          </cell>
          <cell r="L23">
            <v>0</v>
          </cell>
        </row>
        <row r="24">
          <cell r="H24">
            <v>0</v>
          </cell>
          <cell r="I24">
            <v>135</v>
          </cell>
          <cell r="K24">
            <v>0</v>
          </cell>
          <cell r="L24">
            <v>0</v>
          </cell>
        </row>
        <row r="25">
          <cell r="H25">
            <v>0</v>
          </cell>
          <cell r="I25">
            <v>14</v>
          </cell>
          <cell r="K25">
            <v>0</v>
          </cell>
          <cell r="L25">
            <v>0</v>
          </cell>
        </row>
        <row r="26">
          <cell r="H26">
            <v>-11</v>
          </cell>
          <cell r="I26">
            <v>32</v>
          </cell>
          <cell r="K26">
            <v>446</v>
          </cell>
          <cell r="L26">
            <v>221</v>
          </cell>
        </row>
        <row r="27"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H28">
            <v>0</v>
          </cell>
          <cell r="I28">
            <v>0</v>
          </cell>
          <cell r="K28">
            <v>0</v>
          </cell>
          <cell r="L28">
            <v>0</v>
          </cell>
        </row>
      </sheetData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ы "/>
      <sheetName val="Объемы 20-22"/>
      <sheetName val="Изменение объемов 5-23 -3-23"/>
      <sheetName val="Объемы 5-23"/>
      <sheetName val="Финансы 5-23 "/>
      <sheetName val="Объемы 7-23"/>
      <sheetName val="Финансы 7-23 "/>
      <sheetName val="Анализ ФО 7-23"/>
      <sheetName val="Объемы 9-23 "/>
      <sheetName val="Финансы 9-23  "/>
      <sheetName val="Объемы 13-23"/>
      <sheetName val="Финансы 13-23"/>
      <sheetName val="Объемы 15-23"/>
      <sheetName val="Финансы 15-23"/>
      <sheetName val=" Изменения 16-23 - 15-23"/>
      <sheetName val="Объемы 16-23 "/>
      <sheetName val="Финансы 16-23 "/>
      <sheetName val="Объемы 17-23 "/>
      <sheetName val="Финансы 17-23 "/>
      <sheetName val="Объемы 18-23 "/>
      <sheetName val="Финансы 18-23 "/>
      <sheetName val="Изменения 1 - 18"/>
      <sheetName val="Объемы 1-24"/>
      <sheetName val="Финансы 1-2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V8">
            <v>49</v>
          </cell>
          <cell r="W8">
            <v>50</v>
          </cell>
          <cell r="X8">
            <v>742</v>
          </cell>
          <cell r="Y8">
            <v>263</v>
          </cell>
          <cell r="Z8">
            <v>1600</v>
          </cell>
          <cell r="AA8">
            <v>640</v>
          </cell>
          <cell r="AB8">
            <v>40</v>
          </cell>
          <cell r="AC8">
            <v>10</v>
          </cell>
          <cell r="AD8">
            <v>10</v>
          </cell>
          <cell r="AE8">
            <v>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60</v>
          </cell>
          <cell r="AK8">
            <v>15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525</v>
          </cell>
          <cell r="AR8">
            <v>75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V9">
            <v>55</v>
          </cell>
          <cell r="W9">
            <v>55</v>
          </cell>
          <cell r="X9">
            <v>55</v>
          </cell>
          <cell r="Y9">
            <v>55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M9">
            <v>130</v>
          </cell>
          <cell r="AN9">
            <v>0</v>
          </cell>
          <cell r="AO9">
            <v>10</v>
          </cell>
          <cell r="AP9">
            <v>0</v>
          </cell>
          <cell r="AQ9">
            <v>30</v>
          </cell>
          <cell r="AR9">
            <v>0</v>
          </cell>
          <cell r="AS9">
            <v>0</v>
          </cell>
          <cell r="AT9">
            <v>0</v>
          </cell>
          <cell r="AU9">
            <v>30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M10">
            <v>247</v>
          </cell>
          <cell r="AN10">
            <v>0</v>
          </cell>
          <cell r="AO10">
            <v>3</v>
          </cell>
          <cell r="AP10">
            <v>0</v>
          </cell>
          <cell r="AQ10">
            <v>36</v>
          </cell>
          <cell r="AR10">
            <v>0</v>
          </cell>
          <cell r="AS10">
            <v>0</v>
          </cell>
          <cell r="AT10">
            <v>0</v>
          </cell>
          <cell r="AU10">
            <v>24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M11">
            <v>215</v>
          </cell>
          <cell r="AN11">
            <v>0</v>
          </cell>
          <cell r="AO11">
            <v>5</v>
          </cell>
          <cell r="AP11">
            <v>0</v>
          </cell>
          <cell r="AQ11">
            <v>50</v>
          </cell>
          <cell r="AR11">
            <v>0</v>
          </cell>
          <cell r="AS11">
            <v>0</v>
          </cell>
          <cell r="AT11">
            <v>0</v>
          </cell>
          <cell r="AU11">
            <v>40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M12">
            <v>215</v>
          </cell>
          <cell r="AN12">
            <v>0</v>
          </cell>
          <cell r="AO12">
            <v>7</v>
          </cell>
          <cell r="AP12">
            <v>0</v>
          </cell>
          <cell r="AQ12">
            <v>50</v>
          </cell>
          <cell r="AR12">
            <v>0</v>
          </cell>
          <cell r="AS12">
            <v>0</v>
          </cell>
          <cell r="AT12">
            <v>0</v>
          </cell>
          <cell r="AU12">
            <v>40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M13">
            <v>290</v>
          </cell>
          <cell r="AN13">
            <v>0</v>
          </cell>
          <cell r="AO13">
            <v>10</v>
          </cell>
          <cell r="AP13">
            <v>0</v>
          </cell>
          <cell r="AQ13">
            <v>50</v>
          </cell>
          <cell r="AR13">
            <v>0</v>
          </cell>
          <cell r="AS13">
            <v>0</v>
          </cell>
          <cell r="AT13">
            <v>0</v>
          </cell>
          <cell r="AU13">
            <v>30</v>
          </cell>
          <cell r="AV13">
            <v>10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V14">
            <v>10</v>
          </cell>
          <cell r="W14">
            <v>10</v>
          </cell>
          <cell r="X14">
            <v>15</v>
          </cell>
          <cell r="Y14">
            <v>15</v>
          </cell>
          <cell r="Z14">
            <v>20</v>
          </cell>
          <cell r="AA14">
            <v>20</v>
          </cell>
          <cell r="AB14">
            <v>0</v>
          </cell>
          <cell r="AC14">
            <v>0</v>
          </cell>
          <cell r="AD14">
            <v>6</v>
          </cell>
          <cell r="AE14">
            <v>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M14">
            <v>5</v>
          </cell>
          <cell r="AN14">
            <v>16</v>
          </cell>
          <cell r="AO14">
            <v>8</v>
          </cell>
          <cell r="AP14">
            <v>5</v>
          </cell>
          <cell r="AQ14">
            <v>28</v>
          </cell>
          <cell r="AR14">
            <v>16</v>
          </cell>
          <cell r="AS14">
            <v>0</v>
          </cell>
          <cell r="AT14">
            <v>0</v>
          </cell>
          <cell r="AU14">
            <v>19</v>
          </cell>
          <cell r="AV14">
            <v>3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V15">
            <v>10</v>
          </cell>
          <cell r="W15">
            <v>0</v>
          </cell>
          <cell r="X15">
            <v>0</v>
          </cell>
          <cell r="Y15">
            <v>0</v>
          </cell>
          <cell r="Z15">
            <v>30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M15">
            <v>58</v>
          </cell>
          <cell r="AN15">
            <v>8</v>
          </cell>
          <cell r="AO15">
            <v>0</v>
          </cell>
          <cell r="AP15">
            <v>0</v>
          </cell>
          <cell r="AQ15">
            <v>35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M16">
            <v>178</v>
          </cell>
          <cell r="AN16">
            <v>56</v>
          </cell>
          <cell r="AO16">
            <v>22</v>
          </cell>
          <cell r="AP16">
            <v>5</v>
          </cell>
          <cell r="AQ16">
            <v>120</v>
          </cell>
          <cell r="AR16">
            <v>12</v>
          </cell>
          <cell r="AS16">
            <v>0</v>
          </cell>
          <cell r="AT16">
            <v>0</v>
          </cell>
          <cell r="AU16">
            <v>62</v>
          </cell>
          <cell r="AV16">
            <v>12</v>
          </cell>
          <cell r="AW16">
            <v>0</v>
          </cell>
          <cell r="AX16">
            <v>0</v>
          </cell>
          <cell r="AY16">
            <v>10</v>
          </cell>
          <cell r="AZ16">
            <v>5</v>
          </cell>
        </row>
        <row r="17"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M17">
            <v>30</v>
          </cell>
          <cell r="AN17">
            <v>10</v>
          </cell>
          <cell r="AO17">
            <v>20</v>
          </cell>
          <cell r="AP17">
            <v>20</v>
          </cell>
          <cell r="AQ17">
            <v>30</v>
          </cell>
          <cell r="AR17">
            <v>10</v>
          </cell>
          <cell r="AS17">
            <v>0</v>
          </cell>
          <cell r="AT17">
            <v>0</v>
          </cell>
          <cell r="AU17">
            <v>20</v>
          </cell>
          <cell r="AV17">
            <v>10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</v>
          </cell>
          <cell r="AB18">
            <v>0</v>
          </cell>
          <cell r="AC18">
            <v>25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V19">
            <v>6</v>
          </cell>
          <cell r="W19">
            <v>4</v>
          </cell>
          <cell r="X19">
            <v>0</v>
          </cell>
          <cell r="Y19">
            <v>0</v>
          </cell>
          <cell r="Z19">
            <v>20</v>
          </cell>
          <cell r="AA19">
            <v>20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V20">
            <v>30</v>
          </cell>
          <cell r="W20">
            <v>0</v>
          </cell>
          <cell r="X20">
            <v>0</v>
          </cell>
          <cell r="Y20">
            <v>0</v>
          </cell>
          <cell r="Z20">
            <v>30</v>
          </cell>
          <cell r="AA20">
            <v>0</v>
          </cell>
          <cell r="AB20">
            <v>30</v>
          </cell>
          <cell r="AC20">
            <v>0</v>
          </cell>
          <cell r="AD20">
            <v>30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V21">
            <v>30</v>
          </cell>
          <cell r="W21">
            <v>0</v>
          </cell>
          <cell r="X21">
            <v>20</v>
          </cell>
          <cell r="Y21">
            <v>0</v>
          </cell>
          <cell r="Z21">
            <v>0</v>
          </cell>
          <cell r="AA21">
            <v>0</v>
          </cell>
          <cell r="AB21">
            <v>40</v>
          </cell>
          <cell r="AC21">
            <v>0</v>
          </cell>
          <cell r="AD21">
            <v>10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V22">
            <v>45</v>
          </cell>
          <cell r="W22">
            <v>20</v>
          </cell>
          <cell r="X22">
            <v>45</v>
          </cell>
          <cell r="Y22">
            <v>20</v>
          </cell>
          <cell r="Z22">
            <v>50</v>
          </cell>
          <cell r="AA22">
            <v>90</v>
          </cell>
          <cell r="AB22">
            <v>50</v>
          </cell>
          <cell r="AC22">
            <v>40</v>
          </cell>
          <cell r="AD22">
            <v>20</v>
          </cell>
          <cell r="AE22">
            <v>20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V23">
            <v>10</v>
          </cell>
          <cell r="W23">
            <v>10</v>
          </cell>
          <cell r="X23">
            <v>13</v>
          </cell>
          <cell r="Y23">
            <v>11</v>
          </cell>
          <cell r="Z23">
            <v>11</v>
          </cell>
          <cell r="AA23">
            <v>10</v>
          </cell>
          <cell r="AB23">
            <v>15</v>
          </cell>
          <cell r="AC23">
            <v>19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V24">
            <v>30</v>
          </cell>
          <cell r="W24">
            <v>10</v>
          </cell>
          <cell r="X24">
            <v>0</v>
          </cell>
          <cell r="Y24">
            <v>0</v>
          </cell>
          <cell r="Z24">
            <v>30</v>
          </cell>
          <cell r="AA24">
            <v>10</v>
          </cell>
          <cell r="AB24">
            <v>45</v>
          </cell>
          <cell r="AC24">
            <v>25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430</v>
          </cell>
          <cell r="AA25">
            <v>420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V26">
            <v>107</v>
          </cell>
          <cell r="W26">
            <v>0</v>
          </cell>
          <cell r="X26">
            <v>0</v>
          </cell>
          <cell r="Y26">
            <v>0</v>
          </cell>
          <cell r="Z26">
            <v>50</v>
          </cell>
          <cell r="AA26">
            <v>0</v>
          </cell>
          <cell r="AB26">
            <v>50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V27">
            <v>27</v>
          </cell>
          <cell r="W27">
            <v>13</v>
          </cell>
          <cell r="X27">
            <v>8</v>
          </cell>
          <cell r="Y27">
            <v>3</v>
          </cell>
          <cell r="Z27">
            <v>0</v>
          </cell>
          <cell r="AA27">
            <v>37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</v>
          </cell>
          <cell r="AG27">
            <v>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35</v>
          </cell>
          <cell r="AE28">
            <v>35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V29">
            <v>21</v>
          </cell>
          <cell r="W29">
            <v>70</v>
          </cell>
          <cell r="X29">
            <v>49</v>
          </cell>
          <cell r="Y29">
            <v>70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70</v>
          </cell>
          <cell r="AE29">
            <v>140</v>
          </cell>
          <cell r="AF29">
            <v>70</v>
          </cell>
          <cell r="AG29">
            <v>100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V30">
            <v>35</v>
          </cell>
          <cell r="W30">
            <v>0</v>
          </cell>
          <cell r="X30">
            <v>104</v>
          </cell>
          <cell r="Y30">
            <v>0</v>
          </cell>
          <cell r="Z30">
            <v>7</v>
          </cell>
          <cell r="AA30">
            <v>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V31">
            <v>0</v>
          </cell>
          <cell r="W31">
            <v>0</v>
          </cell>
          <cell r="X31">
            <v>35</v>
          </cell>
          <cell r="Y31">
            <v>35</v>
          </cell>
          <cell r="Z31">
            <v>35</v>
          </cell>
          <cell r="AA31">
            <v>35</v>
          </cell>
          <cell r="AB31">
            <v>35</v>
          </cell>
          <cell r="AC31">
            <v>35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V32">
            <v>35</v>
          </cell>
          <cell r="W32">
            <v>25</v>
          </cell>
          <cell r="X32">
            <v>75</v>
          </cell>
          <cell r="Y32">
            <v>45</v>
          </cell>
          <cell r="Z32">
            <v>25</v>
          </cell>
          <cell r="AA32">
            <v>25</v>
          </cell>
          <cell r="AB32">
            <v>75</v>
          </cell>
          <cell r="AC32">
            <v>25</v>
          </cell>
          <cell r="AD32">
            <v>25</v>
          </cell>
          <cell r="AE32">
            <v>25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V33">
            <v>90</v>
          </cell>
          <cell r="W33">
            <v>60</v>
          </cell>
          <cell r="X33">
            <v>120</v>
          </cell>
          <cell r="Y33">
            <v>70</v>
          </cell>
          <cell r="Z33">
            <v>270</v>
          </cell>
          <cell r="AA33">
            <v>350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300</v>
          </cell>
          <cell r="AI34">
            <v>300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150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V36">
            <v>144</v>
          </cell>
          <cell r="W36">
            <v>144</v>
          </cell>
          <cell r="X36">
            <v>10</v>
          </cell>
          <cell r="Y36">
            <v>10</v>
          </cell>
          <cell r="Z36">
            <v>25</v>
          </cell>
          <cell r="AA36">
            <v>25</v>
          </cell>
          <cell r="AB36">
            <v>50</v>
          </cell>
          <cell r="AC36">
            <v>50</v>
          </cell>
          <cell r="AD36">
            <v>79</v>
          </cell>
          <cell r="AE36">
            <v>79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V37">
            <v>25</v>
          </cell>
          <cell r="W37">
            <v>25</v>
          </cell>
          <cell r="X37">
            <v>25</v>
          </cell>
          <cell r="Y37">
            <v>25</v>
          </cell>
          <cell r="Z37">
            <v>25</v>
          </cell>
          <cell r="AA37">
            <v>25</v>
          </cell>
          <cell r="AB37">
            <v>25</v>
          </cell>
          <cell r="AC37">
            <v>25</v>
          </cell>
          <cell r="AD37">
            <v>25</v>
          </cell>
          <cell r="AE37">
            <v>25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V38">
            <v>3</v>
          </cell>
          <cell r="W38">
            <v>0</v>
          </cell>
          <cell r="X38">
            <v>2</v>
          </cell>
          <cell r="Y38">
            <v>2</v>
          </cell>
          <cell r="Z38">
            <v>3</v>
          </cell>
          <cell r="AA38">
            <v>2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V39">
            <v>5</v>
          </cell>
          <cell r="W39">
            <v>2</v>
          </cell>
          <cell r="X39">
            <v>5</v>
          </cell>
          <cell r="Y39">
            <v>2</v>
          </cell>
          <cell r="Z39">
            <v>0</v>
          </cell>
          <cell r="AA39">
            <v>0</v>
          </cell>
          <cell r="AB39">
            <v>3</v>
          </cell>
          <cell r="AC39">
            <v>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V40">
            <v>6</v>
          </cell>
          <cell r="W40">
            <v>3</v>
          </cell>
          <cell r="X40">
            <v>5</v>
          </cell>
          <cell r="Y40">
            <v>2</v>
          </cell>
          <cell r="Z40">
            <v>5</v>
          </cell>
          <cell r="AA40">
            <v>2</v>
          </cell>
          <cell r="AB40">
            <v>5</v>
          </cell>
          <cell r="AC40">
            <v>2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V41">
            <v>3</v>
          </cell>
          <cell r="W41">
            <v>2</v>
          </cell>
          <cell r="X41">
            <v>3</v>
          </cell>
          <cell r="Y41">
            <v>2</v>
          </cell>
          <cell r="Z41">
            <v>3</v>
          </cell>
          <cell r="AA41">
            <v>2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V42">
            <v>3</v>
          </cell>
          <cell r="W42">
            <v>2</v>
          </cell>
          <cell r="X42">
            <v>3</v>
          </cell>
          <cell r="Y42">
            <v>2</v>
          </cell>
          <cell r="Z42">
            <v>2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V43">
            <v>4</v>
          </cell>
          <cell r="W43">
            <v>1</v>
          </cell>
          <cell r="X43">
            <v>4</v>
          </cell>
          <cell r="Y43">
            <v>0</v>
          </cell>
          <cell r="Z43">
            <v>0</v>
          </cell>
          <cell r="AA43">
            <v>0</v>
          </cell>
          <cell r="AB43">
            <v>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3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</sheetData>
      <sheetData sheetId="20" refreshError="1"/>
      <sheetData sheetId="21">
        <row r="8">
          <cell r="X8">
            <v>-43</v>
          </cell>
          <cell r="Y8">
            <v>38</v>
          </cell>
          <cell r="Z8">
            <v>-1</v>
          </cell>
          <cell r="AJ8">
            <v>-21</v>
          </cell>
          <cell r="AK8">
            <v>-5</v>
          </cell>
          <cell r="AR8">
            <v>-1</v>
          </cell>
        </row>
        <row r="11">
          <cell r="AQ11">
            <v>-1</v>
          </cell>
          <cell r="AU11">
            <v>-1</v>
          </cell>
        </row>
        <row r="12">
          <cell r="AM12">
            <v>39</v>
          </cell>
          <cell r="AQ12">
            <v>-1</v>
          </cell>
        </row>
        <row r="15">
          <cell r="V15">
            <v>-1</v>
          </cell>
          <cell r="Z15">
            <v>-3</v>
          </cell>
          <cell r="AM15">
            <v>-3</v>
          </cell>
          <cell r="AN15">
            <v>-1</v>
          </cell>
          <cell r="AQ15">
            <v>-1</v>
          </cell>
        </row>
        <row r="19">
          <cell r="V19">
            <v>-3</v>
          </cell>
          <cell r="Z19">
            <v>-1</v>
          </cell>
          <cell r="AA19">
            <v>-5</v>
          </cell>
        </row>
        <row r="23">
          <cell r="V23">
            <v>-4</v>
          </cell>
          <cell r="W23">
            <v>-4</v>
          </cell>
          <cell r="AA23">
            <v>-1</v>
          </cell>
          <cell r="AB23">
            <v>-6</v>
          </cell>
          <cell r="AC23">
            <v>-11</v>
          </cell>
        </row>
        <row r="24">
          <cell r="AC24">
            <v>-1</v>
          </cell>
        </row>
        <row r="25">
          <cell r="Z25">
            <v>-1</v>
          </cell>
        </row>
        <row r="26">
          <cell r="V26">
            <v>-1</v>
          </cell>
          <cell r="Z26">
            <v>-1</v>
          </cell>
        </row>
        <row r="27">
          <cell r="AA27">
            <v>-1</v>
          </cell>
        </row>
        <row r="28">
          <cell r="Z28">
            <v>-1</v>
          </cell>
          <cell r="AD28">
            <v>-1</v>
          </cell>
        </row>
        <row r="29">
          <cell r="W29">
            <v>47</v>
          </cell>
          <cell r="X29">
            <v>-1</v>
          </cell>
        </row>
        <row r="31">
          <cell r="Z31">
            <v>-1</v>
          </cell>
        </row>
        <row r="32">
          <cell r="AC32">
            <v>-4</v>
          </cell>
        </row>
        <row r="33">
          <cell r="Z33">
            <v>12</v>
          </cell>
        </row>
        <row r="36">
          <cell r="V36">
            <v>-1</v>
          </cell>
        </row>
        <row r="37">
          <cell r="Y37">
            <v>-1</v>
          </cell>
          <cell r="Z37">
            <v>-1</v>
          </cell>
        </row>
        <row r="38">
          <cell r="AA38">
            <v>-2</v>
          </cell>
        </row>
        <row r="39">
          <cell r="AB39">
            <v>-1</v>
          </cell>
        </row>
        <row r="41">
          <cell r="W41">
            <v>-1</v>
          </cell>
        </row>
        <row r="44">
          <cell r="AV44">
            <v>2</v>
          </cell>
        </row>
      </sheetData>
      <sheetData sheetId="22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. наблюдение Свод Пр.3-23"/>
      <sheetName val="Дисп. наблюдение Свод Пр.9-23"/>
      <sheetName val="Отк.Пр9-23-Пр.3-23"/>
      <sheetName val="Дисп. наблюдение Свод Пр.11- 23"/>
      <sheetName val="Отк.Пр11-23-Пр.9-23 "/>
      <sheetName val="Дисп. наблюдение Свод Пр.13-23"/>
      <sheetName val="Откл.Пр.13-23-Пр.11-23"/>
      <sheetName val="Дисп. наблюдение Свод Пр.15-23"/>
      <sheetName val="ОтклПр.15-23-Пр.13-23"/>
      <sheetName val="Дисп. наблюдение Свод Пр.16-23"/>
      <sheetName val="Отклонение Пр.16-23"/>
      <sheetName val="Дисп. наблюдение Свод Пр.17-23"/>
      <sheetName val="Отклонение Пр.17-23 "/>
      <sheetName val="Дисп. наблюдение Свод Пр.18-23"/>
      <sheetName val="Отклонение Пр.18-23-Пр.17-23"/>
      <sheetName val="Дисп. наблюдение Свод Пр.19-23"/>
      <sheetName val="Отклонение Пр.19-23-Пр.18-23"/>
      <sheetName val="Дисп. наблюдение Свод Пр.1-24"/>
      <sheetName val="Отклонение Пр.1-24-Пр.19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E12">
            <v>0</v>
          </cell>
          <cell r="G12">
            <v>1555</v>
          </cell>
          <cell r="H12">
            <v>7089</v>
          </cell>
          <cell r="J12">
            <v>656</v>
          </cell>
          <cell r="K12">
            <v>1320</v>
          </cell>
          <cell r="L12">
            <v>8935</v>
          </cell>
        </row>
        <row r="13">
          <cell r="E13">
            <v>0</v>
          </cell>
          <cell r="G13">
            <v>1155</v>
          </cell>
          <cell r="H13">
            <v>4671</v>
          </cell>
          <cell r="J13">
            <v>40</v>
          </cell>
          <cell r="K13">
            <v>1854</v>
          </cell>
          <cell r="L13">
            <v>5618</v>
          </cell>
        </row>
        <row r="14">
          <cell r="E14">
            <v>0</v>
          </cell>
          <cell r="G14">
            <v>2568</v>
          </cell>
          <cell r="H14">
            <v>15443</v>
          </cell>
          <cell r="J14">
            <v>564</v>
          </cell>
          <cell r="K14">
            <v>2967</v>
          </cell>
          <cell r="L14">
            <v>13758</v>
          </cell>
        </row>
        <row r="15">
          <cell r="E15">
            <v>0</v>
          </cell>
          <cell r="G15">
            <v>446</v>
          </cell>
          <cell r="H15">
            <v>2273</v>
          </cell>
          <cell r="J15">
            <v>0</v>
          </cell>
          <cell r="K15">
            <v>1329</v>
          </cell>
          <cell r="L15">
            <v>5064</v>
          </cell>
        </row>
        <row r="16">
          <cell r="E16">
            <v>0</v>
          </cell>
          <cell r="G16">
            <v>1085</v>
          </cell>
          <cell r="H16">
            <v>7182</v>
          </cell>
          <cell r="J16">
            <v>0</v>
          </cell>
          <cell r="K16">
            <v>1000</v>
          </cell>
          <cell r="L16">
            <v>8499</v>
          </cell>
        </row>
        <row r="17">
          <cell r="E17">
            <v>0</v>
          </cell>
          <cell r="G17">
            <v>6365</v>
          </cell>
          <cell r="H17">
            <v>31657</v>
          </cell>
          <cell r="J17">
            <v>628</v>
          </cell>
          <cell r="K17">
            <v>14261</v>
          </cell>
          <cell r="L17">
            <v>45014</v>
          </cell>
        </row>
        <row r="18">
          <cell r="E18">
            <v>0</v>
          </cell>
          <cell r="G18">
            <v>1872</v>
          </cell>
          <cell r="H18">
            <v>13412</v>
          </cell>
          <cell r="J18">
            <v>20</v>
          </cell>
          <cell r="K18">
            <v>2855</v>
          </cell>
          <cell r="L18">
            <v>16330</v>
          </cell>
        </row>
        <row r="19">
          <cell r="E19">
            <v>0</v>
          </cell>
          <cell r="G19">
            <v>849</v>
          </cell>
          <cell r="H19">
            <v>861</v>
          </cell>
          <cell r="J19">
            <v>0</v>
          </cell>
          <cell r="K19">
            <v>3726</v>
          </cell>
          <cell r="L19">
            <v>6227</v>
          </cell>
        </row>
        <row r="20">
          <cell r="E20">
            <v>0</v>
          </cell>
          <cell r="G20">
            <v>652</v>
          </cell>
          <cell r="H20">
            <v>6131</v>
          </cell>
          <cell r="J20">
            <v>72</v>
          </cell>
          <cell r="K20">
            <v>738</v>
          </cell>
          <cell r="L20">
            <v>7377</v>
          </cell>
        </row>
        <row r="21">
          <cell r="E21">
            <v>0</v>
          </cell>
          <cell r="G21">
            <v>972</v>
          </cell>
          <cell r="H21">
            <v>2188</v>
          </cell>
          <cell r="J21">
            <v>0</v>
          </cell>
          <cell r="K21">
            <v>2097</v>
          </cell>
          <cell r="L21">
            <v>9374</v>
          </cell>
        </row>
        <row r="22">
          <cell r="E22">
            <v>0</v>
          </cell>
          <cell r="G22">
            <v>957</v>
          </cell>
          <cell r="H22">
            <v>6634</v>
          </cell>
          <cell r="J22">
            <v>24</v>
          </cell>
          <cell r="K22">
            <v>2351</v>
          </cell>
          <cell r="L22">
            <v>8641</v>
          </cell>
        </row>
        <row r="23">
          <cell r="E23">
            <v>0</v>
          </cell>
          <cell r="G23">
            <v>1681</v>
          </cell>
          <cell r="H23">
            <v>8840</v>
          </cell>
          <cell r="J23">
            <v>40</v>
          </cell>
          <cell r="K23">
            <v>5517</v>
          </cell>
          <cell r="L23">
            <v>13969</v>
          </cell>
        </row>
        <row r="24">
          <cell r="E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G26">
            <v>778</v>
          </cell>
          <cell r="H26">
            <v>4683</v>
          </cell>
          <cell r="J26">
            <v>0</v>
          </cell>
          <cell r="K26">
            <v>852</v>
          </cell>
          <cell r="L26">
            <v>6505</v>
          </cell>
        </row>
        <row r="27">
          <cell r="E27">
            <v>0</v>
          </cell>
          <cell r="G27">
            <v>649</v>
          </cell>
          <cell r="H27">
            <v>6443</v>
          </cell>
          <cell r="J27">
            <v>0</v>
          </cell>
          <cell r="K27">
            <v>2513</v>
          </cell>
          <cell r="L27">
            <v>5348</v>
          </cell>
        </row>
        <row r="28">
          <cell r="E28">
            <v>0</v>
          </cell>
          <cell r="G28">
            <v>1567</v>
          </cell>
          <cell r="H28">
            <v>6090</v>
          </cell>
          <cell r="J28">
            <v>0</v>
          </cell>
          <cell r="K28">
            <v>2322</v>
          </cell>
          <cell r="L28">
            <v>8386</v>
          </cell>
        </row>
        <row r="29">
          <cell r="E29">
            <v>0</v>
          </cell>
          <cell r="G29">
            <v>2510</v>
          </cell>
          <cell r="H29">
            <v>14504</v>
          </cell>
          <cell r="J29">
            <v>340</v>
          </cell>
          <cell r="K29">
            <v>5304</v>
          </cell>
          <cell r="L29">
            <v>17576</v>
          </cell>
        </row>
        <row r="30">
          <cell r="E30">
            <v>0</v>
          </cell>
          <cell r="G30">
            <v>1109</v>
          </cell>
          <cell r="H30">
            <v>1979</v>
          </cell>
          <cell r="J30">
            <v>100</v>
          </cell>
          <cell r="K30">
            <v>3784</v>
          </cell>
          <cell r="L30">
            <v>3295</v>
          </cell>
        </row>
        <row r="31">
          <cell r="E31">
            <v>0</v>
          </cell>
          <cell r="G31">
            <v>1078</v>
          </cell>
          <cell r="H31">
            <v>4166</v>
          </cell>
          <cell r="J31">
            <v>0</v>
          </cell>
          <cell r="K31">
            <v>483</v>
          </cell>
          <cell r="L31">
            <v>4550</v>
          </cell>
        </row>
        <row r="32">
          <cell r="E32">
            <v>0</v>
          </cell>
          <cell r="G32">
            <v>2275</v>
          </cell>
          <cell r="H32">
            <v>11120</v>
          </cell>
          <cell r="J32">
            <v>910</v>
          </cell>
          <cell r="K32">
            <v>8151</v>
          </cell>
          <cell r="L32">
            <v>16760</v>
          </cell>
        </row>
        <row r="33">
          <cell r="E33">
            <v>0</v>
          </cell>
          <cell r="G33">
            <v>1515</v>
          </cell>
          <cell r="H33">
            <v>7788</v>
          </cell>
          <cell r="J33">
            <v>306</v>
          </cell>
          <cell r="K33">
            <v>4852</v>
          </cell>
          <cell r="L33">
            <v>17702</v>
          </cell>
        </row>
        <row r="34">
          <cell r="E34">
            <v>0</v>
          </cell>
          <cell r="G34">
            <v>332</v>
          </cell>
          <cell r="H34">
            <v>2711</v>
          </cell>
          <cell r="J34">
            <v>78</v>
          </cell>
          <cell r="K34">
            <v>1077</v>
          </cell>
          <cell r="L34">
            <v>2442</v>
          </cell>
        </row>
        <row r="35">
          <cell r="E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G37">
            <v>6718</v>
          </cell>
          <cell r="H37">
            <v>48186</v>
          </cell>
          <cell r="J37">
            <v>147</v>
          </cell>
          <cell r="K37">
            <v>3725</v>
          </cell>
          <cell r="L37">
            <v>43160</v>
          </cell>
        </row>
        <row r="38">
          <cell r="E38">
            <v>0</v>
          </cell>
          <cell r="G38">
            <v>1131</v>
          </cell>
          <cell r="H38">
            <v>3432</v>
          </cell>
          <cell r="J38">
            <v>42</v>
          </cell>
          <cell r="K38">
            <v>3219</v>
          </cell>
          <cell r="L38">
            <v>11557</v>
          </cell>
        </row>
        <row r="39">
          <cell r="E39">
            <v>0</v>
          </cell>
          <cell r="G39">
            <v>0</v>
          </cell>
          <cell r="H39">
            <v>0</v>
          </cell>
          <cell r="J39">
            <v>0</v>
          </cell>
          <cell r="K39">
            <v>5463</v>
          </cell>
          <cell r="L39">
            <v>0</v>
          </cell>
        </row>
        <row r="40">
          <cell r="E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>
            <v>0</v>
          </cell>
          <cell r="G42">
            <v>165</v>
          </cell>
          <cell r="H42">
            <v>798</v>
          </cell>
          <cell r="J42">
            <v>0</v>
          </cell>
          <cell r="K42">
            <v>0</v>
          </cell>
          <cell r="L42">
            <v>587</v>
          </cell>
        </row>
        <row r="43">
          <cell r="E43">
            <v>0</v>
          </cell>
          <cell r="G43">
            <v>4127</v>
          </cell>
          <cell r="H43">
            <v>14027</v>
          </cell>
          <cell r="J43">
            <v>645</v>
          </cell>
          <cell r="K43">
            <v>1599</v>
          </cell>
          <cell r="L43">
            <v>14876</v>
          </cell>
        </row>
        <row r="44">
          <cell r="E44">
            <v>0</v>
          </cell>
          <cell r="G44">
            <v>5220</v>
          </cell>
          <cell r="H44">
            <v>27846</v>
          </cell>
          <cell r="J44">
            <v>100</v>
          </cell>
          <cell r="K44">
            <v>10857</v>
          </cell>
          <cell r="L44">
            <v>29503</v>
          </cell>
        </row>
        <row r="45">
          <cell r="E45">
            <v>0</v>
          </cell>
          <cell r="G45">
            <v>511</v>
          </cell>
          <cell r="H45">
            <v>3437</v>
          </cell>
          <cell r="J45">
            <v>0</v>
          </cell>
          <cell r="K45">
            <v>1112</v>
          </cell>
          <cell r="L45">
            <v>4592</v>
          </cell>
        </row>
        <row r="46">
          <cell r="E46">
            <v>0</v>
          </cell>
          <cell r="G46">
            <v>3918</v>
          </cell>
          <cell r="H46">
            <v>16543</v>
          </cell>
          <cell r="J46">
            <v>270</v>
          </cell>
          <cell r="K46">
            <v>5230</v>
          </cell>
          <cell r="L46">
            <v>19087</v>
          </cell>
        </row>
        <row r="47">
          <cell r="E47">
            <v>0</v>
          </cell>
          <cell r="G47">
            <v>911</v>
          </cell>
          <cell r="H47">
            <v>5129</v>
          </cell>
          <cell r="J47">
            <v>22</v>
          </cell>
          <cell r="K47">
            <v>2593</v>
          </cell>
          <cell r="L47">
            <v>7267</v>
          </cell>
        </row>
        <row r="48">
          <cell r="E48">
            <v>0</v>
          </cell>
          <cell r="G48">
            <v>3484</v>
          </cell>
          <cell r="H48">
            <v>10456</v>
          </cell>
          <cell r="J48">
            <v>605</v>
          </cell>
          <cell r="K48">
            <v>7506</v>
          </cell>
          <cell r="L48">
            <v>28055</v>
          </cell>
        </row>
        <row r="49">
          <cell r="E49">
            <v>0</v>
          </cell>
          <cell r="G49">
            <v>1174</v>
          </cell>
          <cell r="H49">
            <v>4973</v>
          </cell>
          <cell r="J49">
            <v>144</v>
          </cell>
          <cell r="K49">
            <v>1569</v>
          </cell>
          <cell r="L49">
            <v>6892</v>
          </cell>
        </row>
        <row r="50">
          <cell r="E50">
            <v>0</v>
          </cell>
          <cell r="G50">
            <v>496</v>
          </cell>
          <cell r="H50">
            <v>3064</v>
          </cell>
          <cell r="J50">
            <v>66</v>
          </cell>
          <cell r="K50">
            <v>1446</v>
          </cell>
          <cell r="L50">
            <v>7134</v>
          </cell>
        </row>
        <row r="51">
          <cell r="E51">
            <v>0</v>
          </cell>
          <cell r="G51">
            <v>1249</v>
          </cell>
          <cell r="H51">
            <v>9254</v>
          </cell>
          <cell r="J51">
            <v>0</v>
          </cell>
          <cell r="K51">
            <v>4876</v>
          </cell>
          <cell r="L51">
            <v>10179</v>
          </cell>
        </row>
        <row r="52">
          <cell r="E52">
            <v>0</v>
          </cell>
          <cell r="G52">
            <v>729</v>
          </cell>
          <cell r="H52">
            <v>2291</v>
          </cell>
          <cell r="J52">
            <v>276</v>
          </cell>
          <cell r="K52">
            <v>1205</v>
          </cell>
          <cell r="L52">
            <v>4778</v>
          </cell>
        </row>
        <row r="53">
          <cell r="E53">
            <v>0</v>
          </cell>
          <cell r="G53">
            <v>978</v>
          </cell>
          <cell r="H53">
            <v>2691</v>
          </cell>
          <cell r="J53">
            <v>0</v>
          </cell>
          <cell r="K53">
            <v>0</v>
          </cell>
          <cell r="L53">
            <v>2382</v>
          </cell>
        </row>
        <row r="54">
          <cell r="E54">
            <v>0</v>
          </cell>
          <cell r="G54">
            <v>5028</v>
          </cell>
          <cell r="H54">
            <v>13476</v>
          </cell>
          <cell r="J54">
            <v>902</v>
          </cell>
          <cell r="K54">
            <v>6720</v>
          </cell>
          <cell r="L54">
            <v>27213</v>
          </cell>
        </row>
        <row r="55">
          <cell r="E55">
            <v>0</v>
          </cell>
          <cell r="G55">
            <v>805</v>
          </cell>
          <cell r="H55">
            <v>5976</v>
          </cell>
          <cell r="J55">
            <v>700</v>
          </cell>
          <cell r="K55">
            <v>1679</v>
          </cell>
          <cell r="L55">
            <v>7669</v>
          </cell>
        </row>
        <row r="56">
          <cell r="E56">
            <v>0</v>
          </cell>
          <cell r="G56">
            <v>2420</v>
          </cell>
          <cell r="H56">
            <v>9765</v>
          </cell>
          <cell r="J56">
            <v>104</v>
          </cell>
          <cell r="K56">
            <v>1300</v>
          </cell>
          <cell r="L56">
            <v>10858</v>
          </cell>
        </row>
        <row r="57">
          <cell r="E57">
            <v>0</v>
          </cell>
          <cell r="G57">
            <v>666</v>
          </cell>
          <cell r="H57">
            <v>3569</v>
          </cell>
          <cell r="J57">
            <v>204</v>
          </cell>
          <cell r="K57">
            <v>824</v>
          </cell>
          <cell r="L57">
            <v>6876</v>
          </cell>
        </row>
        <row r="58">
          <cell r="E58">
            <v>0</v>
          </cell>
          <cell r="G58">
            <v>2073</v>
          </cell>
          <cell r="H58">
            <v>9961</v>
          </cell>
          <cell r="J58">
            <v>69</v>
          </cell>
          <cell r="K58">
            <v>1494</v>
          </cell>
          <cell r="L58">
            <v>9473</v>
          </cell>
        </row>
        <row r="59">
          <cell r="E59">
            <v>0</v>
          </cell>
          <cell r="G59">
            <v>1199</v>
          </cell>
          <cell r="H59">
            <v>4529</v>
          </cell>
          <cell r="J59">
            <v>0</v>
          </cell>
          <cell r="K59">
            <v>5894</v>
          </cell>
          <cell r="L59">
            <v>10150</v>
          </cell>
        </row>
        <row r="60">
          <cell r="E60">
            <v>0</v>
          </cell>
          <cell r="G60">
            <v>601</v>
          </cell>
          <cell r="H60">
            <v>4719</v>
          </cell>
          <cell r="J60">
            <v>0</v>
          </cell>
          <cell r="K60">
            <v>1256</v>
          </cell>
          <cell r="L60">
            <v>4050</v>
          </cell>
        </row>
        <row r="61">
          <cell r="E61">
            <v>0</v>
          </cell>
          <cell r="G61">
            <v>1022</v>
          </cell>
          <cell r="H61">
            <v>4859</v>
          </cell>
          <cell r="J61">
            <v>346</v>
          </cell>
          <cell r="K61">
            <v>2193</v>
          </cell>
          <cell r="L61">
            <v>5429</v>
          </cell>
        </row>
        <row r="62">
          <cell r="E62">
            <v>0</v>
          </cell>
          <cell r="G62">
            <v>1186</v>
          </cell>
          <cell r="H62">
            <v>13564</v>
          </cell>
          <cell r="J62">
            <v>101</v>
          </cell>
          <cell r="K62">
            <v>1913</v>
          </cell>
          <cell r="L62">
            <v>20008</v>
          </cell>
        </row>
        <row r="63">
          <cell r="E63">
            <v>0</v>
          </cell>
          <cell r="G63">
            <v>4353</v>
          </cell>
          <cell r="H63">
            <v>22305</v>
          </cell>
          <cell r="J63">
            <v>0</v>
          </cell>
          <cell r="K63">
            <v>7897</v>
          </cell>
          <cell r="L63">
            <v>33915</v>
          </cell>
        </row>
        <row r="64">
          <cell r="E64">
            <v>0</v>
          </cell>
          <cell r="G64">
            <v>636</v>
          </cell>
          <cell r="H64">
            <v>4266</v>
          </cell>
          <cell r="J64">
            <v>0</v>
          </cell>
          <cell r="K64">
            <v>989</v>
          </cell>
          <cell r="L64">
            <v>5899</v>
          </cell>
        </row>
        <row r="65">
          <cell r="E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J68">
            <v>360</v>
          </cell>
          <cell r="K68">
            <v>9747</v>
          </cell>
          <cell r="L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J69">
            <v>516</v>
          </cell>
          <cell r="K69">
            <v>10832</v>
          </cell>
          <cell r="L69">
            <v>0</v>
          </cell>
        </row>
        <row r="70">
          <cell r="E70">
            <v>0</v>
          </cell>
          <cell r="G70">
            <v>0</v>
          </cell>
          <cell r="H70">
            <v>0</v>
          </cell>
          <cell r="J70">
            <v>0</v>
          </cell>
          <cell r="K70">
            <v>26055</v>
          </cell>
          <cell r="L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  <cell r="J71">
            <v>0</v>
          </cell>
          <cell r="K71">
            <v>23694</v>
          </cell>
          <cell r="L71">
            <v>0</v>
          </cell>
        </row>
        <row r="72">
          <cell r="E72">
            <v>0</v>
          </cell>
          <cell r="G72">
            <v>0</v>
          </cell>
          <cell r="H72">
            <v>0</v>
          </cell>
          <cell r="J72">
            <v>1141</v>
          </cell>
          <cell r="K72">
            <v>11290</v>
          </cell>
          <cell r="L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G75">
            <v>4760</v>
          </cell>
          <cell r="H75">
            <v>17497</v>
          </cell>
          <cell r="J75">
            <v>0</v>
          </cell>
          <cell r="K75">
            <v>0</v>
          </cell>
          <cell r="L75">
            <v>22885</v>
          </cell>
        </row>
        <row r="76">
          <cell r="E76">
            <v>0</v>
          </cell>
          <cell r="G76">
            <v>4652</v>
          </cell>
          <cell r="H76">
            <v>37130</v>
          </cell>
          <cell r="J76">
            <v>0</v>
          </cell>
          <cell r="K76">
            <v>0</v>
          </cell>
          <cell r="L76">
            <v>27007</v>
          </cell>
        </row>
        <row r="77">
          <cell r="E77">
            <v>0</v>
          </cell>
          <cell r="G77">
            <v>9311</v>
          </cell>
          <cell r="H77">
            <v>51593</v>
          </cell>
          <cell r="J77">
            <v>0</v>
          </cell>
          <cell r="K77">
            <v>0</v>
          </cell>
          <cell r="L77">
            <v>45485</v>
          </cell>
        </row>
        <row r="78">
          <cell r="E78">
            <v>7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13</v>
          </cell>
        </row>
        <row r="79">
          <cell r="E79">
            <v>1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1</v>
          </cell>
        </row>
        <row r="80">
          <cell r="E80">
            <v>13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13</v>
          </cell>
        </row>
        <row r="81">
          <cell r="E81">
            <v>571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14</v>
          </cell>
        </row>
        <row r="82">
          <cell r="E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>
            <v>6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8</v>
          </cell>
        </row>
        <row r="84">
          <cell r="E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G85">
            <v>4129</v>
          </cell>
          <cell r="H85">
            <v>10227</v>
          </cell>
          <cell r="J85">
            <v>375</v>
          </cell>
          <cell r="K85">
            <v>12225</v>
          </cell>
          <cell r="L85">
            <v>23181</v>
          </cell>
        </row>
        <row r="86">
          <cell r="E86">
            <v>0</v>
          </cell>
          <cell r="G86">
            <v>9297</v>
          </cell>
          <cell r="H86">
            <v>39364</v>
          </cell>
          <cell r="J86">
            <v>0</v>
          </cell>
          <cell r="K86">
            <v>500</v>
          </cell>
          <cell r="L86">
            <v>44088</v>
          </cell>
        </row>
        <row r="87">
          <cell r="E87">
            <v>0</v>
          </cell>
          <cell r="G87">
            <v>5206</v>
          </cell>
          <cell r="H87">
            <v>26318</v>
          </cell>
          <cell r="J87">
            <v>0</v>
          </cell>
          <cell r="K87">
            <v>0</v>
          </cell>
          <cell r="L87">
            <v>30743</v>
          </cell>
        </row>
        <row r="88">
          <cell r="E88">
            <v>0</v>
          </cell>
          <cell r="G88">
            <v>3340</v>
          </cell>
          <cell r="H88">
            <v>12853</v>
          </cell>
          <cell r="J88">
            <v>0</v>
          </cell>
          <cell r="K88">
            <v>0</v>
          </cell>
          <cell r="L88">
            <v>9056</v>
          </cell>
        </row>
        <row r="89">
          <cell r="E89">
            <v>0</v>
          </cell>
          <cell r="G89">
            <v>8993</v>
          </cell>
          <cell r="H89">
            <v>39316</v>
          </cell>
          <cell r="J89">
            <v>0</v>
          </cell>
          <cell r="K89">
            <v>0</v>
          </cell>
          <cell r="L89">
            <v>50664</v>
          </cell>
        </row>
        <row r="90">
          <cell r="E90">
            <v>0</v>
          </cell>
          <cell r="G90">
            <v>0</v>
          </cell>
          <cell r="H90">
            <v>0</v>
          </cell>
          <cell r="J90">
            <v>1056</v>
          </cell>
          <cell r="K90">
            <v>21997</v>
          </cell>
          <cell r="L90">
            <v>0</v>
          </cell>
        </row>
        <row r="91">
          <cell r="E91">
            <v>0</v>
          </cell>
          <cell r="G91">
            <v>8378</v>
          </cell>
          <cell r="H91">
            <v>34593</v>
          </cell>
          <cell r="J91">
            <v>0</v>
          </cell>
          <cell r="K91">
            <v>0</v>
          </cell>
          <cell r="L91">
            <v>37572</v>
          </cell>
        </row>
        <row r="92">
          <cell r="E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>
            <v>0</v>
          </cell>
          <cell r="G94">
            <v>128</v>
          </cell>
          <cell r="H94">
            <v>334</v>
          </cell>
          <cell r="J94">
            <v>0</v>
          </cell>
          <cell r="K94">
            <v>0</v>
          </cell>
          <cell r="L94">
            <v>116</v>
          </cell>
        </row>
        <row r="95">
          <cell r="E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E96">
            <v>0</v>
          </cell>
          <cell r="G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E97">
            <v>0</v>
          </cell>
          <cell r="G97">
            <v>0</v>
          </cell>
          <cell r="H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E98">
            <v>0</v>
          </cell>
          <cell r="G98">
            <v>0</v>
          </cell>
          <cell r="H98">
            <v>1641</v>
          </cell>
          <cell r="J98">
            <v>0</v>
          </cell>
          <cell r="K98">
            <v>0</v>
          </cell>
          <cell r="L98">
            <v>2169</v>
          </cell>
        </row>
        <row r="99">
          <cell r="E99">
            <v>0</v>
          </cell>
          <cell r="G99">
            <v>1567</v>
          </cell>
          <cell r="H99">
            <v>6455</v>
          </cell>
          <cell r="J99">
            <v>0</v>
          </cell>
          <cell r="K99">
            <v>0</v>
          </cell>
          <cell r="L99">
            <v>6785</v>
          </cell>
        </row>
        <row r="100">
          <cell r="E100">
            <v>0</v>
          </cell>
          <cell r="G100">
            <v>733</v>
          </cell>
          <cell r="H100">
            <v>4271</v>
          </cell>
          <cell r="J100">
            <v>82</v>
          </cell>
          <cell r="K100">
            <v>883</v>
          </cell>
          <cell r="L100">
            <v>3539</v>
          </cell>
        </row>
        <row r="101">
          <cell r="E101">
            <v>0</v>
          </cell>
          <cell r="G101">
            <v>557</v>
          </cell>
          <cell r="H101">
            <v>3785</v>
          </cell>
          <cell r="J101">
            <v>26</v>
          </cell>
          <cell r="K101">
            <v>1012</v>
          </cell>
          <cell r="L101">
            <v>3709</v>
          </cell>
        </row>
        <row r="102">
          <cell r="E102">
            <v>0</v>
          </cell>
          <cell r="G102">
            <v>2115</v>
          </cell>
          <cell r="H102">
            <v>7789</v>
          </cell>
          <cell r="J102">
            <v>0</v>
          </cell>
          <cell r="K102">
            <v>3782</v>
          </cell>
          <cell r="L102">
            <v>13228</v>
          </cell>
        </row>
        <row r="103">
          <cell r="E103">
            <v>0</v>
          </cell>
          <cell r="G103">
            <v>827</v>
          </cell>
          <cell r="H103">
            <v>4415</v>
          </cell>
          <cell r="J103">
            <v>244</v>
          </cell>
          <cell r="K103">
            <v>895</v>
          </cell>
          <cell r="L103">
            <v>6954</v>
          </cell>
        </row>
        <row r="104">
          <cell r="E104">
            <v>0</v>
          </cell>
          <cell r="G104">
            <v>2684</v>
          </cell>
          <cell r="H104">
            <v>7291</v>
          </cell>
          <cell r="J104">
            <v>582</v>
          </cell>
          <cell r="K104">
            <v>3338</v>
          </cell>
          <cell r="L104">
            <v>10485</v>
          </cell>
        </row>
        <row r="105">
          <cell r="E105">
            <v>0</v>
          </cell>
          <cell r="G105">
            <v>1212</v>
          </cell>
          <cell r="H105">
            <v>8682</v>
          </cell>
          <cell r="J105">
            <v>0</v>
          </cell>
          <cell r="K105">
            <v>2572</v>
          </cell>
          <cell r="L105">
            <v>12452</v>
          </cell>
        </row>
        <row r="106">
          <cell r="E106">
            <v>0</v>
          </cell>
          <cell r="G106">
            <v>1433</v>
          </cell>
          <cell r="H106">
            <v>6015</v>
          </cell>
          <cell r="J106">
            <v>220</v>
          </cell>
          <cell r="K106">
            <v>2234</v>
          </cell>
          <cell r="L106">
            <v>9814</v>
          </cell>
        </row>
        <row r="107">
          <cell r="E107">
            <v>0</v>
          </cell>
          <cell r="G107">
            <v>607</v>
          </cell>
          <cell r="H107">
            <v>2369</v>
          </cell>
          <cell r="J107">
            <v>160</v>
          </cell>
          <cell r="K107">
            <v>501</v>
          </cell>
          <cell r="L107">
            <v>4993</v>
          </cell>
        </row>
        <row r="108">
          <cell r="E108">
            <v>0</v>
          </cell>
          <cell r="G108">
            <v>954</v>
          </cell>
          <cell r="H108">
            <v>7357</v>
          </cell>
          <cell r="J108">
            <v>336</v>
          </cell>
          <cell r="K108">
            <v>2502</v>
          </cell>
          <cell r="L108">
            <v>7079</v>
          </cell>
        </row>
        <row r="109">
          <cell r="E109">
            <v>0</v>
          </cell>
          <cell r="G109">
            <v>1356</v>
          </cell>
          <cell r="H109">
            <v>4340</v>
          </cell>
          <cell r="J109">
            <v>164</v>
          </cell>
          <cell r="K109">
            <v>1122</v>
          </cell>
          <cell r="L109">
            <v>6929</v>
          </cell>
        </row>
        <row r="110">
          <cell r="E110">
            <v>0</v>
          </cell>
          <cell r="G110">
            <v>1115</v>
          </cell>
          <cell r="H110">
            <v>3841</v>
          </cell>
          <cell r="J110">
            <v>50</v>
          </cell>
          <cell r="K110">
            <v>2160</v>
          </cell>
          <cell r="L110">
            <v>7841</v>
          </cell>
        </row>
        <row r="111">
          <cell r="E111">
            <v>0</v>
          </cell>
          <cell r="G111">
            <v>612</v>
          </cell>
          <cell r="H111">
            <v>3925</v>
          </cell>
          <cell r="J111">
            <v>16</v>
          </cell>
          <cell r="K111">
            <v>935</v>
          </cell>
          <cell r="L111">
            <v>4346</v>
          </cell>
        </row>
        <row r="112">
          <cell r="E112">
            <v>0</v>
          </cell>
          <cell r="G112">
            <v>1472</v>
          </cell>
          <cell r="H112">
            <v>6755</v>
          </cell>
          <cell r="J112">
            <v>0</v>
          </cell>
          <cell r="K112">
            <v>1651</v>
          </cell>
          <cell r="L112">
            <v>8579</v>
          </cell>
        </row>
        <row r="113">
          <cell r="E113">
            <v>0</v>
          </cell>
          <cell r="G113">
            <v>1731</v>
          </cell>
          <cell r="H113">
            <v>9852</v>
          </cell>
          <cell r="J113">
            <v>179</v>
          </cell>
          <cell r="K113">
            <v>6331</v>
          </cell>
          <cell r="L113">
            <v>12853</v>
          </cell>
        </row>
        <row r="114">
          <cell r="E114">
            <v>0</v>
          </cell>
          <cell r="G114">
            <v>1439</v>
          </cell>
          <cell r="H114">
            <v>3862</v>
          </cell>
          <cell r="J114">
            <v>186</v>
          </cell>
          <cell r="K114">
            <v>1708</v>
          </cell>
          <cell r="L114">
            <v>7049</v>
          </cell>
        </row>
        <row r="115">
          <cell r="E115">
            <v>28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E122">
            <v>8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E132">
            <v>8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E134">
            <v>12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E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E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E144">
            <v>0</v>
          </cell>
          <cell r="G144">
            <v>0</v>
          </cell>
          <cell r="H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E145">
            <v>0</v>
          </cell>
          <cell r="G145">
            <v>2924</v>
          </cell>
          <cell r="H145">
            <v>22331</v>
          </cell>
          <cell r="J145">
            <v>0</v>
          </cell>
          <cell r="K145">
            <v>0</v>
          </cell>
          <cell r="L145">
            <v>18824</v>
          </cell>
        </row>
        <row r="146">
          <cell r="E146">
            <v>0</v>
          </cell>
          <cell r="G146">
            <v>7713</v>
          </cell>
          <cell r="H146">
            <v>22995</v>
          </cell>
          <cell r="J146">
            <v>866</v>
          </cell>
          <cell r="K146">
            <v>4754</v>
          </cell>
          <cell r="L146">
            <v>23563</v>
          </cell>
        </row>
        <row r="147">
          <cell r="E147">
            <v>0</v>
          </cell>
          <cell r="G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E148">
            <v>0</v>
          </cell>
          <cell r="G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E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E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</row>
      </sheetData>
      <sheetData sheetId="16" refreshError="1"/>
      <sheetData sheetId="17"/>
      <sheetData sheetId="18">
        <row r="12">
          <cell r="E12">
            <v>0</v>
          </cell>
          <cell r="G12">
            <v>137</v>
          </cell>
          <cell r="H12">
            <v>2104</v>
          </cell>
          <cell r="J12">
            <v>-158</v>
          </cell>
          <cell r="K12">
            <v>0</v>
          </cell>
          <cell r="L12">
            <v>0</v>
          </cell>
        </row>
        <row r="13">
          <cell r="E13">
            <v>0</v>
          </cell>
          <cell r="G13">
            <v>78</v>
          </cell>
          <cell r="H13">
            <v>1766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G14">
            <v>-224</v>
          </cell>
          <cell r="H14">
            <v>-529</v>
          </cell>
          <cell r="J14">
            <v>6</v>
          </cell>
          <cell r="K14">
            <v>0</v>
          </cell>
          <cell r="L14">
            <v>0</v>
          </cell>
        </row>
        <row r="15">
          <cell r="E15">
            <v>0</v>
          </cell>
          <cell r="G15">
            <v>60</v>
          </cell>
          <cell r="H15">
            <v>497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G16">
            <v>81</v>
          </cell>
          <cell r="H16">
            <v>2852</v>
          </cell>
          <cell r="J16">
            <v>9</v>
          </cell>
          <cell r="K16">
            <v>1000</v>
          </cell>
          <cell r="L16">
            <v>0</v>
          </cell>
        </row>
        <row r="17">
          <cell r="E17">
            <v>0</v>
          </cell>
          <cell r="G17">
            <v>11</v>
          </cell>
          <cell r="H17">
            <v>2715</v>
          </cell>
          <cell r="J17">
            <v>0</v>
          </cell>
          <cell r="K17">
            <v>612</v>
          </cell>
          <cell r="L17">
            <v>-1</v>
          </cell>
        </row>
        <row r="18">
          <cell r="E18">
            <v>0</v>
          </cell>
          <cell r="G18">
            <v>359</v>
          </cell>
          <cell r="H18">
            <v>3115</v>
          </cell>
          <cell r="J18">
            <v>517</v>
          </cell>
          <cell r="K18">
            <v>0</v>
          </cell>
          <cell r="L18">
            <v>0</v>
          </cell>
        </row>
        <row r="19">
          <cell r="E19">
            <v>0</v>
          </cell>
          <cell r="G19">
            <v>259</v>
          </cell>
          <cell r="H19">
            <v>1194</v>
          </cell>
          <cell r="J19">
            <v>0</v>
          </cell>
          <cell r="K19">
            <v>-174</v>
          </cell>
          <cell r="L19">
            <v>0</v>
          </cell>
        </row>
        <row r="20">
          <cell r="E20">
            <v>0</v>
          </cell>
          <cell r="G20">
            <v>-65</v>
          </cell>
          <cell r="H20">
            <v>-4732</v>
          </cell>
          <cell r="J20">
            <v>-39</v>
          </cell>
          <cell r="K20">
            <v>-201</v>
          </cell>
          <cell r="L20">
            <v>9</v>
          </cell>
        </row>
        <row r="21">
          <cell r="E21">
            <v>0</v>
          </cell>
          <cell r="G21">
            <v>-96</v>
          </cell>
          <cell r="H21">
            <v>1645</v>
          </cell>
          <cell r="J21">
            <v>22</v>
          </cell>
          <cell r="K21">
            <v>0</v>
          </cell>
          <cell r="L21">
            <v>0</v>
          </cell>
        </row>
        <row r="22">
          <cell r="E22">
            <v>0</v>
          </cell>
          <cell r="G22">
            <v>-582</v>
          </cell>
          <cell r="H22">
            <v>837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G23">
            <v>-381</v>
          </cell>
          <cell r="H23">
            <v>-3499</v>
          </cell>
          <cell r="J23">
            <v>-39</v>
          </cell>
          <cell r="K23">
            <v>0</v>
          </cell>
          <cell r="L23">
            <v>0</v>
          </cell>
        </row>
        <row r="24">
          <cell r="E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G26">
            <v>-45</v>
          </cell>
          <cell r="H26">
            <v>535</v>
          </cell>
          <cell r="J26">
            <v>2</v>
          </cell>
          <cell r="K26">
            <v>0</v>
          </cell>
          <cell r="L26">
            <v>0</v>
          </cell>
        </row>
        <row r="27">
          <cell r="E27">
            <v>0</v>
          </cell>
          <cell r="G27">
            <v>328</v>
          </cell>
          <cell r="H27">
            <v>-1038</v>
          </cell>
          <cell r="J27">
            <v>14</v>
          </cell>
          <cell r="K27">
            <v>0</v>
          </cell>
          <cell r="L27">
            <v>-1</v>
          </cell>
        </row>
        <row r="28">
          <cell r="E28">
            <v>0</v>
          </cell>
          <cell r="G28">
            <v>-168</v>
          </cell>
          <cell r="H28">
            <v>2047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G29">
            <v>-148</v>
          </cell>
          <cell r="H29">
            <v>-6364</v>
          </cell>
          <cell r="J29">
            <v>-72</v>
          </cell>
          <cell r="K29">
            <v>-180</v>
          </cell>
          <cell r="L29">
            <v>-1</v>
          </cell>
        </row>
        <row r="30">
          <cell r="E30">
            <v>0</v>
          </cell>
          <cell r="G30">
            <v>-225</v>
          </cell>
          <cell r="H30">
            <v>46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G31">
            <v>1</v>
          </cell>
          <cell r="H31">
            <v>-257</v>
          </cell>
          <cell r="J31">
            <v>125</v>
          </cell>
          <cell r="K31">
            <v>0</v>
          </cell>
          <cell r="L31">
            <v>0</v>
          </cell>
        </row>
        <row r="32">
          <cell r="E32">
            <v>0</v>
          </cell>
          <cell r="G32">
            <v>1411</v>
          </cell>
          <cell r="H32">
            <v>2680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0</v>
          </cell>
          <cell r="G33">
            <v>101</v>
          </cell>
          <cell r="H33">
            <v>2135</v>
          </cell>
          <cell r="J33">
            <v>0</v>
          </cell>
          <cell r="K33">
            <v>-727</v>
          </cell>
          <cell r="L33">
            <v>0</v>
          </cell>
        </row>
        <row r="34">
          <cell r="E34">
            <v>0</v>
          </cell>
          <cell r="G34">
            <v>132</v>
          </cell>
          <cell r="H34">
            <v>-52</v>
          </cell>
          <cell r="J34">
            <v>-42</v>
          </cell>
          <cell r="K34">
            <v>0</v>
          </cell>
          <cell r="L34">
            <v>0</v>
          </cell>
        </row>
        <row r="35">
          <cell r="E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G37">
            <v>1403</v>
          </cell>
          <cell r="H37">
            <v>25787</v>
          </cell>
          <cell r="J37">
            <v>-8</v>
          </cell>
          <cell r="K37">
            <v>0</v>
          </cell>
          <cell r="L37">
            <v>0</v>
          </cell>
        </row>
        <row r="38">
          <cell r="E38">
            <v>0</v>
          </cell>
          <cell r="G38">
            <v>43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G39">
            <v>0</v>
          </cell>
          <cell r="H39">
            <v>0</v>
          </cell>
          <cell r="J39">
            <v>170</v>
          </cell>
          <cell r="K39">
            <v>0</v>
          </cell>
          <cell r="L39">
            <v>0</v>
          </cell>
        </row>
        <row r="40">
          <cell r="E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>
            <v>0</v>
          </cell>
          <cell r="G42">
            <v>-93</v>
          </cell>
          <cell r="H42">
            <v>195</v>
          </cell>
          <cell r="J42">
            <v>0</v>
          </cell>
          <cell r="K42">
            <v>0</v>
          </cell>
          <cell r="L42">
            <v>0</v>
          </cell>
        </row>
        <row r="43">
          <cell r="E43">
            <v>0</v>
          </cell>
          <cell r="G43">
            <v>-2442</v>
          </cell>
          <cell r="H43">
            <v>-10544</v>
          </cell>
          <cell r="J43">
            <v>-582</v>
          </cell>
          <cell r="K43">
            <v>0</v>
          </cell>
          <cell r="L43">
            <v>0</v>
          </cell>
        </row>
        <row r="44">
          <cell r="E44">
            <v>0</v>
          </cell>
          <cell r="G44">
            <v>583</v>
          </cell>
          <cell r="H44">
            <v>-2501</v>
          </cell>
          <cell r="J44">
            <v>369</v>
          </cell>
          <cell r="K44">
            <v>0</v>
          </cell>
          <cell r="L44">
            <v>-1</v>
          </cell>
        </row>
        <row r="45">
          <cell r="E45">
            <v>0</v>
          </cell>
          <cell r="G45">
            <v>86</v>
          </cell>
          <cell r="H45">
            <v>1624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G46">
            <v>182</v>
          </cell>
          <cell r="H46">
            <v>-1254</v>
          </cell>
          <cell r="J46">
            <v>116</v>
          </cell>
          <cell r="K46">
            <v>2780</v>
          </cell>
          <cell r="L46">
            <v>0</v>
          </cell>
        </row>
        <row r="47">
          <cell r="E47">
            <v>0</v>
          </cell>
          <cell r="G47">
            <v>107</v>
          </cell>
          <cell r="H47">
            <v>1027</v>
          </cell>
          <cell r="J47">
            <v>31</v>
          </cell>
          <cell r="K47">
            <v>0</v>
          </cell>
          <cell r="L47">
            <v>0</v>
          </cell>
        </row>
        <row r="48">
          <cell r="E48">
            <v>0</v>
          </cell>
          <cell r="G48">
            <v>-491</v>
          </cell>
          <cell r="H48">
            <v>-2429</v>
          </cell>
          <cell r="J48">
            <v>0</v>
          </cell>
          <cell r="K48">
            <v>0</v>
          </cell>
          <cell r="L48">
            <v>0</v>
          </cell>
        </row>
        <row r="49">
          <cell r="E49">
            <v>0</v>
          </cell>
          <cell r="G49">
            <v>167</v>
          </cell>
          <cell r="H49">
            <v>-1303</v>
          </cell>
          <cell r="J49">
            <v>5</v>
          </cell>
          <cell r="K49">
            <v>0</v>
          </cell>
          <cell r="L49">
            <v>0</v>
          </cell>
        </row>
        <row r="50">
          <cell r="E50">
            <v>0</v>
          </cell>
          <cell r="G50">
            <v>4</v>
          </cell>
          <cell r="H50">
            <v>-370</v>
          </cell>
          <cell r="J50">
            <v>-3</v>
          </cell>
          <cell r="K50">
            <v>-31</v>
          </cell>
          <cell r="L50">
            <v>0</v>
          </cell>
        </row>
        <row r="51">
          <cell r="E51">
            <v>0</v>
          </cell>
          <cell r="G51">
            <v>76</v>
          </cell>
          <cell r="H51">
            <v>-3382</v>
          </cell>
          <cell r="J51">
            <v>6</v>
          </cell>
          <cell r="K51">
            <v>0</v>
          </cell>
          <cell r="L51">
            <v>0</v>
          </cell>
        </row>
        <row r="52">
          <cell r="E52">
            <v>0</v>
          </cell>
          <cell r="G52">
            <v>20</v>
          </cell>
          <cell r="H52">
            <v>902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G53">
            <v>-351</v>
          </cell>
          <cell r="H53">
            <v>-1079</v>
          </cell>
          <cell r="J53">
            <v>0</v>
          </cell>
          <cell r="K53">
            <v>0</v>
          </cell>
          <cell r="L53">
            <v>0</v>
          </cell>
        </row>
        <row r="54">
          <cell r="E54">
            <v>0</v>
          </cell>
          <cell r="G54">
            <v>-2180</v>
          </cell>
          <cell r="H54">
            <v>4432</v>
          </cell>
          <cell r="J54">
            <v>-443</v>
          </cell>
          <cell r="K54">
            <v>-591</v>
          </cell>
          <cell r="L54">
            <v>0</v>
          </cell>
        </row>
        <row r="55">
          <cell r="E55">
            <v>0</v>
          </cell>
          <cell r="G55">
            <v>115</v>
          </cell>
          <cell r="H55">
            <v>1400</v>
          </cell>
          <cell r="J55">
            <v>9</v>
          </cell>
          <cell r="K55">
            <v>0</v>
          </cell>
          <cell r="L55">
            <v>0</v>
          </cell>
        </row>
        <row r="56">
          <cell r="E56">
            <v>0</v>
          </cell>
          <cell r="G56">
            <v>-184</v>
          </cell>
          <cell r="H56">
            <v>-4023</v>
          </cell>
          <cell r="J56">
            <v>-72</v>
          </cell>
          <cell r="K56">
            <v>0</v>
          </cell>
          <cell r="L56">
            <v>0</v>
          </cell>
        </row>
        <row r="57">
          <cell r="E57">
            <v>0</v>
          </cell>
          <cell r="G57">
            <v>90</v>
          </cell>
          <cell r="H57">
            <v>-1192</v>
          </cell>
          <cell r="J57">
            <v>-6</v>
          </cell>
          <cell r="K57">
            <v>0</v>
          </cell>
          <cell r="L57">
            <v>-1</v>
          </cell>
        </row>
        <row r="58">
          <cell r="E58">
            <v>0</v>
          </cell>
          <cell r="G58">
            <v>-1120</v>
          </cell>
          <cell r="H58">
            <v>-5503</v>
          </cell>
          <cell r="J58">
            <v>23</v>
          </cell>
          <cell r="K58">
            <v>0</v>
          </cell>
          <cell r="L58">
            <v>4</v>
          </cell>
        </row>
        <row r="59">
          <cell r="E59">
            <v>0</v>
          </cell>
          <cell r="G59">
            <v>-519</v>
          </cell>
          <cell r="H59">
            <v>-931</v>
          </cell>
          <cell r="J59">
            <v>3</v>
          </cell>
          <cell r="K59">
            <v>0</v>
          </cell>
          <cell r="L59">
            <v>0</v>
          </cell>
        </row>
        <row r="60">
          <cell r="E60">
            <v>0</v>
          </cell>
          <cell r="G60">
            <v>5</v>
          </cell>
          <cell r="H60">
            <v>287</v>
          </cell>
          <cell r="J60">
            <v>5</v>
          </cell>
          <cell r="K60">
            <v>-17</v>
          </cell>
          <cell r="L60">
            <v>0</v>
          </cell>
        </row>
        <row r="61">
          <cell r="E61">
            <v>0</v>
          </cell>
          <cell r="G61">
            <v>160</v>
          </cell>
          <cell r="H61">
            <v>755</v>
          </cell>
          <cell r="J61">
            <v>-278</v>
          </cell>
          <cell r="K61">
            <v>0</v>
          </cell>
          <cell r="L61">
            <v>0</v>
          </cell>
        </row>
        <row r="62">
          <cell r="E62">
            <v>0</v>
          </cell>
          <cell r="G62">
            <v>209</v>
          </cell>
          <cell r="H62">
            <v>3879</v>
          </cell>
          <cell r="J62">
            <v>72</v>
          </cell>
          <cell r="K62">
            <v>0</v>
          </cell>
          <cell r="L62">
            <v>0</v>
          </cell>
        </row>
        <row r="63">
          <cell r="E63">
            <v>0</v>
          </cell>
          <cell r="G63">
            <v>-195</v>
          </cell>
          <cell r="H63">
            <v>2408</v>
          </cell>
          <cell r="J63">
            <v>74</v>
          </cell>
          <cell r="K63">
            <v>-944</v>
          </cell>
          <cell r="L63">
            <v>0</v>
          </cell>
        </row>
        <row r="64">
          <cell r="E64">
            <v>0</v>
          </cell>
          <cell r="G64">
            <v>-201</v>
          </cell>
          <cell r="H64">
            <v>-231</v>
          </cell>
          <cell r="J64">
            <v>2</v>
          </cell>
          <cell r="K64">
            <v>0</v>
          </cell>
          <cell r="L64">
            <v>0</v>
          </cell>
        </row>
        <row r="65">
          <cell r="E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J68">
            <v>0</v>
          </cell>
          <cell r="K68">
            <v>2000</v>
          </cell>
          <cell r="L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J69">
            <v>61</v>
          </cell>
          <cell r="K69">
            <v>0</v>
          </cell>
          <cell r="L69">
            <v>0</v>
          </cell>
        </row>
        <row r="70">
          <cell r="E70">
            <v>0</v>
          </cell>
          <cell r="G70">
            <v>0</v>
          </cell>
          <cell r="H70">
            <v>0</v>
          </cell>
          <cell r="J70">
            <v>726</v>
          </cell>
          <cell r="K70">
            <v>1067</v>
          </cell>
          <cell r="L70">
            <v>0</v>
          </cell>
        </row>
        <row r="71">
          <cell r="E71">
            <v>0</v>
          </cell>
          <cell r="G71">
            <v>0</v>
          </cell>
          <cell r="H71">
            <v>0</v>
          </cell>
          <cell r="J71">
            <v>5</v>
          </cell>
          <cell r="K71">
            <v>0</v>
          </cell>
          <cell r="L71">
            <v>0</v>
          </cell>
        </row>
        <row r="72">
          <cell r="E72">
            <v>0</v>
          </cell>
          <cell r="G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G75">
            <v>170</v>
          </cell>
          <cell r="H75">
            <v>84</v>
          </cell>
          <cell r="J75">
            <v>2</v>
          </cell>
          <cell r="K75">
            <v>0</v>
          </cell>
          <cell r="L75">
            <v>-1</v>
          </cell>
        </row>
        <row r="76">
          <cell r="E76">
            <v>0</v>
          </cell>
          <cell r="G76">
            <v>164</v>
          </cell>
          <cell r="H76">
            <v>926</v>
          </cell>
          <cell r="J76">
            <v>0</v>
          </cell>
          <cell r="K76">
            <v>0</v>
          </cell>
          <cell r="L76">
            <v>-2</v>
          </cell>
        </row>
        <row r="77">
          <cell r="E77">
            <v>0</v>
          </cell>
          <cell r="G77">
            <v>372</v>
          </cell>
          <cell r="H77">
            <v>-3988</v>
          </cell>
          <cell r="J77">
            <v>0</v>
          </cell>
          <cell r="K77">
            <v>0</v>
          </cell>
          <cell r="L77">
            <v>0</v>
          </cell>
        </row>
        <row r="78">
          <cell r="E78">
            <v>-7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>
            <v>1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>
            <v>20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>
            <v>9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>
            <v>8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G85">
            <v>205</v>
          </cell>
          <cell r="H85">
            <v>345</v>
          </cell>
          <cell r="J85">
            <v>51</v>
          </cell>
          <cell r="K85">
            <v>-4780</v>
          </cell>
          <cell r="L85">
            <v>-2</v>
          </cell>
        </row>
        <row r="86">
          <cell r="E86">
            <v>0</v>
          </cell>
          <cell r="G86">
            <v>1210</v>
          </cell>
          <cell r="H86">
            <v>3348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G87">
            <v>392</v>
          </cell>
          <cell r="H87">
            <v>5394</v>
          </cell>
          <cell r="J87">
            <v>0</v>
          </cell>
          <cell r="K87">
            <v>0</v>
          </cell>
          <cell r="L87">
            <v>0</v>
          </cell>
        </row>
        <row r="88">
          <cell r="E88">
            <v>0</v>
          </cell>
          <cell r="G88">
            <v>102</v>
          </cell>
          <cell r="H88">
            <v>-1227</v>
          </cell>
          <cell r="J88">
            <v>0</v>
          </cell>
          <cell r="K88">
            <v>0</v>
          </cell>
          <cell r="L88">
            <v>-1</v>
          </cell>
        </row>
        <row r="89">
          <cell r="E89">
            <v>0</v>
          </cell>
          <cell r="G89">
            <v>277</v>
          </cell>
          <cell r="H89">
            <v>-17135</v>
          </cell>
          <cell r="J89">
            <v>3</v>
          </cell>
          <cell r="K89">
            <v>0</v>
          </cell>
          <cell r="L89">
            <v>-2</v>
          </cell>
        </row>
        <row r="90">
          <cell r="E90">
            <v>0</v>
          </cell>
          <cell r="G90">
            <v>0</v>
          </cell>
          <cell r="H90">
            <v>0</v>
          </cell>
          <cell r="J90">
            <v>0</v>
          </cell>
          <cell r="K90">
            <v>855</v>
          </cell>
          <cell r="L90">
            <v>0</v>
          </cell>
        </row>
        <row r="91">
          <cell r="E91">
            <v>0</v>
          </cell>
          <cell r="G91">
            <v>204</v>
          </cell>
          <cell r="H91">
            <v>8253</v>
          </cell>
          <cell r="J91">
            <v>0</v>
          </cell>
          <cell r="K91">
            <v>0</v>
          </cell>
          <cell r="L91">
            <v>0</v>
          </cell>
        </row>
        <row r="92">
          <cell r="E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E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>
            <v>0</v>
          </cell>
          <cell r="G94">
            <v>-84</v>
          </cell>
          <cell r="H94">
            <v>-180</v>
          </cell>
          <cell r="J94">
            <v>0</v>
          </cell>
          <cell r="K94">
            <v>0</v>
          </cell>
          <cell r="L94">
            <v>0</v>
          </cell>
        </row>
        <row r="95">
          <cell r="E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E96">
            <v>0</v>
          </cell>
          <cell r="G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E97">
            <v>0</v>
          </cell>
          <cell r="G97">
            <v>0</v>
          </cell>
          <cell r="H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E98">
            <v>0</v>
          </cell>
          <cell r="G98">
            <v>0</v>
          </cell>
          <cell r="H98">
            <v>170</v>
          </cell>
          <cell r="J98">
            <v>0</v>
          </cell>
          <cell r="K98">
            <v>0</v>
          </cell>
          <cell r="L98">
            <v>0</v>
          </cell>
        </row>
        <row r="99">
          <cell r="E99">
            <v>0</v>
          </cell>
          <cell r="G99">
            <v>83</v>
          </cell>
          <cell r="H99">
            <v>596</v>
          </cell>
          <cell r="J99">
            <v>0</v>
          </cell>
          <cell r="K99">
            <v>0</v>
          </cell>
          <cell r="L99">
            <v>0</v>
          </cell>
        </row>
        <row r="100">
          <cell r="E100">
            <v>0</v>
          </cell>
          <cell r="G100">
            <v>-117</v>
          </cell>
          <cell r="H100">
            <v>-2791</v>
          </cell>
          <cell r="J100">
            <v>-6</v>
          </cell>
          <cell r="K100">
            <v>0</v>
          </cell>
          <cell r="L100">
            <v>0</v>
          </cell>
        </row>
        <row r="101">
          <cell r="E101">
            <v>0</v>
          </cell>
          <cell r="G101">
            <v>-97</v>
          </cell>
          <cell r="H101">
            <v>611</v>
          </cell>
          <cell r="J101">
            <v>-15</v>
          </cell>
          <cell r="K101">
            <v>0</v>
          </cell>
          <cell r="L101">
            <v>0</v>
          </cell>
        </row>
        <row r="102">
          <cell r="E102">
            <v>0</v>
          </cell>
          <cell r="G102">
            <v>131</v>
          </cell>
          <cell r="H102">
            <v>1126</v>
          </cell>
          <cell r="J102">
            <v>5</v>
          </cell>
          <cell r="K102">
            <v>0</v>
          </cell>
          <cell r="L102">
            <v>0</v>
          </cell>
        </row>
        <row r="103">
          <cell r="E103">
            <v>0</v>
          </cell>
          <cell r="G103">
            <v>95</v>
          </cell>
          <cell r="H103">
            <v>-2514</v>
          </cell>
          <cell r="J103">
            <v>-197</v>
          </cell>
          <cell r="K103">
            <v>0</v>
          </cell>
          <cell r="L103">
            <v>0</v>
          </cell>
        </row>
        <row r="104">
          <cell r="E104">
            <v>0</v>
          </cell>
          <cell r="G104">
            <v>21</v>
          </cell>
          <cell r="H104">
            <v>-1615</v>
          </cell>
          <cell r="J104">
            <v>1</v>
          </cell>
          <cell r="K104">
            <v>0</v>
          </cell>
          <cell r="L104">
            <v>0</v>
          </cell>
        </row>
        <row r="105">
          <cell r="E105">
            <v>0</v>
          </cell>
          <cell r="G105">
            <v>384</v>
          </cell>
          <cell r="H105">
            <v>3147</v>
          </cell>
          <cell r="J105">
            <v>18</v>
          </cell>
          <cell r="K105">
            <v>0</v>
          </cell>
          <cell r="L105">
            <v>0</v>
          </cell>
        </row>
        <row r="106">
          <cell r="E106">
            <v>0</v>
          </cell>
          <cell r="G106">
            <v>105</v>
          </cell>
          <cell r="H106">
            <v>-3263</v>
          </cell>
          <cell r="J106">
            <v>-183</v>
          </cell>
          <cell r="K106">
            <v>-669</v>
          </cell>
          <cell r="L106">
            <v>0</v>
          </cell>
        </row>
        <row r="107">
          <cell r="E107">
            <v>0</v>
          </cell>
          <cell r="G107">
            <v>-20</v>
          </cell>
          <cell r="H107">
            <v>-987</v>
          </cell>
          <cell r="J107">
            <v>-136</v>
          </cell>
          <cell r="K107">
            <v>0</v>
          </cell>
          <cell r="L107">
            <v>0</v>
          </cell>
        </row>
        <row r="108">
          <cell r="E108">
            <v>0</v>
          </cell>
          <cell r="G108">
            <v>-20</v>
          </cell>
          <cell r="H108">
            <v>-3813</v>
          </cell>
          <cell r="J108">
            <v>-193</v>
          </cell>
          <cell r="K108">
            <v>0</v>
          </cell>
          <cell r="L108">
            <v>0</v>
          </cell>
        </row>
        <row r="109">
          <cell r="E109">
            <v>0</v>
          </cell>
          <cell r="G109">
            <v>-821</v>
          </cell>
          <cell r="H109">
            <v>132</v>
          </cell>
          <cell r="J109">
            <v>-22</v>
          </cell>
          <cell r="K109">
            <v>0</v>
          </cell>
          <cell r="L109">
            <v>0</v>
          </cell>
        </row>
        <row r="110">
          <cell r="E110">
            <v>0</v>
          </cell>
          <cell r="G110">
            <v>110</v>
          </cell>
          <cell r="H110">
            <v>844</v>
          </cell>
          <cell r="J110">
            <v>236</v>
          </cell>
          <cell r="K110">
            <v>0</v>
          </cell>
          <cell r="L110">
            <v>0</v>
          </cell>
        </row>
        <row r="111">
          <cell r="E111">
            <v>0</v>
          </cell>
          <cell r="G111">
            <v>39</v>
          </cell>
          <cell r="H111">
            <v>1304</v>
          </cell>
          <cell r="J111">
            <v>1</v>
          </cell>
          <cell r="K111">
            <v>0</v>
          </cell>
          <cell r="L111">
            <v>0</v>
          </cell>
        </row>
        <row r="112">
          <cell r="E112">
            <v>0</v>
          </cell>
          <cell r="G112">
            <v>205</v>
          </cell>
          <cell r="H112">
            <v>1399</v>
          </cell>
          <cell r="J112">
            <v>40</v>
          </cell>
          <cell r="K112">
            <v>0</v>
          </cell>
          <cell r="L112">
            <v>0</v>
          </cell>
        </row>
        <row r="113">
          <cell r="E113">
            <v>0</v>
          </cell>
          <cell r="G113">
            <v>-1</v>
          </cell>
          <cell r="H113">
            <v>215</v>
          </cell>
          <cell r="J113">
            <v>-82</v>
          </cell>
          <cell r="K113">
            <v>0</v>
          </cell>
          <cell r="L113">
            <v>0</v>
          </cell>
        </row>
        <row r="114">
          <cell r="E114">
            <v>0</v>
          </cell>
          <cell r="G114">
            <v>-173</v>
          </cell>
          <cell r="H114">
            <v>1614</v>
          </cell>
          <cell r="J114">
            <v>-143</v>
          </cell>
          <cell r="K114">
            <v>0</v>
          </cell>
          <cell r="L114">
            <v>0</v>
          </cell>
        </row>
        <row r="115">
          <cell r="E115">
            <v>-11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E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E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E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E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E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E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E122">
            <v>-8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E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G126">
            <v>0</v>
          </cell>
          <cell r="H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0</v>
          </cell>
          <cell r="G127">
            <v>0</v>
          </cell>
          <cell r="H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E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E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E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E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E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E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E134">
            <v>-12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E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E137">
            <v>0</v>
          </cell>
          <cell r="G137">
            <v>0</v>
          </cell>
          <cell r="H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E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E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E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E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E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E144">
            <v>0</v>
          </cell>
          <cell r="G144">
            <v>0</v>
          </cell>
          <cell r="H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E145">
            <v>0</v>
          </cell>
          <cell r="G145">
            <v>122</v>
          </cell>
          <cell r="H145">
            <v>2012</v>
          </cell>
          <cell r="J145">
            <v>0</v>
          </cell>
          <cell r="K145">
            <v>0</v>
          </cell>
          <cell r="L145">
            <v>-1</v>
          </cell>
        </row>
        <row r="146">
          <cell r="E146">
            <v>0</v>
          </cell>
          <cell r="G146">
            <v>444</v>
          </cell>
          <cell r="H146">
            <v>-9658</v>
          </cell>
          <cell r="J146">
            <v>-10</v>
          </cell>
          <cell r="K146">
            <v>0</v>
          </cell>
          <cell r="L146">
            <v>1</v>
          </cell>
        </row>
        <row r="147">
          <cell r="E147">
            <v>0</v>
          </cell>
          <cell r="G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E148">
            <v>0</v>
          </cell>
          <cell r="G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E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48"/>
  <sheetViews>
    <sheetView tabSelected="1" zoomScale="80" zoomScaleNormal="80" workbookViewId="0">
      <pane xSplit="4" ySplit="9" topLeftCell="I118" activePane="bottomRight" state="frozen"/>
      <selection activeCell="F306" sqref="F306"/>
      <selection pane="topRight" activeCell="F306" sqref="F306"/>
      <selection pane="bottomLeft" activeCell="F306" sqref="F306"/>
      <selection pane="bottomRight" activeCell="K140" sqref="K140"/>
    </sheetView>
  </sheetViews>
  <sheetFormatPr defaultRowHeight="12.75" x14ac:dyDescent="0.2"/>
  <cols>
    <col min="1" max="1" width="8.42578125" style="467" customWidth="1"/>
    <col min="2" max="2" width="11.5703125" style="467" customWidth="1"/>
    <col min="3" max="3" width="35.7109375" style="467" customWidth="1"/>
    <col min="4" max="4" width="9.140625" style="467" customWidth="1"/>
    <col min="5" max="5" width="11.5703125" style="467" customWidth="1"/>
    <col min="6" max="6" width="11.85546875" style="467" customWidth="1"/>
    <col min="7" max="7" width="11.7109375" style="467" customWidth="1"/>
    <col min="8" max="8" width="19.28515625" style="467" customWidth="1"/>
    <col min="9" max="9" width="9.7109375" style="494" customWidth="1"/>
    <col min="10" max="10" width="12.140625" style="494" customWidth="1"/>
    <col min="11" max="11" width="11.140625" style="467" customWidth="1"/>
    <col min="12" max="12" width="14.5703125" style="467" customWidth="1"/>
    <col min="13" max="13" width="11" style="477" customWidth="1"/>
    <col min="14" max="14" width="9.140625" style="467"/>
    <col min="15" max="15" width="12.140625" style="467" customWidth="1"/>
    <col min="16" max="239" width="9.140625" style="467"/>
    <col min="240" max="240" width="5.5703125" style="467" customWidth="1"/>
    <col min="241" max="241" width="11.5703125" style="467" customWidth="1"/>
    <col min="242" max="242" width="35.7109375" style="467" customWidth="1"/>
    <col min="243" max="243" width="9.140625" style="467" customWidth="1"/>
    <col min="244" max="244" width="11.5703125" style="467" customWidth="1"/>
    <col min="245" max="245" width="15.7109375" style="467" customWidth="1"/>
    <col min="246" max="246" width="13.42578125" style="467" customWidth="1"/>
    <col min="247" max="247" width="19.140625" style="467" customWidth="1"/>
    <col min="248" max="248" width="8.140625" style="467" customWidth="1"/>
    <col min="249" max="249" width="12.140625" style="467" customWidth="1"/>
    <col min="250" max="250" width="14.42578125" style="467" customWidth="1"/>
    <col min="251" max="251" width="13.5703125" style="467" customWidth="1"/>
    <col min="252" max="495" width="9.140625" style="467"/>
    <col min="496" max="496" width="5.5703125" style="467" customWidth="1"/>
    <col min="497" max="497" width="11.5703125" style="467" customWidth="1"/>
    <col min="498" max="498" width="35.7109375" style="467" customWidth="1"/>
    <col min="499" max="499" width="9.140625" style="467" customWidth="1"/>
    <col min="500" max="500" width="11.5703125" style="467" customWidth="1"/>
    <col min="501" max="501" width="15.7109375" style="467" customWidth="1"/>
    <col min="502" max="502" width="13.42578125" style="467" customWidth="1"/>
    <col min="503" max="503" width="19.140625" style="467" customWidth="1"/>
    <col min="504" max="504" width="8.140625" style="467" customWidth="1"/>
    <col min="505" max="505" width="12.140625" style="467" customWidth="1"/>
    <col min="506" max="506" width="14.42578125" style="467" customWidth="1"/>
    <col min="507" max="507" width="13.5703125" style="467" customWidth="1"/>
    <col min="508" max="751" width="9.140625" style="467"/>
    <col min="752" max="752" width="5.5703125" style="467" customWidth="1"/>
    <col min="753" max="753" width="11.5703125" style="467" customWidth="1"/>
    <col min="754" max="754" width="35.7109375" style="467" customWidth="1"/>
    <col min="755" max="755" width="9.140625" style="467" customWidth="1"/>
    <col min="756" max="756" width="11.5703125" style="467" customWidth="1"/>
    <col min="757" max="757" width="15.7109375" style="467" customWidth="1"/>
    <col min="758" max="758" width="13.42578125" style="467" customWidth="1"/>
    <col min="759" max="759" width="19.140625" style="467" customWidth="1"/>
    <col min="760" max="760" width="8.140625" style="467" customWidth="1"/>
    <col min="761" max="761" width="12.140625" style="467" customWidth="1"/>
    <col min="762" max="762" width="14.42578125" style="467" customWidth="1"/>
    <col min="763" max="763" width="13.5703125" style="467" customWidth="1"/>
    <col min="764" max="1007" width="9.140625" style="467"/>
    <col min="1008" max="1008" width="5.5703125" style="467" customWidth="1"/>
    <col min="1009" max="1009" width="11.5703125" style="467" customWidth="1"/>
    <col min="1010" max="1010" width="35.7109375" style="467" customWidth="1"/>
    <col min="1011" max="1011" width="9.140625" style="467" customWidth="1"/>
    <col min="1012" max="1012" width="11.5703125" style="467" customWidth="1"/>
    <col min="1013" max="1013" width="15.7109375" style="467" customWidth="1"/>
    <col min="1014" max="1014" width="13.42578125" style="467" customWidth="1"/>
    <col min="1015" max="1015" width="19.140625" style="467" customWidth="1"/>
    <col min="1016" max="1016" width="8.140625" style="467" customWidth="1"/>
    <col min="1017" max="1017" width="12.140625" style="467" customWidth="1"/>
    <col min="1018" max="1018" width="14.42578125" style="467" customWidth="1"/>
    <col min="1019" max="1019" width="13.5703125" style="467" customWidth="1"/>
    <col min="1020" max="1263" width="9.140625" style="467"/>
    <col min="1264" max="1264" width="5.5703125" style="467" customWidth="1"/>
    <col min="1265" max="1265" width="11.5703125" style="467" customWidth="1"/>
    <col min="1266" max="1266" width="35.7109375" style="467" customWidth="1"/>
    <col min="1267" max="1267" width="9.140625" style="467" customWidth="1"/>
    <col min="1268" max="1268" width="11.5703125" style="467" customWidth="1"/>
    <col min="1269" max="1269" width="15.7109375" style="467" customWidth="1"/>
    <col min="1270" max="1270" width="13.42578125" style="467" customWidth="1"/>
    <col min="1271" max="1271" width="19.140625" style="467" customWidth="1"/>
    <col min="1272" max="1272" width="8.140625" style="467" customWidth="1"/>
    <col min="1273" max="1273" width="12.140625" style="467" customWidth="1"/>
    <col min="1274" max="1274" width="14.42578125" style="467" customWidth="1"/>
    <col min="1275" max="1275" width="13.5703125" style="467" customWidth="1"/>
    <col min="1276" max="1519" width="9.140625" style="467"/>
    <col min="1520" max="1520" width="5.5703125" style="467" customWidth="1"/>
    <col min="1521" max="1521" width="11.5703125" style="467" customWidth="1"/>
    <col min="1522" max="1522" width="35.7109375" style="467" customWidth="1"/>
    <col min="1523" max="1523" width="9.140625" style="467" customWidth="1"/>
    <col min="1524" max="1524" width="11.5703125" style="467" customWidth="1"/>
    <col min="1525" max="1525" width="15.7109375" style="467" customWidth="1"/>
    <col min="1526" max="1526" width="13.42578125" style="467" customWidth="1"/>
    <col min="1527" max="1527" width="19.140625" style="467" customWidth="1"/>
    <col min="1528" max="1528" width="8.140625" style="467" customWidth="1"/>
    <col min="1529" max="1529" width="12.140625" style="467" customWidth="1"/>
    <col min="1530" max="1530" width="14.42578125" style="467" customWidth="1"/>
    <col min="1531" max="1531" width="13.5703125" style="467" customWidth="1"/>
    <col min="1532" max="1775" width="9.140625" style="467"/>
    <col min="1776" max="1776" width="5.5703125" style="467" customWidth="1"/>
    <col min="1777" max="1777" width="11.5703125" style="467" customWidth="1"/>
    <col min="1778" max="1778" width="35.7109375" style="467" customWidth="1"/>
    <col min="1779" max="1779" width="9.140625" style="467" customWidth="1"/>
    <col min="1780" max="1780" width="11.5703125" style="467" customWidth="1"/>
    <col min="1781" max="1781" width="15.7109375" style="467" customWidth="1"/>
    <col min="1782" max="1782" width="13.42578125" style="467" customWidth="1"/>
    <col min="1783" max="1783" width="19.140625" style="467" customWidth="1"/>
    <col min="1784" max="1784" width="8.140625" style="467" customWidth="1"/>
    <col min="1785" max="1785" width="12.140625" style="467" customWidth="1"/>
    <col min="1786" max="1786" width="14.42578125" style="467" customWidth="1"/>
    <col min="1787" max="1787" width="13.5703125" style="467" customWidth="1"/>
    <col min="1788" max="2031" width="9.140625" style="467"/>
    <col min="2032" max="2032" width="5.5703125" style="467" customWidth="1"/>
    <col min="2033" max="2033" width="11.5703125" style="467" customWidth="1"/>
    <col min="2034" max="2034" width="35.7109375" style="467" customWidth="1"/>
    <col min="2035" max="2035" width="9.140625" style="467" customWidth="1"/>
    <col min="2036" max="2036" width="11.5703125" style="467" customWidth="1"/>
    <col min="2037" max="2037" width="15.7109375" style="467" customWidth="1"/>
    <col min="2038" max="2038" width="13.42578125" style="467" customWidth="1"/>
    <col min="2039" max="2039" width="19.140625" style="467" customWidth="1"/>
    <col min="2040" max="2040" width="8.140625" style="467" customWidth="1"/>
    <col min="2041" max="2041" width="12.140625" style="467" customWidth="1"/>
    <col min="2042" max="2042" width="14.42578125" style="467" customWidth="1"/>
    <col min="2043" max="2043" width="13.5703125" style="467" customWidth="1"/>
    <col min="2044" max="2287" width="9.140625" style="467"/>
    <col min="2288" max="2288" width="5.5703125" style="467" customWidth="1"/>
    <col min="2289" max="2289" width="11.5703125" style="467" customWidth="1"/>
    <col min="2290" max="2290" width="35.7109375" style="467" customWidth="1"/>
    <col min="2291" max="2291" width="9.140625" style="467" customWidth="1"/>
    <col min="2292" max="2292" width="11.5703125" style="467" customWidth="1"/>
    <col min="2293" max="2293" width="15.7109375" style="467" customWidth="1"/>
    <col min="2294" max="2294" width="13.42578125" style="467" customWidth="1"/>
    <col min="2295" max="2295" width="19.140625" style="467" customWidth="1"/>
    <col min="2296" max="2296" width="8.140625" style="467" customWidth="1"/>
    <col min="2297" max="2297" width="12.140625" style="467" customWidth="1"/>
    <col min="2298" max="2298" width="14.42578125" style="467" customWidth="1"/>
    <col min="2299" max="2299" width="13.5703125" style="467" customWidth="1"/>
    <col min="2300" max="2543" width="9.140625" style="467"/>
    <col min="2544" max="2544" width="5.5703125" style="467" customWidth="1"/>
    <col min="2545" max="2545" width="11.5703125" style="467" customWidth="1"/>
    <col min="2546" max="2546" width="35.7109375" style="467" customWidth="1"/>
    <col min="2547" max="2547" width="9.140625" style="467" customWidth="1"/>
    <col min="2548" max="2548" width="11.5703125" style="467" customWidth="1"/>
    <col min="2549" max="2549" width="15.7109375" style="467" customWidth="1"/>
    <col min="2550" max="2550" width="13.42578125" style="467" customWidth="1"/>
    <col min="2551" max="2551" width="19.140625" style="467" customWidth="1"/>
    <col min="2552" max="2552" width="8.140625" style="467" customWidth="1"/>
    <col min="2553" max="2553" width="12.140625" style="467" customWidth="1"/>
    <col min="2554" max="2554" width="14.42578125" style="467" customWidth="1"/>
    <col min="2555" max="2555" width="13.5703125" style="467" customWidth="1"/>
    <col min="2556" max="2799" width="9.140625" style="467"/>
    <col min="2800" max="2800" width="5.5703125" style="467" customWidth="1"/>
    <col min="2801" max="2801" width="11.5703125" style="467" customWidth="1"/>
    <col min="2802" max="2802" width="35.7109375" style="467" customWidth="1"/>
    <col min="2803" max="2803" width="9.140625" style="467" customWidth="1"/>
    <col min="2804" max="2804" width="11.5703125" style="467" customWidth="1"/>
    <col min="2805" max="2805" width="15.7109375" style="467" customWidth="1"/>
    <col min="2806" max="2806" width="13.42578125" style="467" customWidth="1"/>
    <col min="2807" max="2807" width="19.140625" style="467" customWidth="1"/>
    <col min="2808" max="2808" width="8.140625" style="467" customWidth="1"/>
    <col min="2809" max="2809" width="12.140625" style="467" customWidth="1"/>
    <col min="2810" max="2810" width="14.42578125" style="467" customWidth="1"/>
    <col min="2811" max="2811" width="13.5703125" style="467" customWidth="1"/>
    <col min="2812" max="3055" width="9.140625" style="467"/>
    <col min="3056" max="3056" width="5.5703125" style="467" customWidth="1"/>
    <col min="3057" max="3057" width="11.5703125" style="467" customWidth="1"/>
    <col min="3058" max="3058" width="35.7109375" style="467" customWidth="1"/>
    <col min="3059" max="3059" width="9.140625" style="467" customWidth="1"/>
    <col min="3060" max="3060" width="11.5703125" style="467" customWidth="1"/>
    <col min="3061" max="3061" width="15.7109375" style="467" customWidth="1"/>
    <col min="3062" max="3062" width="13.42578125" style="467" customWidth="1"/>
    <col min="3063" max="3063" width="19.140625" style="467" customWidth="1"/>
    <col min="3064" max="3064" width="8.140625" style="467" customWidth="1"/>
    <col min="3065" max="3065" width="12.140625" style="467" customWidth="1"/>
    <col min="3066" max="3066" width="14.42578125" style="467" customWidth="1"/>
    <col min="3067" max="3067" width="13.5703125" style="467" customWidth="1"/>
    <col min="3068" max="3311" width="9.140625" style="467"/>
    <col min="3312" max="3312" width="5.5703125" style="467" customWidth="1"/>
    <col min="3313" max="3313" width="11.5703125" style="467" customWidth="1"/>
    <col min="3314" max="3314" width="35.7109375" style="467" customWidth="1"/>
    <col min="3315" max="3315" width="9.140625" style="467" customWidth="1"/>
    <col min="3316" max="3316" width="11.5703125" style="467" customWidth="1"/>
    <col min="3317" max="3317" width="15.7109375" style="467" customWidth="1"/>
    <col min="3318" max="3318" width="13.42578125" style="467" customWidth="1"/>
    <col min="3319" max="3319" width="19.140625" style="467" customWidth="1"/>
    <col min="3320" max="3320" width="8.140625" style="467" customWidth="1"/>
    <col min="3321" max="3321" width="12.140625" style="467" customWidth="1"/>
    <col min="3322" max="3322" width="14.42578125" style="467" customWidth="1"/>
    <col min="3323" max="3323" width="13.5703125" style="467" customWidth="1"/>
    <col min="3324" max="3567" width="9.140625" style="467"/>
    <col min="3568" max="3568" width="5.5703125" style="467" customWidth="1"/>
    <col min="3569" max="3569" width="11.5703125" style="467" customWidth="1"/>
    <col min="3570" max="3570" width="35.7109375" style="467" customWidth="1"/>
    <col min="3571" max="3571" width="9.140625" style="467" customWidth="1"/>
    <col min="3572" max="3572" width="11.5703125" style="467" customWidth="1"/>
    <col min="3573" max="3573" width="15.7109375" style="467" customWidth="1"/>
    <col min="3574" max="3574" width="13.42578125" style="467" customWidth="1"/>
    <col min="3575" max="3575" width="19.140625" style="467" customWidth="1"/>
    <col min="3576" max="3576" width="8.140625" style="467" customWidth="1"/>
    <col min="3577" max="3577" width="12.140625" style="467" customWidth="1"/>
    <col min="3578" max="3578" width="14.42578125" style="467" customWidth="1"/>
    <col min="3579" max="3579" width="13.5703125" style="467" customWidth="1"/>
    <col min="3580" max="3823" width="9.140625" style="467"/>
    <col min="3824" max="3824" width="5.5703125" style="467" customWidth="1"/>
    <col min="3825" max="3825" width="11.5703125" style="467" customWidth="1"/>
    <col min="3826" max="3826" width="35.7109375" style="467" customWidth="1"/>
    <col min="3827" max="3827" width="9.140625" style="467" customWidth="1"/>
    <col min="3828" max="3828" width="11.5703125" style="467" customWidth="1"/>
    <col min="3829" max="3829" width="15.7109375" style="467" customWidth="1"/>
    <col min="3830" max="3830" width="13.42578125" style="467" customWidth="1"/>
    <col min="3831" max="3831" width="19.140625" style="467" customWidth="1"/>
    <col min="3832" max="3832" width="8.140625" style="467" customWidth="1"/>
    <col min="3833" max="3833" width="12.140625" style="467" customWidth="1"/>
    <col min="3834" max="3834" width="14.42578125" style="467" customWidth="1"/>
    <col min="3835" max="3835" width="13.5703125" style="467" customWidth="1"/>
    <col min="3836" max="4079" width="9.140625" style="467"/>
    <col min="4080" max="4080" width="5.5703125" style="467" customWidth="1"/>
    <col min="4081" max="4081" width="11.5703125" style="467" customWidth="1"/>
    <col min="4082" max="4082" width="35.7109375" style="467" customWidth="1"/>
    <col min="4083" max="4083" width="9.140625" style="467" customWidth="1"/>
    <col min="4084" max="4084" width="11.5703125" style="467" customWidth="1"/>
    <col min="4085" max="4085" width="15.7109375" style="467" customWidth="1"/>
    <col min="4086" max="4086" width="13.42578125" style="467" customWidth="1"/>
    <col min="4087" max="4087" width="19.140625" style="467" customWidth="1"/>
    <col min="4088" max="4088" width="8.140625" style="467" customWidth="1"/>
    <col min="4089" max="4089" width="12.140625" style="467" customWidth="1"/>
    <col min="4090" max="4090" width="14.42578125" style="467" customWidth="1"/>
    <col min="4091" max="4091" width="13.5703125" style="467" customWidth="1"/>
    <col min="4092" max="4335" width="9.140625" style="467"/>
    <col min="4336" max="4336" width="5.5703125" style="467" customWidth="1"/>
    <col min="4337" max="4337" width="11.5703125" style="467" customWidth="1"/>
    <col min="4338" max="4338" width="35.7109375" style="467" customWidth="1"/>
    <col min="4339" max="4339" width="9.140625" style="467" customWidth="1"/>
    <col min="4340" max="4340" width="11.5703125" style="467" customWidth="1"/>
    <col min="4341" max="4341" width="15.7109375" style="467" customWidth="1"/>
    <col min="4342" max="4342" width="13.42578125" style="467" customWidth="1"/>
    <col min="4343" max="4343" width="19.140625" style="467" customWidth="1"/>
    <col min="4344" max="4344" width="8.140625" style="467" customWidth="1"/>
    <col min="4345" max="4345" width="12.140625" style="467" customWidth="1"/>
    <col min="4346" max="4346" width="14.42578125" style="467" customWidth="1"/>
    <col min="4347" max="4347" width="13.5703125" style="467" customWidth="1"/>
    <col min="4348" max="4591" width="9.140625" style="467"/>
    <col min="4592" max="4592" width="5.5703125" style="467" customWidth="1"/>
    <col min="4593" max="4593" width="11.5703125" style="467" customWidth="1"/>
    <col min="4594" max="4594" width="35.7109375" style="467" customWidth="1"/>
    <col min="4595" max="4595" width="9.140625" style="467" customWidth="1"/>
    <col min="4596" max="4596" width="11.5703125" style="467" customWidth="1"/>
    <col min="4597" max="4597" width="15.7109375" style="467" customWidth="1"/>
    <col min="4598" max="4598" width="13.42578125" style="467" customWidth="1"/>
    <col min="4599" max="4599" width="19.140625" style="467" customWidth="1"/>
    <col min="4600" max="4600" width="8.140625" style="467" customWidth="1"/>
    <col min="4601" max="4601" width="12.140625" style="467" customWidth="1"/>
    <col min="4602" max="4602" width="14.42578125" style="467" customWidth="1"/>
    <col min="4603" max="4603" width="13.5703125" style="467" customWidth="1"/>
    <col min="4604" max="4847" width="9.140625" style="467"/>
    <col min="4848" max="4848" width="5.5703125" style="467" customWidth="1"/>
    <col min="4849" max="4849" width="11.5703125" style="467" customWidth="1"/>
    <col min="4850" max="4850" width="35.7109375" style="467" customWidth="1"/>
    <col min="4851" max="4851" width="9.140625" style="467" customWidth="1"/>
    <col min="4852" max="4852" width="11.5703125" style="467" customWidth="1"/>
    <col min="4853" max="4853" width="15.7109375" style="467" customWidth="1"/>
    <col min="4854" max="4854" width="13.42578125" style="467" customWidth="1"/>
    <col min="4855" max="4855" width="19.140625" style="467" customWidth="1"/>
    <col min="4856" max="4856" width="8.140625" style="467" customWidth="1"/>
    <col min="4857" max="4857" width="12.140625" style="467" customWidth="1"/>
    <col min="4858" max="4858" width="14.42578125" style="467" customWidth="1"/>
    <col min="4859" max="4859" width="13.5703125" style="467" customWidth="1"/>
    <col min="4860" max="5103" width="9.140625" style="467"/>
    <col min="5104" max="5104" width="5.5703125" style="467" customWidth="1"/>
    <col min="5105" max="5105" width="11.5703125" style="467" customWidth="1"/>
    <col min="5106" max="5106" width="35.7109375" style="467" customWidth="1"/>
    <col min="5107" max="5107" width="9.140625" style="467" customWidth="1"/>
    <col min="5108" max="5108" width="11.5703125" style="467" customWidth="1"/>
    <col min="5109" max="5109" width="15.7109375" style="467" customWidth="1"/>
    <col min="5110" max="5110" width="13.42578125" style="467" customWidth="1"/>
    <col min="5111" max="5111" width="19.140625" style="467" customWidth="1"/>
    <col min="5112" max="5112" width="8.140625" style="467" customWidth="1"/>
    <col min="5113" max="5113" width="12.140625" style="467" customWidth="1"/>
    <col min="5114" max="5114" width="14.42578125" style="467" customWidth="1"/>
    <col min="5115" max="5115" width="13.5703125" style="467" customWidth="1"/>
    <col min="5116" max="5359" width="9.140625" style="467"/>
    <col min="5360" max="5360" width="5.5703125" style="467" customWidth="1"/>
    <col min="5361" max="5361" width="11.5703125" style="467" customWidth="1"/>
    <col min="5362" max="5362" width="35.7109375" style="467" customWidth="1"/>
    <col min="5363" max="5363" width="9.140625" style="467" customWidth="1"/>
    <col min="5364" max="5364" width="11.5703125" style="467" customWidth="1"/>
    <col min="5365" max="5365" width="15.7109375" style="467" customWidth="1"/>
    <col min="5366" max="5366" width="13.42578125" style="467" customWidth="1"/>
    <col min="5367" max="5367" width="19.140625" style="467" customWidth="1"/>
    <col min="5368" max="5368" width="8.140625" style="467" customWidth="1"/>
    <col min="5369" max="5369" width="12.140625" style="467" customWidth="1"/>
    <col min="5370" max="5370" width="14.42578125" style="467" customWidth="1"/>
    <col min="5371" max="5371" width="13.5703125" style="467" customWidth="1"/>
    <col min="5372" max="5615" width="9.140625" style="467"/>
    <col min="5616" max="5616" width="5.5703125" style="467" customWidth="1"/>
    <col min="5617" max="5617" width="11.5703125" style="467" customWidth="1"/>
    <col min="5618" max="5618" width="35.7109375" style="467" customWidth="1"/>
    <col min="5619" max="5619" width="9.140625" style="467" customWidth="1"/>
    <col min="5620" max="5620" width="11.5703125" style="467" customWidth="1"/>
    <col min="5621" max="5621" width="15.7109375" style="467" customWidth="1"/>
    <col min="5622" max="5622" width="13.42578125" style="467" customWidth="1"/>
    <col min="5623" max="5623" width="19.140625" style="467" customWidth="1"/>
    <col min="5624" max="5624" width="8.140625" style="467" customWidth="1"/>
    <col min="5625" max="5625" width="12.140625" style="467" customWidth="1"/>
    <col min="5626" max="5626" width="14.42578125" style="467" customWidth="1"/>
    <col min="5627" max="5627" width="13.5703125" style="467" customWidth="1"/>
    <col min="5628" max="5871" width="9.140625" style="467"/>
    <col min="5872" max="5872" width="5.5703125" style="467" customWidth="1"/>
    <col min="5873" max="5873" width="11.5703125" style="467" customWidth="1"/>
    <col min="5874" max="5874" width="35.7109375" style="467" customWidth="1"/>
    <col min="5875" max="5875" width="9.140625" style="467" customWidth="1"/>
    <col min="5876" max="5876" width="11.5703125" style="467" customWidth="1"/>
    <col min="5877" max="5877" width="15.7109375" style="467" customWidth="1"/>
    <col min="5878" max="5878" width="13.42578125" style="467" customWidth="1"/>
    <col min="5879" max="5879" width="19.140625" style="467" customWidth="1"/>
    <col min="5880" max="5880" width="8.140625" style="467" customWidth="1"/>
    <col min="5881" max="5881" width="12.140625" style="467" customWidth="1"/>
    <col min="5882" max="5882" width="14.42578125" style="467" customWidth="1"/>
    <col min="5883" max="5883" width="13.5703125" style="467" customWidth="1"/>
    <col min="5884" max="6127" width="9.140625" style="467"/>
    <col min="6128" max="6128" width="5.5703125" style="467" customWidth="1"/>
    <col min="6129" max="6129" width="11.5703125" style="467" customWidth="1"/>
    <col min="6130" max="6130" width="35.7109375" style="467" customWidth="1"/>
    <col min="6131" max="6131" width="9.140625" style="467" customWidth="1"/>
    <col min="6132" max="6132" width="11.5703125" style="467" customWidth="1"/>
    <col min="6133" max="6133" width="15.7109375" style="467" customWidth="1"/>
    <col min="6134" max="6134" width="13.42578125" style="467" customWidth="1"/>
    <col min="6135" max="6135" width="19.140625" style="467" customWidth="1"/>
    <col min="6136" max="6136" width="8.140625" style="467" customWidth="1"/>
    <col min="6137" max="6137" width="12.140625" style="467" customWidth="1"/>
    <col min="6138" max="6138" width="14.42578125" style="467" customWidth="1"/>
    <col min="6139" max="6139" width="13.5703125" style="467" customWidth="1"/>
    <col min="6140" max="6383" width="9.140625" style="467"/>
    <col min="6384" max="6384" width="5.5703125" style="467" customWidth="1"/>
    <col min="6385" max="6385" width="11.5703125" style="467" customWidth="1"/>
    <col min="6386" max="6386" width="35.7109375" style="467" customWidth="1"/>
    <col min="6387" max="6387" width="9.140625" style="467" customWidth="1"/>
    <col min="6388" max="6388" width="11.5703125" style="467" customWidth="1"/>
    <col min="6389" max="6389" width="15.7109375" style="467" customWidth="1"/>
    <col min="6390" max="6390" width="13.42578125" style="467" customWidth="1"/>
    <col min="6391" max="6391" width="19.140625" style="467" customWidth="1"/>
    <col min="6392" max="6392" width="8.140625" style="467" customWidth="1"/>
    <col min="6393" max="6393" width="12.140625" style="467" customWidth="1"/>
    <col min="6394" max="6394" width="14.42578125" style="467" customWidth="1"/>
    <col min="6395" max="6395" width="13.5703125" style="467" customWidth="1"/>
    <col min="6396" max="6639" width="9.140625" style="467"/>
    <col min="6640" max="6640" width="5.5703125" style="467" customWidth="1"/>
    <col min="6641" max="6641" width="11.5703125" style="467" customWidth="1"/>
    <col min="6642" max="6642" width="35.7109375" style="467" customWidth="1"/>
    <col min="6643" max="6643" width="9.140625" style="467" customWidth="1"/>
    <col min="6644" max="6644" width="11.5703125" style="467" customWidth="1"/>
    <col min="6645" max="6645" width="15.7109375" style="467" customWidth="1"/>
    <col min="6646" max="6646" width="13.42578125" style="467" customWidth="1"/>
    <col min="6647" max="6647" width="19.140625" style="467" customWidth="1"/>
    <col min="6648" max="6648" width="8.140625" style="467" customWidth="1"/>
    <col min="6649" max="6649" width="12.140625" style="467" customWidth="1"/>
    <col min="6650" max="6650" width="14.42578125" style="467" customWidth="1"/>
    <col min="6651" max="6651" width="13.5703125" style="467" customWidth="1"/>
    <col min="6652" max="6895" width="9.140625" style="467"/>
    <col min="6896" max="6896" width="5.5703125" style="467" customWidth="1"/>
    <col min="6897" max="6897" width="11.5703125" style="467" customWidth="1"/>
    <col min="6898" max="6898" width="35.7109375" style="467" customWidth="1"/>
    <col min="6899" max="6899" width="9.140625" style="467" customWidth="1"/>
    <col min="6900" max="6900" width="11.5703125" style="467" customWidth="1"/>
    <col min="6901" max="6901" width="15.7109375" style="467" customWidth="1"/>
    <col min="6902" max="6902" width="13.42578125" style="467" customWidth="1"/>
    <col min="6903" max="6903" width="19.140625" style="467" customWidth="1"/>
    <col min="6904" max="6904" width="8.140625" style="467" customWidth="1"/>
    <col min="6905" max="6905" width="12.140625" style="467" customWidth="1"/>
    <col min="6906" max="6906" width="14.42578125" style="467" customWidth="1"/>
    <col min="6907" max="6907" width="13.5703125" style="467" customWidth="1"/>
    <col min="6908" max="7151" width="9.140625" style="467"/>
    <col min="7152" max="7152" width="5.5703125" style="467" customWidth="1"/>
    <col min="7153" max="7153" width="11.5703125" style="467" customWidth="1"/>
    <col min="7154" max="7154" width="35.7109375" style="467" customWidth="1"/>
    <col min="7155" max="7155" width="9.140625" style="467" customWidth="1"/>
    <col min="7156" max="7156" width="11.5703125" style="467" customWidth="1"/>
    <col min="7157" max="7157" width="15.7109375" style="467" customWidth="1"/>
    <col min="7158" max="7158" width="13.42578125" style="467" customWidth="1"/>
    <col min="7159" max="7159" width="19.140625" style="467" customWidth="1"/>
    <col min="7160" max="7160" width="8.140625" style="467" customWidth="1"/>
    <col min="7161" max="7161" width="12.140625" style="467" customWidth="1"/>
    <col min="7162" max="7162" width="14.42578125" style="467" customWidth="1"/>
    <col min="7163" max="7163" width="13.5703125" style="467" customWidth="1"/>
    <col min="7164" max="7407" width="9.140625" style="467"/>
    <col min="7408" max="7408" width="5.5703125" style="467" customWidth="1"/>
    <col min="7409" max="7409" width="11.5703125" style="467" customWidth="1"/>
    <col min="7410" max="7410" width="35.7109375" style="467" customWidth="1"/>
    <col min="7411" max="7411" width="9.140625" style="467" customWidth="1"/>
    <col min="7412" max="7412" width="11.5703125" style="467" customWidth="1"/>
    <col min="7413" max="7413" width="15.7109375" style="467" customWidth="1"/>
    <col min="7414" max="7414" width="13.42578125" style="467" customWidth="1"/>
    <col min="7415" max="7415" width="19.140625" style="467" customWidth="1"/>
    <col min="7416" max="7416" width="8.140625" style="467" customWidth="1"/>
    <col min="7417" max="7417" width="12.140625" style="467" customWidth="1"/>
    <col min="7418" max="7418" width="14.42578125" style="467" customWidth="1"/>
    <col min="7419" max="7419" width="13.5703125" style="467" customWidth="1"/>
    <col min="7420" max="7663" width="9.140625" style="467"/>
    <col min="7664" max="7664" width="5.5703125" style="467" customWidth="1"/>
    <col min="7665" max="7665" width="11.5703125" style="467" customWidth="1"/>
    <col min="7666" max="7666" width="35.7109375" style="467" customWidth="1"/>
    <col min="7667" max="7667" width="9.140625" style="467" customWidth="1"/>
    <col min="7668" max="7668" width="11.5703125" style="467" customWidth="1"/>
    <col min="7669" max="7669" width="15.7109375" style="467" customWidth="1"/>
    <col min="7670" max="7670" width="13.42578125" style="467" customWidth="1"/>
    <col min="7671" max="7671" width="19.140625" style="467" customWidth="1"/>
    <col min="7672" max="7672" width="8.140625" style="467" customWidth="1"/>
    <col min="7673" max="7673" width="12.140625" style="467" customWidth="1"/>
    <col min="7674" max="7674" width="14.42578125" style="467" customWidth="1"/>
    <col min="7675" max="7675" width="13.5703125" style="467" customWidth="1"/>
    <col min="7676" max="7919" width="9.140625" style="467"/>
    <col min="7920" max="7920" width="5.5703125" style="467" customWidth="1"/>
    <col min="7921" max="7921" width="11.5703125" style="467" customWidth="1"/>
    <col min="7922" max="7922" width="35.7109375" style="467" customWidth="1"/>
    <col min="7923" max="7923" width="9.140625" style="467" customWidth="1"/>
    <col min="7924" max="7924" width="11.5703125" style="467" customWidth="1"/>
    <col min="7925" max="7925" width="15.7109375" style="467" customWidth="1"/>
    <col min="7926" max="7926" width="13.42578125" style="467" customWidth="1"/>
    <col min="7927" max="7927" width="19.140625" style="467" customWidth="1"/>
    <col min="7928" max="7928" width="8.140625" style="467" customWidth="1"/>
    <col min="7929" max="7929" width="12.140625" style="467" customWidth="1"/>
    <col min="7930" max="7930" width="14.42578125" style="467" customWidth="1"/>
    <col min="7931" max="7931" width="13.5703125" style="467" customWidth="1"/>
    <col min="7932" max="8175" width="9.140625" style="467"/>
    <col min="8176" max="8176" width="5.5703125" style="467" customWidth="1"/>
    <col min="8177" max="8177" width="11.5703125" style="467" customWidth="1"/>
    <col min="8178" max="8178" width="35.7109375" style="467" customWidth="1"/>
    <col min="8179" max="8179" width="9.140625" style="467" customWidth="1"/>
    <col min="8180" max="8180" width="11.5703125" style="467" customWidth="1"/>
    <col min="8181" max="8181" width="15.7109375" style="467" customWidth="1"/>
    <col min="8182" max="8182" width="13.42578125" style="467" customWidth="1"/>
    <col min="8183" max="8183" width="19.140625" style="467" customWidth="1"/>
    <col min="8184" max="8184" width="8.140625" style="467" customWidth="1"/>
    <col min="8185" max="8185" width="12.140625" style="467" customWidth="1"/>
    <col min="8186" max="8186" width="14.42578125" style="467" customWidth="1"/>
    <col min="8187" max="8187" width="13.5703125" style="467" customWidth="1"/>
    <col min="8188" max="8431" width="9.140625" style="467"/>
    <col min="8432" max="8432" width="5.5703125" style="467" customWidth="1"/>
    <col min="8433" max="8433" width="11.5703125" style="467" customWidth="1"/>
    <col min="8434" max="8434" width="35.7109375" style="467" customWidth="1"/>
    <col min="8435" max="8435" width="9.140625" style="467" customWidth="1"/>
    <col min="8436" max="8436" width="11.5703125" style="467" customWidth="1"/>
    <col min="8437" max="8437" width="15.7109375" style="467" customWidth="1"/>
    <col min="8438" max="8438" width="13.42578125" style="467" customWidth="1"/>
    <col min="8439" max="8439" width="19.140625" style="467" customWidth="1"/>
    <col min="8440" max="8440" width="8.140625" style="467" customWidth="1"/>
    <col min="8441" max="8441" width="12.140625" style="467" customWidth="1"/>
    <col min="8442" max="8442" width="14.42578125" style="467" customWidth="1"/>
    <col min="8443" max="8443" width="13.5703125" style="467" customWidth="1"/>
    <col min="8444" max="8687" width="9.140625" style="467"/>
    <col min="8688" max="8688" width="5.5703125" style="467" customWidth="1"/>
    <col min="8689" max="8689" width="11.5703125" style="467" customWidth="1"/>
    <col min="8690" max="8690" width="35.7109375" style="467" customWidth="1"/>
    <col min="8691" max="8691" width="9.140625" style="467" customWidth="1"/>
    <col min="8692" max="8692" width="11.5703125" style="467" customWidth="1"/>
    <col min="8693" max="8693" width="15.7109375" style="467" customWidth="1"/>
    <col min="8694" max="8694" width="13.42578125" style="467" customWidth="1"/>
    <col min="8695" max="8695" width="19.140625" style="467" customWidth="1"/>
    <col min="8696" max="8696" width="8.140625" style="467" customWidth="1"/>
    <col min="8697" max="8697" width="12.140625" style="467" customWidth="1"/>
    <col min="8698" max="8698" width="14.42578125" style="467" customWidth="1"/>
    <col min="8699" max="8699" width="13.5703125" style="467" customWidth="1"/>
    <col min="8700" max="8943" width="9.140625" style="467"/>
    <col min="8944" max="8944" width="5.5703125" style="467" customWidth="1"/>
    <col min="8945" max="8945" width="11.5703125" style="467" customWidth="1"/>
    <col min="8946" max="8946" width="35.7109375" style="467" customWidth="1"/>
    <col min="8947" max="8947" width="9.140625" style="467" customWidth="1"/>
    <col min="8948" max="8948" width="11.5703125" style="467" customWidth="1"/>
    <col min="8949" max="8949" width="15.7109375" style="467" customWidth="1"/>
    <col min="8950" max="8950" width="13.42578125" style="467" customWidth="1"/>
    <col min="8951" max="8951" width="19.140625" style="467" customWidth="1"/>
    <col min="8952" max="8952" width="8.140625" style="467" customWidth="1"/>
    <col min="8953" max="8953" width="12.140625" style="467" customWidth="1"/>
    <col min="8954" max="8954" width="14.42578125" style="467" customWidth="1"/>
    <col min="8955" max="8955" width="13.5703125" style="467" customWidth="1"/>
    <col min="8956" max="9199" width="9.140625" style="467"/>
    <col min="9200" max="9200" width="5.5703125" style="467" customWidth="1"/>
    <col min="9201" max="9201" width="11.5703125" style="467" customWidth="1"/>
    <col min="9202" max="9202" width="35.7109375" style="467" customWidth="1"/>
    <col min="9203" max="9203" width="9.140625" style="467" customWidth="1"/>
    <col min="9204" max="9204" width="11.5703125" style="467" customWidth="1"/>
    <col min="9205" max="9205" width="15.7109375" style="467" customWidth="1"/>
    <col min="9206" max="9206" width="13.42578125" style="467" customWidth="1"/>
    <col min="9207" max="9207" width="19.140625" style="467" customWidth="1"/>
    <col min="9208" max="9208" width="8.140625" style="467" customWidth="1"/>
    <col min="9209" max="9209" width="12.140625" style="467" customWidth="1"/>
    <col min="9210" max="9210" width="14.42578125" style="467" customWidth="1"/>
    <col min="9211" max="9211" width="13.5703125" style="467" customWidth="1"/>
    <col min="9212" max="9455" width="9.140625" style="467"/>
    <col min="9456" max="9456" width="5.5703125" style="467" customWidth="1"/>
    <col min="9457" max="9457" width="11.5703125" style="467" customWidth="1"/>
    <col min="9458" max="9458" width="35.7109375" style="467" customWidth="1"/>
    <col min="9459" max="9459" width="9.140625" style="467" customWidth="1"/>
    <col min="9460" max="9460" width="11.5703125" style="467" customWidth="1"/>
    <col min="9461" max="9461" width="15.7109375" style="467" customWidth="1"/>
    <col min="9462" max="9462" width="13.42578125" style="467" customWidth="1"/>
    <col min="9463" max="9463" width="19.140625" style="467" customWidth="1"/>
    <col min="9464" max="9464" width="8.140625" style="467" customWidth="1"/>
    <col min="9465" max="9465" width="12.140625" style="467" customWidth="1"/>
    <col min="9466" max="9466" width="14.42578125" style="467" customWidth="1"/>
    <col min="9467" max="9467" width="13.5703125" style="467" customWidth="1"/>
    <col min="9468" max="9711" width="9.140625" style="467"/>
    <col min="9712" max="9712" width="5.5703125" style="467" customWidth="1"/>
    <col min="9713" max="9713" width="11.5703125" style="467" customWidth="1"/>
    <col min="9714" max="9714" width="35.7109375" style="467" customWidth="1"/>
    <col min="9715" max="9715" width="9.140625" style="467" customWidth="1"/>
    <col min="9716" max="9716" width="11.5703125" style="467" customWidth="1"/>
    <col min="9717" max="9717" width="15.7109375" style="467" customWidth="1"/>
    <col min="9718" max="9718" width="13.42578125" style="467" customWidth="1"/>
    <col min="9719" max="9719" width="19.140625" style="467" customWidth="1"/>
    <col min="9720" max="9720" width="8.140625" style="467" customWidth="1"/>
    <col min="9721" max="9721" width="12.140625" style="467" customWidth="1"/>
    <col min="9722" max="9722" width="14.42578125" style="467" customWidth="1"/>
    <col min="9723" max="9723" width="13.5703125" style="467" customWidth="1"/>
    <col min="9724" max="9967" width="9.140625" style="467"/>
    <col min="9968" max="9968" width="5.5703125" style="467" customWidth="1"/>
    <col min="9969" max="9969" width="11.5703125" style="467" customWidth="1"/>
    <col min="9970" max="9970" width="35.7109375" style="467" customWidth="1"/>
    <col min="9971" max="9971" width="9.140625" style="467" customWidth="1"/>
    <col min="9972" max="9972" width="11.5703125" style="467" customWidth="1"/>
    <col min="9973" max="9973" width="15.7109375" style="467" customWidth="1"/>
    <col min="9974" max="9974" width="13.42578125" style="467" customWidth="1"/>
    <col min="9975" max="9975" width="19.140625" style="467" customWidth="1"/>
    <col min="9976" max="9976" width="8.140625" style="467" customWidth="1"/>
    <col min="9977" max="9977" width="12.140625" style="467" customWidth="1"/>
    <col min="9978" max="9978" width="14.42578125" style="467" customWidth="1"/>
    <col min="9979" max="9979" width="13.5703125" style="467" customWidth="1"/>
    <col min="9980" max="10223" width="9.140625" style="467"/>
    <col min="10224" max="10224" width="5.5703125" style="467" customWidth="1"/>
    <col min="10225" max="10225" width="11.5703125" style="467" customWidth="1"/>
    <col min="10226" max="10226" width="35.7109375" style="467" customWidth="1"/>
    <col min="10227" max="10227" width="9.140625" style="467" customWidth="1"/>
    <col min="10228" max="10228" width="11.5703125" style="467" customWidth="1"/>
    <col min="10229" max="10229" width="15.7109375" style="467" customWidth="1"/>
    <col min="10230" max="10230" width="13.42578125" style="467" customWidth="1"/>
    <col min="10231" max="10231" width="19.140625" style="467" customWidth="1"/>
    <col min="10232" max="10232" width="8.140625" style="467" customWidth="1"/>
    <col min="10233" max="10233" width="12.140625" style="467" customWidth="1"/>
    <col min="10234" max="10234" width="14.42578125" style="467" customWidth="1"/>
    <col min="10235" max="10235" width="13.5703125" style="467" customWidth="1"/>
    <col min="10236" max="10479" width="9.140625" style="467"/>
    <col min="10480" max="10480" width="5.5703125" style="467" customWidth="1"/>
    <col min="10481" max="10481" width="11.5703125" style="467" customWidth="1"/>
    <col min="10482" max="10482" width="35.7109375" style="467" customWidth="1"/>
    <col min="10483" max="10483" width="9.140625" style="467" customWidth="1"/>
    <col min="10484" max="10484" width="11.5703125" style="467" customWidth="1"/>
    <col min="10485" max="10485" width="15.7109375" style="467" customWidth="1"/>
    <col min="10486" max="10486" width="13.42578125" style="467" customWidth="1"/>
    <col min="10487" max="10487" width="19.140625" style="467" customWidth="1"/>
    <col min="10488" max="10488" width="8.140625" style="467" customWidth="1"/>
    <col min="10489" max="10489" width="12.140625" style="467" customWidth="1"/>
    <col min="10490" max="10490" width="14.42578125" style="467" customWidth="1"/>
    <col min="10491" max="10491" width="13.5703125" style="467" customWidth="1"/>
    <col min="10492" max="10735" width="9.140625" style="467"/>
    <col min="10736" max="10736" width="5.5703125" style="467" customWidth="1"/>
    <col min="10737" max="10737" width="11.5703125" style="467" customWidth="1"/>
    <col min="10738" max="10738" width="35.7109375" style="467" customWidth="1"/>
    <col min="10739" max="10739" width="9.140625" style="467" customWidth="1"/>
    <col min="10740" max="10740" width="11.5703125" style="467" customWidth="1"/>
    <col min="10741" max="10741" width="15.7109375" style="467" customWidth="1"/>
    <col min="10742" max="10742" width="13.42578125" style="467" customWidth="1"/>
    <col min="10743" max="10743" width="19.140625" style="467" customWidth="1"/>
    <col min="10744" max="10744" width="8.140625" style="467" customWidth="1"/>
    <col min="10745" max="10745" width="12.140625" style="467" customWidth="1"/>
    <col min="10746" max="10746" width="14.42578125" style="467" customWidth="1"/>
    <col min="10747" max="10747" width="13.5703125" style="467" customWidth="1"/>
    <col min="10748" max="10991" width="9.140625" style="467"/>
    <col min="10992" max="10992" width="5.5703125" style="467" customWidth="1"/>
    <col min="10993" max="10993" width="11.5703125" style="467" customWidth="1"/>
    <col min="10994" max="10994" width="35.7109375" style="467" customWidth="1"/>
    <col min="10995" max="10995" width="9.140625" style="467" customWidth="1"/>
    <col min="10996" max="10996" width="11.5703125" style="467" customWidth="1"/>
    <col min="10997" max="10997" width="15.7109375" style="467" customWidth="1"/>
    <col min="10998" max="10998" width="13.42578125" style="467" customWidth="1"/>
    <col min="10999" max="10999" width="19.140625" style="467" customWidth="1"/>
    <col min="11000" max="11000" width="8.140625" style="467" customWidth="1"/>
    <col min="11001" max="11001" width="12.140625" style="467" customWidth="1"/>
    <col min="11002" max="11002" width="14.42578125" style="467" customWidth="1"/>
    <col min="11003" max="11003" width="13.5703125" style="467" customWidth="1"/>
    <col min="11004" max="11247" width="9.140625" style="467"/>
    <col min="11248" max="11248" width="5.5703125" style="467" customWidth="1"/>
    <col min="11249" max="11249" width="11.5703125" style="467" customWidth="1"/>
    <col min="11250" max="11250" width="35.7109375" style="467" customWidth="1"/>
    <col min="11251" max="11251" width="9.140625" style="467" customWidth="1"/>
    <col min="11252" max="11252" width="11.5703125" style="467" customWidth="1"/>
    <col min="11253" max="11253" width="15.7109375" style="467" customWidth="1"/>
    <col min="11254" max="11254" width="13.42578125" style="467" customWidth="1"/>
    <col min="11255" max="11255" width="19.140625" style="467" customWidth="1"/>
    <col min="11256" max="11256" width="8.140625" style="467" customWidth="1"/>
    <col min="11257" max="11257" width="12.140625" style="467" customWidth="1"/>
    <col min="11258" max="11258" width="14.42578125" style="467" customWidth="1"/>
    <col min="11259" max="11259" width="13.5703125" style="467" customWidth="1"/>
    <col min="11260" max="11503" width="9.140625" style="467"/>
    <col min="11504" max="11504" width="5.5703125" style="467" customWidth="1"/>
    <col min="11505" max="11505" width="11.5703125" style="467" customWidth="1"/>
    <col min="11506" max="11506" width="35.7109375" style="467" customWidth="1"/>
    <col min="11507" max="11507" width="9.140625" style="467" customWidth="1"/>
    <col min="11508" max="11508" width="11.5703125" style="467" customWidth="1"/>
    <col min="11509" max="11509" width="15.7109375" style="467" customWidth="1"/>
    <col min="11510" max="11510" width="13.42578125" style="467" customWidth="1"/>
    <col min="11511" max="11511" width="19.140625" style="467" customWidth="1"/>
    <col min="11512" max="11512" width="8.140625" style="467" customWidth="1"/>
    <col min="11513" max="11513" width="12.140625" style="467" customWidth="1"/>
    <col min="11514" max="11514" width="14.42578125" style="467" customWidth="1"/>
    <col min="11515" max="11515" width="13.5703125" style="467" customWidth="1"/>
    <col min="11516" max="11759" width="9.140625" style="467"/>
    <col min="11760" max="11760" width="5.5703125" style="467" customWidth="1"/>
    <col min="11761" max="11761" width="11.5703125" style="467" customWidth="1"/>
    <col min="11762" max="11762" width="35.7109375" style="467" customWidth="1"/>
    <col min="11763" max="11763" width="9.140625" style="467" customWidth="1"/>
    <col min="11764" max="11764" width="11.5703125" style="467" customWidth="1"/>
    <col min="11765" max="11765" width="15.7109375" style="467" customWidth="1"/>
    <col min="11766" max="11766" width="13.42578125" style="467" customWidth="1"/>
    <col min="11767" max="11767" width="19.140625" style="467" customWidth="1"/>
    <col min="11768" max="11768" width="8.140625" style="467" customWidth="1"/>
    <col min="11769" max="11769" width="12.140625" style="467" customWidth="1"/>
    <col min="11770" max="11770" width="14.42578125" style="467" customWidth="1"/>
    <col min="11771" max="11771" width="13.5703125" style="467" customWidth="1"/>
    <col min="11772" max="12015" width="9.140625" style="467"/>
    <col min="12016" max="12016" width="5.5703125" style="467" customWidth="1"/>
    <col min="12017" max="12017" width="11.5703125" style="467" customWidth="1"/>
    <col min="12018" max="12018" width="35.7109375" style="467" customWidth="1"/>
    <col min="12019" max="12019" width="9.140625" style="467" customWidth="1"/>
    <col min="12020" max="12020" width="11.5703125" style="467" customWidth="1"/>
    <col min="12021" max="12021" width="15.7109375" style="467" customWidth="1"/>
    <col min="12022" max="12022" width="13.42578125" style="467" customWidth="1"/>
    <col min="12023" max="12023" width="19.140625" style="467" customWidth="1"/>
    <col min="12024" max="12024" width="8.140625" style="467" customWidth="1"/>
    <col min="12025" max="12025" width="12.140625" style="467" customWidth="1"/>
    <col min="12026" max="12026" width="14.42578125" style="467" customWidth="1"/>
    <col min="12027" max="12027" width="13.5703125" style="467" customWidth="1"/>
    <col min="12028" max="12271" width="9.140625" style="467"/>
    <col min="12272" max="12272" width="5.5703125" style="467" customWidth="1"/>
    <col min="12273" max="12273" width="11.5703125" style="467" customWidth="1"/>
    <col min="12274" max="12274" width="35.7109375" style="467" customWidth="1"/>
    <col min="12275" max="12275" width="9.140625" style="467" customWidth="1"/>
    <col min="12276" max="12276" width="11.5703125" style="467" customWidth="1"/>
    <col min="12277" max="12277" width="15.7109375" style="467" customWidth="1"/>
    <col min="12278" max="12278" width="13.42578125" style="467" customWidth="1"/>
    <col min="12279" max="12279" width="19.140625" style="467" customWidth="1"/>
    <col min="12280" max="12280" width="8.140625" style="467" customWidth="1"/>
    <col min="12281" max="12281" width="12.140625" style="467" customWidth="1"/>
    <col min="12282" max="12282" width="14.42578125" style="467" customWidth="1"/>
    <col min="12283" max="12283" width="13.5703125" style="467" customWidth="1"/>
    <col min="12284" max="12527" width="9.140625" style="467"/>
    <col min="12528" max="12528" width="5.5703125" style="467" customWidth="1"/>
    <col min="12529" max="12529" width="11.5703125" style="467" customWidth="1"/>
    <col min="12530" max="12530" width="35.7109375" style="467" customWidth="1"/>
    <col min="12531" max="12531" width="9.140625" style="467" customWidth="1"/>
    <col min="12532" max="12532" width="11.5703125" style="467" customWidth="1"/>
    <col min="12533" max="12533" width="15.7109375" style="467" customWidth="1"/>
    <col min="12534" max="12534" width="13.42578125" style="467" customWidth="1"/>
    <col min="12535" max="12535" width="19.140625" style="467" customWidth="1"/>
    <col min="12536" max="12536" width="8.140625" style="467" customWidth="1"/>
    <col min="12537" max="12537" width="12.140625" style="467" customWidth="1"/>
    <col min="12538" max="12538" width="14.42578125" style="467" customWidth="1"/>
    <col min="12539" max="12539" width="13.5703125" style="467" customWidth="1"/>
    <col min="12540" max="12783" width="9.140625" style="467"/>
    <col min="12784" max="12784" width="5.5703125" style="467" customWidth="1"/>
    <col min="12785" max="12785" width="11.5703125" style="467" customWidth="1"/>
    <col min="12786" max="12786" width="35.7109375" style="467" customWidth="1"/>
    <col min="12787" max="12787" width="9.140625" style="467" customWidth="1"/>
    <col min="12788" max="12788" width="11.5703125" style="467" customWidth="1"/>
    <col min="12789" max="12789" width="15.7109375" style="467" customWidth="1"/>
    <col min="12790" max="12790" width="13.42578125" style="467" customWidth="1"/>
    <col min="12791" max="12791" width="19.140625" style="467" customWidth="1"/>
    <col min="12792" max="12792" width="8.140625" style="467" customWidth="1"/>
    <col min="12793" max="12793" width="12.140625" style="467" customWidth="1"/>
    <col min="12794" max="12794" width="14.42578125" style="467" customWidth="1"/>
    <col min="12795" max="12795" width="13.5703125" style="467" customWidth="1"/>
    <col min="12796" max="13039" width="9.140625" style="467"/>
    <col min="13040" max="13040" width="5.5703125" style="467" customWidth="1"/>
    <col min="13041" max="13041" width="11.5703125" style="467" customWidth="1"/>
    <col min="13042" max="13042" width="35.7109375" style="467" customWidth="1"/>
    <col min="13043" max="13043" width="9.140625" style="467" customWidth="1"/>
    <col min="13044" max="13044" width="11.5703125" style="467" customWidth="1"/>
    <col min="13045" max="13045" width="15.7109375" style="467" customWidth="1"/>
    <col min="13046" max="13046" width="13.42578125" style="467" customWidth="1"/>
    <col min="13047" max="13047" width="19.140625" style="467" customWidth="1"/>
    <col min="13048" max="13048" width="8.140625" style="467" customWidth="1"/>
    <col min="13049" max="13049" width="12.140625" style="467" customWidth="1"/>
    <col min="13050" max="13050" width="14.42578125" style="467" customWidth="1"/>
    <col min="13051" max="13051" width="13.5703125" style="467" customWidth="1"/>
    <col min="13052" max="13295" width="9.140625" style="467"/>
    <col min="13296" max="13296" width="5.5703125" style="467" customWidth="1"/>
    <col min="13297" max="13297" width="11.5703125" style="467" customWidth="1"/>
    <col min="13298" max="13298" width="35.7109375" style="467" customWidth="1"/>
    <col min="13299" max="13299" width="9.140625" style="467" customWidth="1"/>
    <col min="13300" max="13300" width="11.5703125" style="467" customWidth="1"/>
    <col min="13301" max="13301" width="15.7109375" style="467" customWidth="1"/>
    <col min="13302" max="13302" width="13.42578125" style="467" customWidth="1"/>
    <col min="13303" max="13303" width="19.140625" style="467" customWidth="1"/>
    <col min="13304" max="13304" width="8.140625" style="467" customWidth="1"/>
    <col min="13305" max="13305" width="12.140625" style="467" customWidth="1"/>
    <col min="13306" max="13306" width="14.42578125" style="467" customWidth="1"/>
    <col min="13307" max="13307" width="13.5703125" style="467" customWidth="1"/>
    <col min="13308" max="13551" width="9.140625" style="467"/>
    <col min="13552" max="13552" width="5.5703125" style="467" customWidth="1"/>
    <col min="13553" max="13553" width="11.5703125" style="467" customWidth="1"/>
    <col min="13554" max="13554" width="35.7109375" style="467" customWidth="1"/>
    <col min="13555" max="13555" width="9.140625" style="467" customWidth="1"/>
    <col min="13556" max="13556" width="11.5703125" style="467" customWidth="1"/>
    <col min="13557" max="13557" width="15.7109375" style="467" customWidth="1"/>
    <col min="13558" max="13558" width="13.42578125" style="467" customWidth="1"/>
    <col min="13559" max="13559" width="19.140625" style="467" customWidth="1"/>
    <col min="13560" max="13560" width="8.140625" style="467" customWidth="1"/>
    <col min="13561" max="13561" width="12.140625" style="467" customWidth="1"/>
    <col min="13562" max="13562" width="14.42578125" style="467" customWidth="1"/>
    <col min="13563" max="13563" width="13.5703125" style="467" customWidth="1"/>
    <col min="13564" max="13807" width="9.140625" style="467"/>
    <col min="13808" max="13808" width="5.5703125" style="467" customWidth="1"/>
    <col min="13809" max="13809" width="11.5703125" style="467" customWidth="1"/>
    <col min="13810" max="13810" width="35.7109375" style="467" customWidth="1"/>
    <col min="13811" max="13811" width="9.140625" style="467" customWidth="1"/>
    <col min="13812" max="13812" width="11.5703125" style="467" customWidth="1"/>
    <col min="13813" max="13813" width="15.7109375" style="467" customWidth="1"/>
    <col min="13814" max="13814" width="13.42578125" style="467" customWidth="1"/>
    <col min="13815" max="13815" width="19.140625" style="467" customWidth="1"/>
    <col min="13816" max="13816" width="8.140625" style="467" customWidth="1"/>
    <col min="13817" max="13817" width="12.140625" style="467" customWidth="1"/>
    <col min="13818" max="13818" width="14.42578125" style="467" customWidth="1"/>
    <col min="13819" max="13819" width="13.5703125" style="467" customWidth="1"/>
    <col min="13820" max="14063" width="9.140625" style="467"/>
    <col min="14064" max="14064" width="5.5703125" style="467" customWidth="1"/>
    <col min="14065" max="14065" width="11.5703125" style="467" customWidth="1"/>
    <col min="14066" max="14066" width="35.7109375" style="467" customWidth="1"/>
    <col min="14067" max="14067" width="9.140625" style="467" customWidth="1"/>
    <col min="14068" max="14068" width="11.5703125" style="467" customWidth="1"/>
    <col min="14069" max="14069" width="15.7109375" style="467" customWidth="1"/>
    <col min="14070" max="14070" width="13.42578125" style="467" customWidth="1"/>
    <col min="14071" max="14071" width="19.140625" style="467" customWidth="1"/>
    <col min="14072" max="14072" width="8.140625" style="467" customWidth="1"/>
    <col min="14073" max="14073" width="12.140625" style="467" customWidth="1"/>
    <col min="14074" max="14074" width="14.42578125" style="467" customWidth="1"/>
    <col min="14075" max="14075" width="13.5703125" style="467" customWidth="1"/>
    <col min="14076" max="14319" width="9.140625" style="467"/>
    <col min="14320" max="14320" width="5.5703125" style="467" customWidth="1"/>
    <col min="14321" max="14321" width="11.5703125" style="467" customWidth="1"/>
    <col min="14322" max="14322" width="35.7109375" style="467" customWidth="1"/>
    <col min="14323" max="14323" width="9.140625" style="467" customWidth="1"/>
    <col min="14324" max="14324" width="11.5703125" style="467" customWidth="1"/>
    <col min="14325" max="14325" width="15.7109375" style="467" customWidth="1"/>
    <col min="14326" max="14326" width="13.42578125" style="467" customWidth="1"/>
    <col min="14327" max="14327" width="19.140625" style="467" customWidth="1"/>
    <col min="14328" max="14328" width="8.140625" style="467" customWidth="1"/>
    <col min="14329" max="14329" width="12.140625" style="467" customWidth="1"/>
    <col min="14330" max="14330" width="14.42578125" style="467" customWidth="1"/>
    <col min="14331" max="14331" width="13.5703125" style="467" customWidth="1"/>
    <col min="14332" max="14575" width="9.140625" style="467"/>
    <col min="14576" max="14576" width="5.5703125" style="467" customWidth="1"/>
    <col min="14577" max="14577" width="11.5703125" style="467" customWidth="1"/>
    <col min="14578" max="14578" width="35.7109375" style="467" customWidth="1"/>
    <col min="14579" max="14579" width="9.140625" style="467" customWidth="1"/>
    <col min="14580" max="14580" width="11.5703125" style="467" customWidth="1"/>
    <col min="14581" max="14581" width="15.7109375" style="467" customWidth="1"/>
    <col min="14582" max="14582" width="13.42578125" style="467" customWidth="1"/>
    <col min="14583" max="14583" width="19.140625" style="467" customWidth="1"/>
    <col min="14584" max="14584" width="8.140625" style="467" customWidth="1"/>
    <col min="14585" max="14585" width="12.140625" style="467" customWidth="1"/>
    <col min="14586" max="14586" width="14.42578125" style="467" customWidth="1"/>
    <col min="14587" max="14587" width="13.5703125" style="467" customWidth="1"/>
    <col min="14588" max="14831" width="9.140625" style="467"/>
    <col min="14832" max="14832" width="5.5703125" style="467" customWidth="1"/>
    <col min="14833" max="14833" width="11.5703125" style="467" customWidth="1"/>
    <col min="14834" max="14834" width="35.7109375" style="467" customWidth="1"/>
    <col min="14835" max="14835" width="9.140625" style="467" customWidth="1"/>
    <col min="14836" max="14836" width="11.5703125" style="467" customWidth="1"/>
    <col min="14837" max="14837" width="15.7109375" style="467" customWidth="1"/>
    <col min="14838" max="14838" width="13.42578125" style="467" customWidth="1"/>
    <col min="14839" max="14839" width="19.140625" style="467" customWidth="1"/>
    <col min="14840" max="14840" width="8.140625" style="467" customWidth="1"/>
    <col min="14841" max="14841" width="12.140625" style="467" customWidth="1"/>
    <col min="14842" max="14842" width="14.42578125" style="467" customWidth="1"/>
    <col min="14843" max="14843" width="13.5703125" style="467" customWidth="1"/>
    <col min="14844" max="15087" width="9.140625" style="467"/>
    <col min="15088" max="15088" width="5.5703125" style="467" customWidth="1"/>
    <col min="15089" max="15089" width="11.5703125" style="467" customWidth="1"/>
    <col min="15090" max="15090" width="35.7109375" style="467" customWidth="1"/>
    <col min="15091" max="15091" width="9.140625" style="467" customWidth="1"/>
    <col min="15092" max="15092" width="11.5703125" style="467" customWidth="1"/>
    <col min="15093" max="15093" width="15.7109375" style="467" customWidth="1"/>
    <col min="15094" max="15094" width="13.42578125" style="467" customWidth="1"/>
    <col min="15095" max="15095" width="19.140625" style="467" customWidth="1"/>
    <col min="15096" max="15096" width="8.140625" style="467" customWidth="1"/>
    <col min="15097" max="15097" width="12.140625" style="467" customWidth="1"/>
    <col min="15098" max="15098" width="14.42578125" style="467" customWidth="1"/>
    <col min="15099" max="15099" width="13.5703125" style="467" customWidth="1"/>
    <col min="15100" max="15343" width="9.140625" style="467"/>
    <col min="15344" max="15344" width="5.5703125" style="467" customWidth="1"/>
    <col min="15345" max="15345" width="11.5703125" style="467" customWidth="1"/>
    <col min="15346" max="15346" width="35.7109375" style="467" customWidth="1"/>
    <col min="15347" max="15347" width="9.140625" style="467" customWidth="1"/>
    <col min="15348" max="15348" width="11.5703125" style="467" customWidth="1"/>
    <col min="15349" max="15349" width="15.7109375" style="467" customWidth="1"/>
    <col min="15350" max="15350" width="13.42578125" style="467" customWidth="1"/>
    <col min="15351" max="15351" width="19.140625" style="467" customWidth="1"/>
    <col min="15352" max="15352" width="8.140625" style="467" customWidth="1"/>
    <col min="15353" max="15353" width="12.140625" style="467" customWidth="1"/>
    <col min="15354" max="15354" width="14.42578125" style="467" customWidth="1"/>
    <col min="15355" max="15355" width="13.5703125" style="467" customWidth="1"/>
    <col min="15356" max="15599" width="9.140625" style="467"/>
    <col min="15600" max="15600" width="5.5703125" style="467" customWidth="1"/>
    <col min="15601" max="15601" width="11.5703125" style="467" customWidth="1"/>
    <col min="15602" max="15602" width="35.7109375" style="467" customWidth="1"/>
    <col min="15603" max="15603" width="9.140625" style="467" customWidth="1"/>
    <col min="15604" max="15604" width="11.5703125" style="467" customWidth="1"/>
    <col min="15605" max="15605" width="15.7109375" style="467" customWidth="1"/>
    <col min="15606" max="15606" width="13.42578125" style="467" customWidth="1"/>
    <col min="15607" max="15607" width="19.140625" style="467" customWidth="1"/>
    <col min="15608" max="15608" width="8.140625" style="467" customWidth="1"/>
    <col min="15609" max="15609" width="12.140625" style="467" customWidth="1"/>
    <col min="15610" max="15610" width="14.42578125" style="467" customWidth="1"/>
    <col min="15611" max="15611" width="13.5703125" style="467" customWidth="1"/>
    <col min="15612" max="15855" width="9.140625" style="467"/>
    <col min="15856" max="15856" width="5.5703125" style="467" customWidth="1"/>
    <col min="15857" max="15857" width="11.5703125" style="467" customWidth="1"/>
    <col min="15858" max="15858" width="35.7109375" style="467" customWidth="1"/>
    <col min="15859" max="15859" width="9.140625" style="467" customWidth="1"/>
    <col min="15860" max="15860" width="11.5703125" style="467" customWidth="1"/>
    <col min="15861" max="15861" width="15.7109375" style="467" customWidth="1"/>
    <col min="15862" max="15862" width="13.42578125" style="467" customWidth="1"/>
    <col min="15863" max="15863" width="19.140625" style="467" customWidth="1"/>
    <col min="15864" max="15864" width="8.140625" style="467" customWidth="1"/>
    <col min="15865" max="15865" width="12.140625" style="467" customWidth="1"/>
    <col min="15866" max="15866" width="14.42578125" style="467" customWidth="1"/>
    <col min="15867" max="15867" width="13.5703125" style="467" customWidth="1"/>
    <col min="15868" max="16111" width="9.140625" style="467"/>
    <col min="16112" max="16112" width="5.5703125" style="467" customWidth="1"/>
    <col min="16113" max="16113" width="11.5703125" style="467" customWidth="1"/>
    <col min="16114" max="16114" width="35.7109375" style="467" customWidth="1"/>
    <col min="16115" max="16115" width="9.140625" style="467" customWidth="1"/>
    <col min="16116" max="16116" width="11.5703125" style="467" customWidth="1"/>
    <col min="16117" max="16117" width="15.7109375" style="467" customWidth="1"/>
    <col min="16118" max="16118" width="13.42578125" style="467" customWidth="1"/>
    <col min="16119" max="16119" width="19.140625" style="467" customWidth="1"/>
    <col min="16120" max="16120" width="8.140625" style="467" customWidth="1"/>
    <col min="16121" max="16121" width="12.140625" style="467" customWidth="1"/>
    <col min="16122" max="16122" width="14.42578125" style="467" customWidth="1"/>
    <col min="16123" max="16123" width="13.5703125" style="467" customWidth="1"/>
    <col min="16124" max="16384" width="9.140625" style="467"/>
  </cols>
  <sheetData>
    <row r="1" spans="1:14" x14ac:dyDescent="0.2">
      <c r="L1" s="985" t="s">
        <v>822</v>
      </c>
    </row>
    <row r="2" spans="1:14" x14ac:dyDescent="0.2">
      <c r="L2" s="985" t="s">
        <v>823</v>
      </c>
    </row>
    <row r="3" spans="1:14" x14ac:dyDescent="0.2">
      <c r="L3" s="985" t="s">
        <v>824</v>
      </c>
    </row>
    <row r="4" spans="1:14" x14ac:dyDescent="0.2">
      <c r="L4" s="985" t="s">
        <v>825</v>
      </c>
    </row>
    <row r="6" spans="1:14" ht="20.25" customHeight="1" x14ac:dyDescent="0.2">
      <c r="A6" s="1022" t="s">
        <v>546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</row>
    <row r="7" spans="1:14" ht="20.25" customHeight="1" x14ac:dyDescent="0.2">
      <c r="A7" s="1019" t="s">
        <v>547</v>
      </c>
      <c r="B7" s="1020" t="s">
        <v>1</v>
      </c>
      <c r="C7" s="1020" t="s">
        <v>548</v>
      </c>
      <c r="D7" s="1021" t="s">
        <v>549</v>
      </c>
      <c r="E7" s="1018" t="s">
        <v>795</v>
      </c>
      <c r="F7" s="1023" t="s">
        <v>4</v>
      </c>
      <c r="G7" s="1024"/>
      <c r="H7" s="1024"/>
      <c r="I7" s="1018" t="s">
        <v>550</v>
      </c>
      <c r="J7" s="478" t="s">
        <v>4</v>
      </c>
      <c r="K7" s="1018" t="s">
        <v>796</v>
      </c>
      <c r="L7" s="1015" t="s">
        <v>551</v>
      </c>
      <c r="M7" s="1018" t="s">
        <v>467</v>
      </c>
    </row>
    <row r="8" spans="1:14" ht="36" customHeight="1" x14ac:dyDescent="0.2">
      <c r="A8" s="1019"/>
      <c r="B8" s="1020"/>
      <c r="C8" s="1020"/>
      <c r="D8" s="1021"/>
      <c r="E8" s="1018"/>
      <c r="F8" s="1018" t="s">
        <v>552</v>
      </c>
      <c r="G8" s="1015" t="s">
        <v>553</v>
      </c>
      <c r="H8" s="1025" t="s">
        <v>814</v>
      </c>
      <c r="I8" s="1018"/>
      <c r="J8" s="1018" t="s">
        <v>554</v>
      </c>
      <c r="K8" s="1018"/>
      <c r="L8" s="1016"/>
      <c r="M8" s="1018"/>
    </row>
    <row r="9" spans="1:14" ht="27" customHeight="1" x14ac:dyDescent="0.2">
      <c r="A9" s="1019"/>
      <c r="B9" s="1020"/>
      <c r="C9" s="1020"/>
      <c r="D9" s="1021"/>
      <c r="E9" s="1018"/>
      <c r="F9" s="1018"/>
      <c r="G9" s="1017"/>
      <c r="H9" s="1025"/>
      <c r="I9" s="1018"/>
      <c r="J9" s="1018"/>
      <c r="K9" s="1018"/>
      <c r="L9" s="1017"/>
      <c r="M9" s="1018"/>
    </row>
    <row r="10" spans="1:14" x14ac:dyDescent="0.2">
      <c r="A10" s="464">
        <v>1</v>
      </c>
      <c r="B10" s="145" t="s">
        <v>44</v>
      </c>
      <c r="C10" s="465" t="s">
        <v>45</v>
      </c>
      <c r="D10" s="466" t="s">
        <v>555</v>
      </c>
      <c r="E10" s="463">
        <v>3057</v>
      </c>
      <c r="F10" s="463">
        <v>0</v>
      </c>
      <c r="G10" s="463">
        <v>0</v>
      </c>
      <c r="H10" s="463">
        <v>3057</v>
      </c>
      <c r="I10" s="466"/>
      <c r="J10" s="466"/>
      <c r="K10" s="463">
        <v>3057</v>
      </c>
      <c r="L10" s="463">
        <v>0</v>
      </c>
      <c r="M10" s="463">
        <f>K10+L10</f>
        <v>3057</v>
      </c>
      <c r="N10" s="493"/>
    </row>
    <row r="11" spans="1:14" ht="11.25" customHeight="1" x14ac:dyDescent="0.2">
      <c r="A11" s="464">
        <v>2</v>
      </c>
      <c r="B11" s="67" t="s">
        <v>187</v>
      </c>
      <c r="C11" s="465" t="s">
        <v>188</v>
      </c>
      <c r="D11" s="466" t="s">
        <v>555</v>
      </c>
      <c r="E11" s="463">
        <v>1859</v>
      </c>
      <c r="F11" s="463">
        <v>0</v>
      </c>
      <c r="G11" s="463">
        <v>0</v>
      </c>
      <c r="H11" s="463">
        <v>1859</v>
      </c>
      <c r="I11" s="466"/>
      <c r="J11" s="466"/>
      <c r="K11" s="463">
        <v>1859</v>
      </c>
      <c r="L11" s="463">
        <v>0</v>
      </c>
      <c r="M11" s="463">
        <f t="shared" ref="M11:M74" si="0">K11+L11</f>
        <v>1859</v>
      </c>
    </row>
    <row r="12" spans="1:14" x14ac:dyDescent="0.2">
      <c r="A12" s="464">
        <v>3</v>
      </c>
      <c r="B12" s="145" t="s">
        <v>46</v>
      </c>
      <c r="C12" s="465" t="s">
        <v>47</v>
      </c>
      <c r="D12" s="466" t="s">
        <v>555</v>
      </c>
      <c r="E12" s="463">
        <v>3983</v>
      </c>
      <c r="F12" s="463">
        <v>0</v>
      </c>
      <c r="G12" s="463">
        <v>0</v>
      </c>
      <c r="H12" s="463">
        <v>3983</v>
      </c>
      <c r="I12" s="466"/>
      <c r="J12" s="466"/>
      <c r="K12" s="463">
        <v>3983</v>
      </c>
      <c r="L12" s="463">
        <v>0</v>
      </c>
      <c r="M12" s="463">
        <f t="shared" si="0"/>
        <v>3983</v>
      </c>
    </row>
    <row r="13" spans="1:14" x14ac:dyDescent="0.2">
      <c r="A13" s="464">
        <v>4</v>
      </c>
      <c r="B13" s="68" t="s">
        <v>16</v>
      </c>
      <c r="C13" s="465" t="s">
        <v>17</v>
      </c>
      <c r="D13" s="466" t="s">
        <v>555</v>
      </c>
      <c r="E13" s="463">
        <v>2183</v>
      </c>
      <c r="F13" s="463">
        <v>0</v>
      </c>
      <c r="G13" s="463">
        <v>0</v>
      </c>
      <c r="H13" s="463">
        <v>2183</v>
      </c>
      <c r="I13" s="466"/>
      <c r="J13" s="466"/>
      <c r="K13" s="463">
        <v>2183</v>
      </c>
      <c r="L13" s="463">
        <v>0</v>
      </c>
      <c r="M13" s="463">
        <f t="shared" si="0"/>
        <v>2183</v>
      </c>
    </row>
    <row r="14" spans="1:14" x14ac:dyDescent="0.2">
      <c r="A14" s="464">
        <v>5</v>
      </c>
      <c r="B14" s="145" t="s">
        <v>48</v>
      </c>
      <c r="C14" s="465" t="s">
        <v>49</v>
      </c>
      <c r="D14" s="466" t="s">
        <v>555</v>
      </c>
      <c r="E14" s="463">
        <v>6424</v>
      </c>
      <c r="F14" s="463">
        <v>0</v>
      </c>
      <c r="G14" s="463">
        <v>0</v>
      </c>
      <c r="H14" s="463">
        <v>6424</v>
      </c>
      <c r="I14" s="466"/>
      <c r="J14" s="466"/>
      <c r="K14" s="463">
        <v>6424</v>
      </c>
      <c r="L14" s="463">
        <v>0</v>
      </c>
      <c r="M14" s="463">
        <f t="shared" si="0"/>
        <v>6424</v>
      </c>
    </row>
    <row r="15" spans="1:14" x14ac:dyDescent="0.2">
      <c r="A15" s="464">
        <v>6</v>
      </c>
      <c r="B15" s="68" t="s">
        <v>101</v>
      </c>
      <c r="C15" s="465" t="s">
        <v>102</v>
      </c>
      <c r="D15" s="466" t="s">
        <v>555</v>
      </c>
      <c r="E15" s="463">
        <v>2915</v>
      </c>
      <c r="F15" s="463">
        <v>1</v>
      </c>
      <c r="G15" s="463">
        <v>0</v>
      </c>
      <c r="H15" s="463">
        <v>2914</v>
      </c>
      <c r="I15" s="466"/>
      <c r="J15" s="466"/>
      <c r="K15" s="463">
        <v>2915</v>
      </c>
      <c r="L15" s="463">
        <v>0</v>
      </c>
      <c r="M15" s="463">
        <f t="shared" si="0"/>
        <v>2915</v>
      </c>
    </row>
    <row r="16" spans="1:14" x14ac:dyDescent="0.2">
      <c r="A16" s="464">
        <v>7</v>
      </c>
      <c r="B16" s="67" t="s">
        <v>18</v>
      </c>
      <c r="C16" s="465" t="s">
        <v>19</v>
      </c>
      <c r="D16" s="466" t="s">
        <v>555</v>
      </c>
      <c r="E16" s="463">
        <v>1780</v>
      </c>
      <c r="F16" s="463">
        <v>0</v>
      </c>
      <c r="G16" s="463">
        <v>0</v>
      </c>
      <c r="H16" s="463">
        <v>1780</v>
      </c>
      <c r="I16" s="466"/>
      <c r="J16" s="466"/>
      <c r="K16" s="463">
        <v>1780</v>
      </c>
      <c r="L16" s="463">
        <v>0</v>
      </c>
      <c r="M16" s="463">
        <f t="shared" si="0"/>
        <v>1780</v>
      </c>
    </row>
    <row r="17" spans="1:13" x14ac:dyDescent="0.2">
      <c r="A17" s="464">
        <v>8</v>
      </c>
      <c r="B17" s="145" t="s">
        <v>189</v>
      </c>
      <c r="C17" s="465" t="s">
        <v>190</v>
      </c>
      <c r="D17" s="466" t="s">
        <v>555</v>
      </c>
      <c r="E17" s="463">
        <v>2100</v>
      </c>
      <c r="F17" s="463">
        <v>0</v>
      </c>
      <c r="G17" s="463">
        <v>0</v>
      </c>
      <c r="H17" s="463">
        <v>2100</v>
      </c>
      <c r="I17" s="466"/>
      <c r="J17" s="466"/>
      <c r="K17" s="463">
        <v>2100</v>
      </c>
      <c r="L17" s="463">
        <v>0</v>
      </c>
      <c r="M17" s="463">
        <f t="shared" si="0"/>
        <v>2100</v>
      </c>
    </row>
    <row r="18" spans="1:13" ht="12" customHeight="1" x14ac:dyDescent="0.2">
      <c r="A18" s="464">
        <v>9</v>
      </c>
      <c r="B18" s="479" t="s">
        <v>105</v>
      </c>
      <c r="C18" s="465" t="s">
        <v>106</v>
      </c>
      <c r="D18" s="466" t="s">
        <v>555</v>
      </c>
      <c r="E18" s="463">
        <v>2256</v>
      </c>
      <c r="F18" s="463">
        <v>1</v>
      </c>
      <c r="G18" s="463">
        <v>0</v>
      </c>
      <c r="H18" s="463">
        <v>2255</v>
      </c>
      <c r="I18" s="466"/>
      <c r="J18" s="466"/>
      <c r="K18" s="463">
        <v>2256</v>
      </c>
      <c r="L18" s="463">
        <v>0</v>
      </c>
      <c r="M18" s="463">
        <f t="shared" si="0"/>
        <v>2256</v>
      </c>
    </row>
    <row r="19" spans="1:13" x14ac:dyDescent="0.2">
      <c r="A19" s="464">
        <v>10</v>
      </c>
      <c r="B19" s="145" t="s">
        <v>191</v>
      </c>
      <c r="C19" s="465" t="s">
        <v>192</v>
      </c>
      <c r="D19" s="466" t="s">
        <v>555</v>
      </c>
      <c r="E19" s="463">
        <v>5032</v>
      </c>
      <c r="F19" s="463">
        <v>0</v>
      </c>
      <c r="G19" s="463">
        <v>0</v>
      </c>
      <c r="H19" s="463">
        <v>5032</v>
      </c>
      <c r="I19" s="466"/>
      <c r="J19" s="466"/>
      <c r="K19" s="463">
        <v>5032</v>
      </c>
      <c r="L19" s="463">
        <v>0</v>
      </c>
      <c r="M19" s="463">
        <f t="shared" si="0"/>
        <v>5032</v>
      </c>
    </row>
    <row r="20" spans="1:13" x14ac:dyDescent="0.2">
      <c r="A20" s="464">
        <v>11</v>
      </c>
      <c r="B20" s="67" t="s">
        <v>193</v>
      </c>
      <c r="C20" s="465" t="s">
        <v>194</v>
      </c>
      <c r="D20" s="466" t="s">
        <v>555</v>
      </c>
      <c r="E20" s="463">
        <v>2491</v>
      </c>
      <c r="F20" s="463">
        <v>0</v>
      </c>
      <c r="G20" s="463">
        <v>0</v>
      </c>
      <c r="H20" s="463">
        <v>2491</v>
      </c>
      <c r="I20" s="466"/>
      <c r="J20" s="466"/>
      <c r="K20" s="463">
        <v>2491</v>
      </c>
      <c r="L20" s="463">
        <v>0</v>
      </c>
      <c r="M20" s="463">
        <f t="shared" si="0"/>
        <v>2491</v>
      </c>
    </row>
    <row r="21" spans="1:13" x14ac:dyDescent="0.2">
      <c r="A21" s="464">
        <v>12</v>
      </c>
      <c r="B21" s="67" t="s">
        <v>195</v>
      </c>
      <c r="C21" s="465" t="s">
        <v>196</v>
      </c>
      <c r="D21" s="466" t="s">
        <v>555</v>
      </c>
      <c r="E21" s="463">
        <v>3406</v>
      </c>
      <c r="F21" s="463">
        <v>0</v>
      </c>
      <c r="G21" s="463">
        <v>0</v>
      </c>
      <c r="H21" s="463">
        <v>3406</v>
      </c>
      <c r="I21" s="466"/>
      <c r="J21" s="466"/>
      <c r="K21" s="463">
        <v>3406</v>
      </c>
      <c r="L21" s="463">
        <v>0</v>
      </c>
      <c r="M21" s="463">
        <f t="shared" si="0"/>
        <v>3406</v>
      </c>
    </row>
    <row r="22" spans="1:13" x14ac:dyDescent="0.2">
      <c r="A22" s="464">
        <v>13</v>
      </c>
      <c r="B22" s="68" t="s">
        <v>22</v>
      </c>
      <c r="C22" s="465" t="s">
        <v>23</v>
      </c>
      <c r="D22" s="466" t="s">
        <v>555</v>
      </c>
      <c r="E22" s="463">
        <v>1969</v>
      </c>
      <c r="F22" s="463">
        <v>0</v>
      </c>
      <c r="G22" s="463">
        <v>0</v>
      </c>
      <c r="H22" s="463">
        <v>1969</v>
      </c>
      <c r="I22" s="466"/>
      <c r="J22" s="466"/>
      <c r="K22" s="463">
        <v>1969</v>
      </c>
      <c r="L22" s="463">
        <v>0</v>
      </c>
      <c r="M22" s="463">
        <f t="shared" si="0"/>
        <v>1969</v>
      </c>
    </row>
    <row r="23" spans="1:13" x14ac:dyDescent="0.2">
      <c r="A23" s="464">
        <v>14</v>
      </c>
      <c r="B23" s="68" t="s">
        <v>52</v>
      </c>
      <c r="C23" s="465" t="s">
        <v>53</v>
      </c>
      <c r="D23" s="466" t="s">
        <v>555</v>
      </c>
      <c r="E23" s="463">
        <v>1651</v>
      </c>
      <c r="F23" s="463">
        <v>0</v>
      </c>
      <c r="G23" s="463">
        <v>0</v>
      </c>
      <c r="H23" s="463">
        <v>1651</v>
      </c>
      <c r="I23" s="466"/>
      <c r="J23" s="466"/>
      <c r="K23" s="463">
        <v>1651</v>
      </c>
      <c r="L23" s="463">
        <v>0</v>
      </c>
      <c r="M23" s="463">
        <f t="shared" si="0"/>
        <v>1651</v>
      </c>
    </row>
    <row r="24" spans="1:13" x14ac:dyDescent="0.2">
      <c r="A24" s="464">
        <v>15</v>
      </c>
      <c r="B24" s="68" t="s">
        <v>24</v>
      </c>
      <c r="C24" s="465" t="s">
        <v>25</v>
      </c>
      <c r="D24" s="466" t="s">
        <v>555</v>
      </c>
      <c r="E24" s="463">
        <v>2372</v>
      </c>
      <c r="F24" s="463">
        <v>0</v>
      </c>
      <c r="G24" s="463">
        <v>0</v>
      </c>
      <c r="H24" s="463">
        <v>2372</v>
      </c>
      <c r="I24" s="466"/>
      <c r="J24" s="466"/>
      <c r="K24" s="463">
        <v>2372</v>
      </c>
      <c r="L24" s="463">
        <v>0</v>
      </c>
      <c r="M24" s="463">
        <f t="shared" si="0"/>
        <v>2372</v>
      </c>
    </row>
    <row r="25" spans="1:13" x14ac:dyDescent="0.2">
      <c r="A25" s="464">
        <v>16</v>
      </c>
      <c r="B25" s="145" t="s">
        <v>107</v>
      </c>
      <c r="C25" s="465" t="s">
        <v>108</v>
      </c>
      <c r="D25" s="466" t="s">
        <v>555</v>
      </c>
      <c r="E25" s="463">
        <v>3369</v>
      </c>
      <c r="F25" s="463">
        <v>4</v>
      </c>
      <c r="G25" s="463">
        <v>0</v>
      </c>
      <c r="H25" s="463">
        <v>3365</v>
      </c>
      <c r="I25" s="466"/>
      <c r="J25" s="466"/>
      <c r="K25" s="463">
        <v>3369</v>
      </c>
      <c r="L25" s="463">
        <v>0</v>
      </c>
      <c r="M25" s="463">
        <f t="shared" si="0"/>
        <v>3369</v>
      </c>
    </row>
    <row r="26" spans="1:13" x14ac:dyDescent="0.2">
      <c r="A26" s="464">
        <v>17</v>
      </c>
      <c r="B26" s="67" t="s">
        <v>109</v>
      </c>
      <c r="C26" s="465" t="s">
        <v>110</v>
      </c>
      <c r="D26" s="466" t="s">
        <v>555</v>
      </c>
      <c r="E26" s="463">
        <v>4143</v>
      </c>
      <c r="F26" s="463">
        <v>0</v>
      </c>
      <c r="G26" s="463">
        <v>0</v>
      </c>
      <c r="H26" s="463">
        <v>4143</v>
      </c>
      <c r="I26" s="466"/>
      <c r="J26" s="466"/>
      <c r="K26" s="463">
        <v>4143</v>
      </c>
      <c r="L26" s="463">
        <v>0</v>
      </c>
      <c r="M26" s="463">
        <f t="shared" si="0"/>
        <v>4143</v>
      </c>
    </row>
    <row r="27" spans="1:13" x14ac:dyDescent="0.2">
      <c r="A27" s="464">
        <v>18</v>
      </c>
      <c r="B27" s="145" t="s">
        <v>111</v>
      </c>
      <c r="C27" s="465" t="s">
        <v>112</v>
      </c>
      <c r="D27" s="466" t="s">
        <v>555</v>
      </c>
      <c r="E27" s="463">
        <v>1561</v>
      </c>
      <c r="F27" s="463">
        <v>0</v>
      </c>
      <c r="G27" s="463">
        <v>0</v>
      </c>
      <c r="H27" s="463">
        <v>1561</v>
      </c>
      <c r="I27" s="466"/>
      <c r="J27" s="466"/>
      <c r="K27" s="463">
        <v>1561</v>
      </c>
      <c r="L27" s="463">
        <v>0</v>
      </c>
      <c r="M27" s="463">
        <f t="shared" si="0"/>
        <v>1561</v>
      </c>
    </row>
    <row r="28" spans="1:13" x14ac:dyDescent="0.2">
      <c r="A28" s="464">
        <v>19</v>
      </c>
      <c r="B28" s="68" t="s">
        <v>54</v>
      </c>
      <c r="C28" s="465" t="s">
        <v>55</v>
      </c>
      <c r="D28" s="466" t="s">
        <v>555</v>
      </c>
      <c r="E28" s="463">
        <v>1574</v>
      </c>
      <c r="F28" s="463">
        <v>0</v>
      </c>
      <c r="G28" s="463">
        <v>0</v>
      </c>
      <c r="H28" s="463">
        <v>1574</v>
      </c>
      <c r="I28" s="466"/>
      <c r="J28" s="466"/>
      <c r="K28" s="463">
        <v>1574</v>
      </c>
      <c r="L28" s="463">
        <v>0</v>
      </c>
      <c r="M28" s="463">
        <f t="shared" si="0"/>
        <v>1574</v>
      </c>
    </row>
    <row r="29" spans="1:13" x14ac:dyDescent="0.2">
      <c r="A29" s="464">
        <v>20</v>
      </c>
      <c r="B29" s="68" t="s">
        <v>197</v>
      </c>
      <c r="C29" s="465" t="s">
        <v>198</v>
      </c>
      <c r="D29" s="466" t="s">
        <v>555</v>
      </c>
      <c r="E29" s="463">
        <v>3483</v>
      </c>
      <c r="F29" s="463">
        <v>0</v>
      </c>
      <c r="G29" s="463">
        <v>0</v>
      </c>
      <c r="H29" s="463">
        <v>3483</v>
      </c>
      <c r="I29" s="466"/>
      <c r="J29" s="466"/>
      <c r="K29" s="463">
        <v>3483</v>
      </c>
      <c r="L29" s="463">
        <v>0</v>
      </c>
      <c r="M29" s="463">
        <f t="shared" si="0"/>
        <v>3483</v>
      </c>
    </row>
    <row r="30" spans="1:13" x14ac:dyDescent="0.2">
      <c r="A30" s="464">
        <v>21</v>
      </c>
      <c r="B30" s="67" t="s">
        <v>81</v>
      </c>
      <c r="C30" s="465" t="s">
        <v>82</v>
      </c>
      <c r="D30" s="466" t="s">
        <v>555</v>
      </c>
      <c r="E30" s="463">
        <v>2863</v>
      </c>
      <c r="F30" s="463">
        <v>0</v>
      </c>
      <c r="G30" s="463">
        <v>0</v>
      </c>
      <c r="H30" s="463">
        <v>2863</v>
      </c>
      <c r="I30" s="466"/>
      <c r="J30" s="466"/>
      <c r="K30" s="463">
        <v>2863</v>
      </c>
      <c r="L30" s="463">
        <v>0</v>
      </c>
      <c r="M30" s="463">
        <f t="shared" si="0"/>
        <v>2863</v>
      </c>
    </row>
    <row r="31" spans="1:13" x14ac:dyDescent="0.2">
      <c r="A31" s="464">
        <v>22</v>
      </c>
      <c r="B31" s="145" t="s">
        <v>30</v>
      </c>
      <c r="C31" s="465" t="s">
        <v>31</v>
      </c>
      <c r="D31" s="466" t="s">
        <v>555</v>
      </c>
      <c r="E31" s="463">
        <v>1941</v>
      </c>
      <c r="F31" s="463">
        <v>3</v>
      </c>
      <c r="G31" s="463">
        <v>0</v>
      </c>
      <c r="H31" s="463">
        <v>1938</v>
      </c>
      <c r="I31" s="466"/>
      <c r="J31" s="466"/>
      <c r="K31" s="463">
        <v>1941</v>
      </c>
      <c r="L31" s="463">
        <v>0</v>
      </c>
      <c r="M31" s="463">
        <f t="shared" si="0"/>
        <v>1941</v>
      </c>
    </row>
    <row r="32" spans="1:13" x14ac:dyDescent="0.2">
      <c r="A32" s="464">
        <v>23</v>
      </c>
      <c r="B32" s="145" t="s">
        <v>32</v>
      </c>
      <c r="C32" s="465" t="s">
        <v>33</v>
      </c>
      <c r="D32" s="466" t="s">
        <v>555</v>
      </c>
      <c r="E32" s="463">
        <v>2882</v>
      </c>
      <c r="F32" s="463">
        <v>2</v>
      </c>
      <c r="G32" s="463">
        <v>0</v>
      </c>
      <c r="H32" s="463">
        <v>2880</v>
      </c>
      <c r="I32" s="466"/>
      <c r="J32" s="466"/>
      <c r="K32" s="463">
        <v>2882</v>
      </c>
      <c r="L32" s="463">
        <v>0</v>
      </c>
      <c r="M32" s="463">
        <f t="shared" si="0"/>
        <v>2882</v>
      </c>
    </row>
    <row r="33" spans="1:13" x14ac:dyDescent="0.2">
      <c r="A33" s="464">
        <v>24</v>
      </c>
      <c r="B33" s="68" t="s">
        <v>199</v>
      </c>
      <c r="C33" s="465" t="s">
        <v>200</v>
      </c>
      <c r="D33" s="466" t="s">
        <v>555</v>
      </c>
      <c r="E33" s="463">
        <v>4506</v>
      </c>
      <c r="F33" s="463">
        <v>2</v>
      </c>
      <c r="G33" s="463">
        <v>0</v>
      </c>
      <c r="H33" s="463">
        <v>4504</v>
      </c>
      <c r="I33" s="466"/>
      <c r="J33" s="466"/>
      <c r="K33" s="463">
        <v>4506</v>
      </c>
      <c r="L33" s="463">
        <v>0</v>
      </c>
      <c r="M33" s="463">
        <f t="shared" si="0"/>
        <v>4506</v>
      </c>
    </row>
    <row r="34" spans="1:13" x14ac:dyDescent="0.2">
      <c r="A34" s="464">
        <v>25</v>
      </c>
      <c r="B34" s="145" t="s">
        <v>201</v>
      </c>
      <c r="C34" s="465" t="s">
        <v>202</v>
      </c>
      <c r="D34" s="466" t="s">
        <v>555</v>
      </c>
      <c r="E34" s="463">
        <v>1637</v>
      </c>
      <c r="F34" s="463">
        <v>0</v>
      </c>
      <c r="G34" s="463">
        <v>0</v>
      </c>
      <c r="H34" s="463">
        <v>1637</v>
      </c>
      <c r="I34" s="466"/>
      <c r="J34" s="466"/>
      <c r="K34" s="463">
        <v>1637</v>
      </c>
      <c r="L34" s="463">
        <v>0</v>
      </c>
      <c r="M34" s="463">
        <f t="shared" si="0"/>
        <v>1637</v>
      </c>
    </row>
    <row r="35" spans="1:13" x14ac:dyDescent="0.2">
      <c r="A35" s="464">
        <v>26</v>
      </c>
      <c r="B35" s="145" t="s">
        <v>34</v>
      </c>
      <c r="C35" s="465" t="s">
        <v>35</v>
      </c>
      <c r="D35" s="466" t="s">
        <v>555</v>
      </c>
      <c r="E35" s="463">
        <v>2065</v>
      </c>
      <c r="F35" s="463">
        <v>0</v>
      </c>
      <c r="G35" s="463">
        <v>0</v>
      </c>
      <c r="H35" s="463">
        <v>2065</v>
      </c>
      <c r="I35" s="466"/>
      <c r="J35" s="466"/>
      <c r="K35" s="463">
        <v>2065</v>
      </c>
      <c r="L35" s="463">
        <v>0</v>
      </c>
      <c r="M35" s="463">
        <f t="shared" si="0"/>
        <v>2065</v>
      </c>
    </row>
    <row r="36" spans="1:13" x14ac:dyDescent="0.2">
      <c r="A36" s="464">
        <v>27</v>
      </c>
      <c r="B36" s="67" t="s">
        <v>85</v>
      </c>
      <c r="C36" s="465" t="s">
        <v>86</v>
      </c>
      <c r="D36" s="466" t="s">
        <v>555</v>
      </c>
      <c r="E36" s="463">
        <v>3151</v>
      </c>
      <c r="F36" s="463">
        <v>0</v>
      </c>
      <c r="G36" s="463">
        <v>0</v>
      </c>
      <c r="H36" s="463">
        <v>3151</v>
      </c>
      <c r="I36" s="466"/>
      <c r="J36" s="466"/>
      <c r="K36" s="463">
        <v>3151</v>
      </c>
      <c r="L36" s="463">
        <v>0</v>
      </c>
      <c r="M36" s="463">
        <f t="shared" si="0"/>
        <v>3151</v>
      </c>
    </row>
    <row r="37" spans="1:13" x14ac:dyDescent="0.2">
      <c r="A37" s="464">
        <v>28</v>
      </c>
      <c r="B37" s="68" t="s">
        <v>203</v>
      </c>
      <c r="C37" s="465" t="s">
        <v>204</v>
      </c>
      <c r="D37" s="466" t="s">
        <v>555</v>
      </c>
      <c r="E37" s="463">
        <v>2485</v>
      </c>
      <c r="F37" s="463">
        <v>0</v>
      </c>
      <c r="G37" s="463">
        <v>0</v>
      </c>
      <c r="H37" s="463">
        <v>2485</v>
      </c>
      <c r="I37" s="466"/>
      <c r="J37" s="466"/>
      <c r="K37" s="463">
        <v>2485</v>
      </c>
      <c r="L37" s="463">
        <v>0</v>
      </c>
      <c r="M37" s="463">
        <f t="shared" si="0"/>
        <v>2485</v>
      </c>
    </row>
    <row r="38" spans="1:13" x14ac:dyDescent="0.2">
      <c r="A38" s="464">
        <v>29</v>
      </c>
      <c r="B38" s="145" t="s">
        <v>36</v>
      </c>
      <c r="C38" s="465" t="s">
        <v>37</v>
      </c>
      <c r="D38" s="466" t="s">
        <v>555</v>
      </c>
      <c r="E38" s="463">
        <v>2610</v>
      </c>
      <c r="F38" s="463">
        <v>0</v>
      </c>
      <c r="G38" s="463">
        <v>0</v>
      </c>
      <c r="H38" s="463">
        <v>2610</v>
      </c>
      <c r="I38" s="466"/>
      <c r="J38" s="466"/>
      <c r="K38" s="463">
        <v>2610</v>
      </c>
      <c r="L38" s="463">
        <v>0</v>
      </c>
      <c r="M38" s="463">
        <f t="shared" si="0"/>
        <v>2610</v>
      </c>
    </row>
    <row r="39" spans="1:13" x14ac:dyDescent="0.2">
      <c r="A39" s="464">
        <v>30</v>
      </c>
      <c r="B39" s="67" t="s">
        <v>113</v>
      </c>
      <c r="C39" s="465" t="s">
        <v>114</v>
      </c>
      <c r="D39" s="466" t="s">
        <v>555</v>
      </c>
      <c r="E39" s="463">
        <v>2983</v>
      </c>
      <c r="F39" s="463">
        <v>0</v>
      </c>
      <c r="G39" s="463">
        <v>0</v>
      </c>
      <c r="H39" s="463">
        <v>2983</v>
      </c>
      <c r="I39" s="466"/>
      <c r="J39" s="466"/>
      <c r="K39" s="463">
        <v>2983</v>
      </c>
      <c r="L39" s="463">
        <v>0</v>
      </c>
      <c r="M39" s="463">
        <f t="shared" si="0"/>
        <v>2983</v>
      </c>
    </row>
    <row r="40" spans="1:13" x14ac:dyDescent="0.2">
      <c r="A40" s="464">
        <v>31</v>
      </c>
      <c r="B40" s="480" t="s">
        <v>89</v>
      </c>
      <c r="C40" s="465" t="s">
        <v>90</v>
      </c>
      <c r="D40" s="466" t="s">
        <v>555</v>
      </c>
      <c r="E40" s="463">
        <v>3220</v>
      </c>
      <c r="F40" s="463">
        <v>0</v>
      </c>
      <c r="G40" s="463">
        <v>0</v>
      </c>
      <c r="H40" s="463">
        <v>3220</v>
      </c>
      <c r="I40" s="466"/>
      <c r="J40" s="466"/>
      <c r="K40" s="463">
        <v>3220</v>
      </c>
      <c r="L40" s="463">
        <v>0</v>
      </c>
      <c r="M40" s="463">
        <f t="shared" si="0"/>
        <v>3220</v>
      </c>
    </row>
    <row r="41" spans="1:13" x14ac:dyDescent="0.2">
      <c r="A41" s="464">
        <v>32</v>
      </c>
      <c r="B41" s="145" t="s">
        <v>209</v>
      </c>
      <c r="C41" s="465" t="s">
        <v>210</v>
      </c>
      <c r="D41" s="466" t="s">
        <v>555</v>
      </c>
      <c r="E41" s="463">
        <v>1934</v>
      </c>
      <c r="F41" s="463">
        <v>0</v>
      </c>
      <c r="G41" s="463">
        <v>0</v>
      </c>
      <c r="H41" s="463">
        <v>1934</v>
      </c>
      <c r="I41" s="466"/>
      <c r="J41" s="466"/>
      <c r="K41" s="463">
        <v>1934</v>
      </c>
      <c r="L41" s="463">
        <v>0</v>
      </c>
      <c r="M41" s="463">
        <f t="shared" si="0"/>
        <v>1934</v>
      </c>
    </row>
    <row r="42" spans="1:13" x14ac:dyDescent="0.2">
      <c r="A42" s="464">
        <v>33</v>
      </c>
      <c r="B42" s="145" t="s">
        <v>115</v>
      </c>
      <c r="C42" s="465" t="s">
        <v>116</v>
      </c>
      <c r="D42" s="466" t="s">
        <v>555</v>
      </c>
      <c r="E42" s="463">
        <v>4229</v>
      </c>
      <c r="F42" s="463">
        <v>0</v>
      </c>
      <c r="G42" s="463">
        <v>0</v>
      </c>
      <c r="H42" s="463">
        <v>4229</v>
      </c>
      <c r="I42" s="466"/>
      <c r="J42" s="466"/>
      <c r="K42" s="463">
        <v>4229</v>
      </c>
      <c r="L42" s="463">
        <v>0</v>
      </c>
      <c r="M42" s="463">
        <f t="shared" si="0"/>
        <v>4229</v>
      </c>
    </row>
    <row r="43" spans="1:13" x14ac:dyDescent="0.2">
      <c r="A43" s="464">
        <v>34</v>
      </c>
      <c r="B43" s="68" t="s">
        <v>91</v>
      </c>
      <c r="C43" s="465" t="s">
        <v>92</v>
      </c>
      <c r="D43" s="466" t="s">
        <v>555</v>
      </c>
      <c r="E43" s="463">
        <v>1971</v>
      </c>
      <c r="F43" s="463">
        <v>0</v>
      </c>
      <c r="G43" s="463">
        <v>0</v>
      </c>
      <c r="H43" s="463">
        <v>1971</v>
      </c>
      <c r="I43" s="466"/>
      <c r="J43" s="466"/>
      <c r="K43" s="463">
        <v>1971</v>
      </c>
      <c r="L43" s="463">
        <v>0</v>
      </c>
      <c r="M43" s="463">
        <f t="shared" si="0"/>
        <v>1971</v>
      </c>
    </row>
    <row r="44" spans="1:13" x14ac:dyDescent="0.2">
      <c r="A44" s="464">
        <v>35</v>
      </c>
      <c r="B44" s="68" t="s">
        <v>93</v>
      </c>
      <c r="C44" s="465" t="s">
        <v>94</v>
      </c>
      <c r="D44" s="466" t="s">
        <v>555</v>
      </c>
      <c r="E44" s="463">
        <v>2791</v>
      </c>
      <c r="F44" s="463">
        <v>0</v>
      </c>
      <c r="G44" s="463">
        <v>0</v>
      </c>
      <c r="H44" s="463">
        <v>2791</v>
      </c>
      <c r="I44" s="466"/>
      <c r="J44" s="466"/>
      <c r="K44" s="463">
        <v>2791</v>
      </c>
      <c r="L44" s="463">
        <v>0</v>
      </c>
      <c r="M44" s="463">
        <f t="shared" si="0"/>
        <v>2791</v>
      </c>
    </row>
    <row r="45" spans="1:13" x14ac:dyDescent="0.2">
      <c r="A45" s="464">
        <v>36</v>
      </c>
      <c r="B45" s="145" t="s">
        <v>95</v>
      </c>
      <c r="C45" s="465" t="s">
        <v>96</v>
      </c>
      <c r="D45" s="466" t="s">
        <v>555</v>
      </c>
      <c r="E45" s="463">
        <v>1551</v>
      </c>
      <c r="F45" s="463">
        <v>0</v>
      </c>
      <c r="G45" s="463">
        <v>0</v>
      </c>
      <c r="H45" s="463">
        <v>1551</v>
      </c>
      <c r="I45" s="466"/>
      <c r="J45" s="466"/>
      <c r="K45" s="463">
        <v>1551</v>
      </c>
      <c r="L45" s="463">
        <v>0</v>
      </c>
      <c r="M45" s="463">
        <f t="shared" si="0"/>
        <v>1551</v>
      </c>
    </row>
    <row r="46" spans="1:13" x14ac:dyDescent="0.2">
      <c r="A46" s="464">
        <v>37</v>
      </c>
      <c r="B46" s="145" t="s">
        <v>211</v>
      </c>
      <c r="C46" s="465" t="s">
        <v>212</v>
      </c>
      <c r="D46" s="466" t="s">
        <v>555</v>
      </c>
      <c r="E46" s="463">
        <v>2751</v>
      </c>
      <c r="F46" s="463">
        <v>0</v>
      </c>
      <c r="G46" s="463">
        <v>0</v>
      </c>
      <c r="H46" s="463">
        <v>2751</v>
      </c>
      <c r="I46" s="466"/>
      <c r="J46" s="466"/>
      <c r="K46" s="463">
        <v>2751</v>
      </c>
      <c r="L46" s="463">
        <v>0</v>
      </c>
      <c r="M46" s="463">
        <f t="shared" si="0"/>
        <v>2751</v>
      </c>
    </row>
    <row r="47" spans="1:13" x14ac:dyDescent="0.2">
      <c r="A47" s="464">
        <v>38</v>
      </c>
      <c r="B47" s="68" t="s">
        <v>213</v>
      </c>
      <c r="C47" s="465" t="s">
        <v>214</v>
      </c>
      <c r="D47" s="466" t="s">
        <v>555</v>
      </c>
      <c r="E47" s="463">
        <v>4091</v>
      </c>
      <c r="F47" s="463">
        <v>0</v>
      </c>
      <c r="G47" s="463">
        <v>0</v>
      </c>
      <c r="H47" s="463">
        <v>4091</v>
      </c>
      <c r="I47" s="466"/>
      <c r="J47" s="466"/>
      <c r="K47" s="463">
        <v>4091</v>
      </c>
      <c r="L47" s="463">
        <v>0</v>
      </c>
      <c r="M47" s="463">
        <f t="shared" si="0"/>
        <v>4091</v>
      </c>
    </row>
    <row r="48" spans="1:13" x14ac:dyDescent="0.2">
      <c r="A48" s="464">
        <v>39</v>
      </c>
      <c r="B48" s="145" t="s">
        <v>119</v>
      </c>
      <c r="C48" s="465" t="s">
        <v>120</v>
      </c>
      <c r="D48" s="466" t="s">
        <v>555</v>
      </c>
      <c r="E48" s="463">
        <v>2501</v>
      </c>
      <c r="F48" s="463">
        <v>0</v>
      </c>
      <c r="G48" s="463">
        <v>0</v>
      </c>
      <c r="H48" s="463">
        <v>2501</v>
      </c>
      <c r="I48" s="466"/>
      <c r="J48" s="466"/>
      <c r="K48" s="463">
        <v>2501</v>
      </c>
      <c r="L48" s="463">
        <v>0</v>
      </c>
      <c r="M48" s="463">
        <f t="shared" si="0"/>
        <v>2501</v>
      </c>
    </row>
    <row r="49" spans="1:13" x14ac:dyDescent="0.2">
      <c r="A49" s="464">
        <v>40</v>
      </c>
      <c r="B49" s="67" t="s">
        <v>215</v>
      </c>
      <c r="C49" s="465" t="s">
        <v>216</v>
      </c>
      <c r="D49" s="466" t="s">
        <v>555</v>
      </c>
      <c r="E49" s="463">
        <v>2059</v>
      </c>
      <c r="F49" s="463">
        <v>0</v>
      </c>
      <c r="G49" s="463">
        <v>0</v>
      </c>
      <c r="H49" s="463">
        <v>2059</v>
      </c>
      <c r="I49" s="466"/>
      <c r="J49" s="466"/>
      <c r="K49" s="463">
        <v>2059</v>
      </c>
      <c r="L49" s="463">
        <v>0</v>
      </c>
      <c r="M49" s="463">
        <f t="shared" si="0"/>
        <v>2059</v>
      </c>
    </row>
    <row r="50" spans="1:13" x14ac:dyDescent="0.2">
      <c r="A50" s="464">
        <v>41</v>
      </c>
      <c r="B50" s="145" t="s">
        <v>38</v>
      </c>
      <c r="C50" s="465" t="s">
        <v>39</v>
      </c>
      <c r="D50" s="466" t="s">
        <v>555</v>
      </c>
      <c r="E50" s="463">
        <v>5154</v>
      </c>
      <c r="F50" s="463">
        <v>0</v>
      </c>
      <c r="G50" s="463">
        <v>0</v>
      </c>
      <c r="H50" s="463">
        <v>5154</v>
      </c>
      <c r="I50" s="466"/>
      <c r="J50" s="466"/>
      <c r="K50" s="463">
        <v>5154</v>
      </c>
      <c r="L50" s="463">
        <v>0</v>
      </c>
      <c r="M50" s="463">
        <f t="shared" si="0"/>
        <v>5154</v>
      </c>
    </row>
    <row r="51" spans="1:13" x14ac:dyDescent="0.2">
      <c r="A51" s="464">
        <v>42</v>
      </c>
      <c r="B51" s="68" t="s">
        <v>167</v>
      </c>
      <c r="C51" s="465" t="s">
        <v>556</v>
      </c>
      <c r="D51" s="466" t="s">
        <v>555</v>
      </c>
      <c r="E51" s="463">
        <v>914</v>
      </c>
      <c r="F51" s="463">
        <v>0</v>
      </c>
      <c r="G51" s="463">
        <v>0</v>
      </c>
      <c r="H51" s="463">
        <v>914</v>
      </c>
      <c r="I51" s="466"/>
      <c r="J51" s="466"/>
      <c r="K51" s="463">
        <v>914</v>
      </c>
      <c r="L51" s="463">
        <v>0</v>
      </c>
      <c r="M51" s="463">
        <f t="shared" si="0"/>
        <v>914</v>
      </c>
    </row>
    <row r="52" spans="1:13" x14ac:dyDescent="0.2">
      <c r="A52" s="464">
        <v>43</v>
      </c>
      <c r="B52" s="68" t="s">
        <v>163</v>
      </c>
      <c r="C52" s="465" t="s">
        <v>557</v>
      </c>
      <c r="D52" s="466" t="s">
        <v>558</v>
      </c>
      <c r="E52" s="463">
        <v>2923</v>
      </c>
      <c r="F52" s="463">
        <v>0</v>
      </c>
      <c r="G52" s="463">
        <v>0</v>
      </c>
      <c r="H52" s="463">
        <v>2923</v>
      </c>
      <c r="I52" s="466"/>
      <c r="J52" s="466"/>
      <c r="K52" s="463">
        <v>2923</v>
      </c>
      <c r="L52" s="463">
        <v>900</v>
      </c>
      <c r="M52" s="463">
        <f t="shared" si="0"/>
        <v>3823</v>
      </c>
    </row>
    <row r="53" spans="1:13" x14ac:dyDescent="0.2">
      <c r="A53" s="464">
        <v>44</v>
      </c>
      <c r="B53" s="145" t="s">
        <v>70</v>
      </c>
      <c r="C53" s="465" t="s">
        <v>559</v>
      </c>
      <c r="D53" s="466" t="s">
        <v>558</v>
      </c>
      <c r="E53" s="463">
        <v>4333</v>
      </c>
      <c r="F53" s="463">
        <v>0</v>
      </c>
      <c r="G53" s="463">
        <v>0</v>
      </c>
      <c r="H53" s="463">
        <v>4333</v>
      </c>
      <c r="I53" s="466"/>
      <c r="J53" s="466"/>
      <c r="K53" s="463">
        <v>4333</v>
      </c>
      <c r="L53" s="463">
        <v>529</v>
      </c>
      <c r="M53" s="463">
        <f t="shared" si="0"/>
        <v>4862</v>
      </c>
    </row>
    <row r="54" spans="1:13" x14ac:dyDescent="0.2">
      <c r="A54" s="464">
        <v>45</v>
      </c>
      <c r="B54" s="145" t="s">
        <v>280</v>
      </c>
      <c r="C54" s="465" t="s">
        <v>281</v>
      </c>
      <c r="D54" s="466" t="s">
        <v>558</v>
      </c>
      <c r="E54" s="463">
        <v>21976</v>
      </c>
      <c r="F54" s="463">
        <v>0</v>
      </c>
      <c r="G54" s="463">
        <v>4601</v>
      </c>
      <c r="H54" s="463">
        <v>17375</v>
      </c>
      <c r="I54" s="466"/>
      <c r="J54" s="466"/>
      <c r="K54" s="463">
        <v>21976</v>
      </c>
      <c r="L54" s="463">
        <v>0</v>
      </c>
      <c r="M54" s="463">
        <f t="shared" si="0"/>
        <v>21976</v>
      </c>
    </row>
    <row r="55" spans="1:13" x14ac:dyDescent="0.2">
      <c r="A55" s="464">
        <v>46</v>
      </c>
      <c r="B55" s="68" t="s">
        <v>103</v>
      </c>
      <c r="C55" s="465" t="s">
        <v>104</v>
      </c>
      <c r="D55" s="466" t="s">
        <v>560</v>
      </c>
      <c r="E55" s="463">
        <v>12832</v>
      </c>
      <c r="F55" s="463">
        <v>6</v>
      </c>
      <c r="G55" s="463">
        <v>0</v>
      </c>
      <c r="H55" s="463">
        <v>12826</v>
      </c>
      <c r="I55" s="466"/>
      <c r="J55" s="466"/>
      <c r="K55" s="463">
        <v>12832</v>
      </c>
      <c r="L55" s="463">
        <v>0</v>
      </c>
      <c r="M55" s="463">
        <f t="shared" si="0"/>
        <v>12832</v>
      </c>
    </row>
    <row r="56" spans="1:13" x14ac:dyDescent="0.2">
      <c r="A56" s="464">
        <v>47</v>
      </c>
      <c r="B56" s="145" t="s">
        <v>20</v>
      </c>
      <c r="C56" s="465" t="s">
        <v>21</v>
      </c>
      <c r="D56" s="466" t="s">
        <v>560</v>
      </c>
      <c r="E56" s="463">
        <v>8803</v>
      </c>
      <c r="F56" s="463">
        <v>0</v>
      </c>
      <c r="G56" s="463">
        <v>0</v>
      </c>
      <c r="H56" s="463">
        <v>8803</v>
      </c>
      <c r="I56" s="466"/>
      <c r="J56" s="466"/>
      <c r="K56" s="463">
        <v>8803</v>
      </c>
      <c r="L56" s="463">
        <v>0</v>
      </c>
      <c r="M56" s="463">
        <f t="shared" si="0"/>
        <v>8803</v>
      </c>
    </row>
    <row r="57" spans="1:13" x14ac:dyDescent="0.2">
      <c r="A57" s="464">
        <v>48</v>
      </c>
      <c r="B57" s="145" t="s">
        <v>161</v>
      </c>
      <c r="C57" s="465" t="s">
        <v>561</v>
      </c>
      <c r="D57" s="466" t="s">
        <v>560</v>
      </c>
      <c r="E57" s="463">
        <v>9984</v>
      </c>
      <c r="F57" s="463">
        <v>1</v>
      </c>
      <c r="G57" s="463">
        <v>964</v>
      </c>
      <c r="H57" s="463">
        <v>9019</v>
      </c>
      <c r="I57" s="466"/>
      <c r="J57" s="466"/>
      <c r="K57" s="463">
        <v>9984</v>
      </c>
      <c r="L57" s="463">
        <v>400</v>
      </c>
      <c r="M57" s="463">
        <f t="shared" si="0"/>
        <v>10384</v>
      </c>
    </row>
    <row r="58" spans="1:13" x14ac:dyDescent="0.2">
      <c r="A58" s="464">
        <v>49</v>
      </c>
      <c r="B58" s="68" t="s">
        <v>28</v>
      </c>
      <c r="C58" s="465" t="s">
        <v>29</v>
      </c>
      <c r="D58" s="466" t="s">
        <v>560</v>
      </c>
      <c r="E58" s="463">
        <v>7908</v>
      </c>
      <c r="F58" s="463">
        <v>0</v>
      </c>
      <c r="G58" s="463">
        <v>0</v>
      </c>
      <c r="H58" s="463">
        <v>7908</v>
      </c>
      <c r="I58" s="466"/>
      <c r="J58" s="466"/>
      <c r="K58" s="463">
        <v>7908</v>
      </c>
      <c r="L58" s="463">
        <v>0</v>
      </c>
      <c r="M58" s="463">
        <f t="shared" si="0"/>
        <v>7908</v>
      </c>
    </row>
    <row r="59" spans="1:13" x14ac:dyDescent="0.2">
      <c r="A59" s="464">
        <v>50</v>
      </c>
      <c r="B59" s="68" t="s">
        <v>87</v>
      </c>
      <c r="C59" s="465" t="s">
        <v>88</v>
      </c>
      <c r="D59" s="466" t="s">
        <v>560</v>
      </c>
      <c r="E59" s="463">
        <v>9881</v>
      </c>
      <c r="F59" s="463">
        <v>0</v>
      </c>
      <c r="G59" s="463">
        <v>0</v>
      </c>
      <c r="H59" s="463">
        <v>9881</v>
      </c>
      <c r="I59" s="466"/>
      <c r="J59" s="466"/>
      <c r="K59" s="463">
        <v>9881</v>
      </c>
      <c r="L59" s="463">
        <v>0</v>
      </c>
      <c r="M59" s="463">
        <f t="shared" si="0"/>
        <v>9881</v>
      </c>
    </row>
    <row r="60" spans="1:13" x14ac:dyDescent="0.2">
      <c r="A60" s="464">
        <v>51</v>
      </c>
      <c r="B60" s="145" t="s">
        <v>117</v>
      </c>
      <c r="C60" s="465" t="s">
        <v>118</v>
      </c>
      <c r="D60" s="466" t="s">
        <v>560</v>
      </c>
      <c r="E60" s="463">
        <v>18654</v>
      </c>
      <c r="F60" s="463">
        <v>16</v>
      </c>
      <c r="G60" s="463">
        <v>1117</v>
      </c>
      <c r="H60" s="463">
        <v>17521</v>
      </c>
      <c r="I60" s="466"/>
      <c r="J60" s="466"/>
      <c r="K60" s="463">
        <v>18654</v>
      </c>
      <c r="L60" s="463">
        <v>0</v>
      </c>
      <c r="M60" s="463">
        <f t="shared" si="0"/>
        <v>18654</v>
      </c>
    </row>
    <row r="61" spans="1:13" x14ac:dyDescent="0.2">
      <c r="A61" s="464">
        <v>52</v>
      </c>
      <c r="B61" s="68" t="s">
        <v>56</v>
      </c>
      <c r="C61" s="481" t="s">
        <v>57</v>
      </c>
      <c r="D61" s="466" t="s">
        <v>560</v>
      </c>
      <c r="E61" s="463">
        <v>8944</v>
      </c>
      <c r="F61" s="463">
        <v>2</v>
      </c>
      <c r="G61" s="463">
        <v>0</v>
      </c>
      <c r="H61" s="463">
        <v>8942</v>
      </c>
      <c r="I61" s="466"/>
      <c r="J61" s="466"/>
      <c r="K61" s="463">
        <v>8944</v>
      </c>
      <c r="L61" s="463">
        <v>415</v>
      </c>
      <c r="M61" s="463">
        <f t="shared" si="0"/>
        <v>9359</v>
      </c>
    </row>
    <row r="62" spans="1:13" x14ac:dyDescent="0.2">
      <c r="A62" s="464">
        <v>53</v>
      </c>
      <c r="B62" s="145" t="s">
        <v>185</v>
      </c>
      <c r="C62" s="465" t="s">
        <v>564</v>
      </c>
      <c r="D62" s="466" t="s">
        <v>560</v>
      </c>
      <c r="E62" s="463">
        <v>6303</v>
      </c>
      <c r="F62" s="463">
        <v>0</v>
      </c>
      <c r="G62" s="463">
        <v>0</v>
      </c>
      <c r="H62" s="463">
        <v>6303</v>
      </c>
      <c r="I62" s="466"/>
      <c r="J62" s="466"/>
      <c r="K62" s="463">
        <v>6303</v>
      </c>
      <c r="L62" s="463">
        <v>710</v>
      </c>
      <c r="M62" s="463">
        <f t="shared" si="0"/>
        <v>7013</v>
      </c>
    </row>
    <row r="63" spans="1:13" x14ac:dyDescent="0.2">
      <c r="A63" s="464">
        <v>54</v>
      </c>
      <c r="B63" s="145" t="s">
        <v>393</v>
      </c>
      <c r="C63" s="465" t="s">
        <v>394</v>
      </c>
      <c r="D63" s="466" t="s">
        <v>560</v>
      </c>
      <c r="E63" s="463">
        <v>0</v>
      </c>
      <c r="F63" s="463">
        <v>0</v>
      </c>
      <c r="G63" s="463">
        <v>0</v>
      </c>
      <c r="H63" s="463">
        <v>0</v>
      </c>
      <c r="I63" s="466"/>
      <c r="J63" s="466"/>
      <c r="K63" s="463">
        <v>0</v>
      </c>
      <c r="L63" s="463">
        <v>299</v>
      </c>
      <c r="M63" s="463">
        <f t="shared" si="0"/>
        <v>299</v>
      </c>
    </row>
    <row r="64" spans="1:13" x14ac:dyDescent="0.2">
      <c r="A64" s="464">
        <v>55</v>
      </c>
      <c r="B64" s="145" t="s">
        <v>243</v>
      </c>
      <c r="C64" s="465" t="s">
        <v>385</v>
      </c>
      <c r="D64" s="466" t="s">
        <v>560</v>
      </c>
      <c r="E64" s="463">
        <v>297</v>
      </c>
      <c r="F64" s="463">
        <v>0</v>
      </c>
      <c r="G64" s="463">
        <v>0</v>
      </c>
      <c r="H64" s="463">
        <v>297</v>
      </c>
      <c r="I64" s="466"/>
      <c r="J64" s="466"/>
      <c r="K64" s="463">
        <v>297</v>
      </c>
      <c r="L64" s="463">
        <v>0</v>
      </c>
      <c r="M64" s="463">
        <f t="shared" si="0"/>
        <v>297</v>
      </c>
    </row>
    <row r="65" spans="1:13" x14ac:dyDescent="0.2">
      <c r="A65" s="464">
        <v>56</v>
      </c>
      <c r="B65" s="145" t="s">
        <v>123</v>
      </c>
      <c r="C65" s="465" t="s">
        <v>565</v>
      </c>
      <c r="D65" s="466" t="s">
        <v>566</v>
      </c>
      <c r="E65" s="463">
        <v>590</v>
      </c>
      <c r="F65" s="463">
        <v>0</v>
      </c>
      <c r="G65" s="463">
        <v>0</v>
      </c>
      <c r="H65" s="463">
        <v>590</v>
      </c>
      <c r="I65" s="463">
        <v>487</v>
      </c>
      <c r="J65" s="463">
        <v>0</v>
      </c>
      <c r="K65" s="463">
        <v>1077</v>
      </c>
      <c r="L65" s="463">
        <v>0</v>
      </c>
      <c r="M65" s="463">
        <f t="shared" si="0"/>
        <v>1077</v>
      </c>
    </row>
    <row r="66" spans="1:13" x14ac:dyDescent="0.2">
      <c r="A66" s="482">
        <v>57</v>
      </c>
      <c r="B66" s="70" t="s">
        <v>205</v>
      </c>
      <c r="C66" s="470" t="s">
        <v>206</v>
      </c>
      <c r="D66" s="473" t="s">
        <v>566</v>
      </c>
      <c r="E66" s="468">
        <v>3305</v>
      </c>
      <c r="F66" s="468">
        <v>0</v>
      </c>
      <c r="G66" s="468">
        <v>0</v>
      </c>
      <c r="H66" s="468">
        <v>3305</v>
      </c>
      <c r="I66" s="468">
        <v>94</v>
      </c>
      <c r="J66" s="468">
        <v>0</v>
      </c>
      <c r="K66" s="468">
        <v>3399</v>
      </c>
      <c r="L66" s="468">
        <v>0</v>
      </c>
      <c r="M66" s="468">
        <f t="shared" si="0"/>
        <v>3399</v>
      </c>
    </row>
    <row r="67" spans="1:13" x14ac:dyDescent="0.2">
      <c r="A67" s="475"/>
      <c r="B67" s="145"/>
      <c r="C67" s="469" t="s">
        <v>569</v>
      </c>
      <c r="D67" s="466" t="s">
        <v>785</v>
      </c>
      <c r="E67" s="463">
        <v>3006</v>
      </c>
      <c r="F67" s="463">
        <v>0</v>
      </c>
      <c r="G67" s="463">
        <v>0</v>
      </c>
      <c r="H67" s="463">
        <v>3006</v>
      </c>
      <c r="I67" s="463"/>
      <c r="J67" s="463"/>
      <c r="K67" s="463">
        <v>3006</v>
      </c>
      <c r="L67" s="463">
        <v>0</v>
      </c>
      <c r="M67" s="463">
        <f t="shared" si="0"/>
        <v>3006</v>
      </c>
    </row>
    <row r="68" spans="1:13" x14ac:dyDescent="0.2">
      <c r="A68" s="475"/>
      <c r="B68" s="145"/>
      <c r="C68" s="469" t="s">
        <v>569</v>
      </c>
      <c r="D68" s="466" t="s">
        <v>568</v>
      </c>
      <c r="E68" s="463">
        <v>299</v>
      </c>
      <c r="F68" s="463">
        <v>0</v>
      </c>
      <c r="G68" s="463">
        <v>0</v>
      </c>
      <c r="H68" s="463">
        <v>299</v>
      </c>
      <c r="I68" s="463">
        <v>94</v>
      </c>
      <c r="J68" s="463">
        <v>0</v>
      </c>
      <c r="K68" s="463">
        <v>393</v>
      </c>
      <c r="L68" s="463">
        <v>0</v>
      </c>
      <c r="M68" s="463">
        <f t="shared" si="0"/>
        <v>393</v>
      </c>
    </row>
    <row r="69" spans="1:13" x14ac:dyDescent="0.2">
      <c r="A69" s="482">
        <v>58</v>
      </c>
      <c r="B69" s="70" t="s">
        <v>97</v>
      </c>
      <c r="C69" s="470" t="s">
        <v>562</v>
      </c>
      <c r="D69" s="473" t="s">
        <v>566</v>
      </c>
      <c r="E69" s="468">
        <v>577</v>
      </c>
      <c r="F69" s="468">
        <v>3</v>
      </c>
      <c r="G69" s="468">
        <v>0</v>
      </c>
      <c r="H69" s="468">
        <v>574</v>
      </c>
      <c r="I69" s="468">
        <v>147</v>
      </c>
      <c r="J69" s="468">
        <v>5</v>
      </c>
      <c r="K69" s="468">
        <v>724</v>
      </c>
      <c r="L69" s="463">
        <v>0</v>
      </c>
      <c r="M69" s="468">
        <f t="shared" si="0"/>
        <v>724</v>
      </c>
    </row>
    <row r="70" spans="1:13" x14ac:dyDescent="0.2">
      <c r="A70" s="475"/>
      <c r="B70" s="145"/>
      <c r="C70" s="469" t="s">
        <v>569</v>
      </c>
      <c r="D70" s="466" t="s">
        <v>560</v>
      </c>
      <c r="E70" s="463">
        <v>370</v>
      </c>
      <c r="F70" s="463">
        <v>3</v>
      </c>
      <c r="G70" s="463">
        <v>0</v>
      </c>
      <c r="H70" s="463">
        <v>367</v>
      </c>
      <c r="I70" s="463"/>
      <c r="J70" s="463"/>
      <c r="K70" s="463">
        <v>370</v>
      </c>
      <c r="L70" s="463">
        <v>0</v>
      </c>
      <c r="M70" s="463">
        <f t="shared" si="0"/>
        <v>370</v>
      </c>
    </row>
    <row r="71" spans="1:13" x14ac:dyDescent="0.2">
      <c r="A71" s="475"/>
      <c r="B71" s="145"/>
      <c r="C71" s="469" t="s">
        <v>569</v>
      </c>
      <c r="D71" s="466" t="s">
        <v>568</v>
      </c>
      <c r="E71" s="463">
        <v>207</v>
      </c>
      <c r="F71" s="463">
        <v>0</v>
      </c>
      <c r="G71" s="463">
        <v>0</v>
      </c>
      <c r="H71" s="463">
        <v>207</v>
      </c>
      <c r="I71" s="463">
        <v>147</v>
      </c>
      <c r="J71" s="463">
        <v>5</v>
      </c>
      <c r="K71" s="463">
        <v>354</v>
      </c>
      <c r="L71" s="463">
        <v>0</v>
      </c>
      <c r="M71" s="463">
        <f t="shared" si="0"/>
        <v>354</v>
      </c>
    </row>
    <row r="72" spans="1:13" x14ac:dyDescent="0.2">
      <c r="A72" s="482">
        <v>59</v>
      </c>
      <c r="B72" s="70" t="s">
        <v>83</v>
      </c>
      <c r="C72" s="470" t="s">
        <v>84</v>
      </c>
      <c r="D72" s="473" t="s">
        <v>566</v>
      </c>
      <c r="E72" s="468">
        <v>10843</v>
      </c>
      <c r="F72" s="468">
        <v>28</v>
      </c>
      <c r="G72" s="468">
        <v>0</v>
      </c>
      <c r="H72" s="468">
        <v>10815</v>
      </c>
      <c r="I72" s="468">
        <v>121</v>
      </c>
      <c r="J72" s="468">
        <v>0</v>
      </c>
      <c r="K72" s="468">
        <v>10964</v>
      </c>
      <c r="L72" s="463">
        <v>0</v>
      </c>
      <c r="M72" s="468">
        <f t="shared" si="0"/>
        <v>10964</v>
      </c>
    </row>
    <row r="73" spans="1:13" x14ac:dyDescent="0.2">
      <c r="A73" s="475"/>
      <c r="B73" s="145"/>
      <c r="C73" s="469" t="s">
        <v>569</v>
      </c>
      <c r="D73" s="466" t="s">
        <v>560</v>
      </c>
      <c r="E73" s="463">
        <v>8369</v>
      </c>
      <c r="F73" s="463">
        <v>28</v>
      </c>
      <c r="G73" s="463">
        <v>0</v>
      </c>
      <c r="H73" s="463">
        <v>8341</v>
      </c>
      <c r="I73" s="463"/>
      <c r="J73" s="463"/>
      <c r="K73" s="463">
        <v>8369</v>
      </c>
      <c r="L73" s="463">
        <v>0</v>
      </c>
      <c r="M73" s="463">
        <f t="shared" si="0"/>
        <v>8369</v>
      </c>
    </row>
    <row r="74" spans="1:13" x14ac:dyDescent="0.2">
      <c r="A74" s="475"/>
      <c r="B74" s="145"/>
      <c r="C74" s="469" t="s">
        <v>569</v>
      </c>
      <c r="D74" s="466" t="s">
        <v>568</v>
      </c>
      <c r="E74" s="463">
        <v>2474</v>
      </c>
      <c r="F74" s="463">
        <v>0</v>
      </c>
      <c r="G74" s="463">
        <v>0</v>
      </c>
      <c r="H74" s="463">
        <v>2474</v>
      </c>
      <c r="I74" s="463">
        <v>121</v>
      </c>
      <c r="J74" s="463">
        <v>0</v>
      </c>
      <c r="K74" s="463">
        <v>2595</v>
      </c>
      <c r="L74" s="463">
        <v>0</v>
      </c>
      <c r="M74" s="463">
        <f t="shared" si="0"/>
        <v>2595</v>
      </c>
    </row>
    <row r="75" spans="1:13" x14ac:dyDescent="0.2">
      <c r="A75" s="482">
        <v>60</v>
      </c>
      <c r="B75" s="70" t="s">
        <v>68</v>
      </c>
      <c r="C75" s="470" t="s">
        <v>563</v>
      </c>
      <c r="D75" s="466" t="s">
        <v>566</v>
      </c>
      <c r="E75" s="468">
        <v>7161</v>
      </c>
      <c r="F75" s="468">
        <v>7</v>
      </c>
      <c r="G75" s="468">
        <v>0</v>
      </c>
      <c r="H75" s="468">
        <v>7154</v>
      </c>
      <c r="I75" s="468">
        <v>0</v>
      </c>
      <c r="J75" s="468">
        <v>0</v>
      </c>
      <c r="K75" s="468">
        <v>7161</v>
      </c>
      <c r="L75" s="463">
        <v>0</v>
      </c>
      <c r="M75" s="468">
        <f t="shared" ref="M75:M138" si="1">K75+L75</f>
        <v>7161</v>
      </c>
    </row>
    <row r="76" spans="1:13" x14ac:dyDescent="0.2">
      <c r="A76" s="475"/>
      <c r="B76" s="145"/>
      <c r="C76" s="469" t="s">
        <v>569</v>
      </c>
      <c r="D76" s="466" t="s">
        <v>560</v>
      </c>
      <c r="E76" s="463">
        <v>6071</v>
      </c>
      <c r="F76" s="463">
        <v>7</v>
      </c>
      <c r="G76" s="463">
        <v>0</v>
      </c>
      <c r="H76" s="463">
        <v>6064</v>
      </c>
      <c r="I76" s="463"/>
      <c r="J76" s="463"/>
      <c r="K76" s="463">
        <v>6071</v>
      </c>
      <c r="L76" s="463">
        <v>0</v>
      </c>
      <c r="M76" s="463">
        <f t="shared" si="1"/>
        <v>6071</v>
      </c>
    </row>
    <row r="77" spans="1:13" x14ac:dyDescent="0.2">
      <c r="A77" s="475"/>
      <c r="B77" s="145"/>
      <c r="C77" s="469" t="s">
        <v>569</v>
      </c>
      <c r="D77" s="466" t="s">
        <v>568</v>
      </c>
      <c r="E77" s="463">
        <v>1090</v>
      </c>
      <c r="F77" s="463">
        <v>0</v>
      </c>
      <c r="G77" s="463">
        <v>0</v>
      </c>
      <c r="H77" s="463">
        <v>1090</v>
      </c>
      <c r="I77" s="463">
        <v>0</v>
      </c>
      <c r="J77" s="463">
        <v>0</v>
      </c>
      <c r="K77" s="463">
        <v>1090</v>
      </c>
      <c r="L77" s="463">
        <v>0</v>
      </c>
      <c r="M77" s="463">
        <f t="shared" si="1"/>
        <v>1090</v>
      </c>
    </row>
    <row r="78" spans="1:13" s="474" customFormat="1" x14ac:dyDescent="0.2">
      <c r="A78" s="482">
        <v>61</v>
      </c>
      <c r="B78" s="69" t="s">
        <v>77</v>
      </c>
      <c r="C78" s="470" t="s">
        <v>567</v>
      </c>
      <c r="D78" s="473" t="s">
        <v>568</v>
      </c>
      <c r="E78" s="468">
        <v>11020</v>
      </c>
      <c r="F78" s="468">
        <v>198</v>
      </c>
      <c r="G78" s="468">
        <v>0</v>
      </c>
      <c r="H78" s="468">
        <v>10822</v>
      </c>
      <c r="I78" s="468">
        <v>124</v>
      </c>
      <c r="J78" s="468">
        <v>0</v>
      </c>
      <c r="K78" s="468">
        <v>11144</v>
      </c>
      <c r="L78" s="463">
        <v>412</v>
      </c>
      <c r="M78" s="468">
        <f t="shared" si="1"/>
        <v>11556</v>
      </c>
    </row>
    <row r="79" spans="1:13" x14ac:dyDescent="0.2">
      <c r="A79" s="475"/>
      <c r="B79" s="464"/>
      <c r="C79" s="469" t="s">
        <v>569</v>
      </c>
      <c r="D79" s="466" t="s">
        <v>558</v>
      </c>
      <c r="E79" s="463">
        <v>10000</v>
      </c>
      <c r="F79" s="463">
        <v>198</v>
      </c>
      <c r="G79" s="463">
        <v>0</v>
      </c>
      <c r="H79" s="463">
        <v>9802</v>
      </c>
      <c r="I79" s="466"/>
      <c r="J79" s="466"/>
      <c r="K79" s="463">
        <v>10000</v>
      </c>
      <c r="L79" s="463">
        <v>412</v>
      </c>
      <c r="M79" s="463">
        <f t="shared" si="1"/>
        <v>10412</v>
      </c>
    </row>
    <row r="80" spans="1:13" x14ac:dyDescent="0.2">
      <c r="A80" s="475"/>
      <c r="B80" s="464"/>
      <c r="C80" s="469" t="s">
        <v>569</v>
      </c>
      <c r="D80" s="466" t="s">
        <v>568</v>
      </c>
      <c r="E80" s="463">
        <v>1020</v>
      </c>
      <c r="F80" s="463">
        <v>0</v>
      </c>
      <c r="G80" s="463">
        <v>0</v>
      </c>
      <c r="H80" s="463">
        <v>1020</v>
      </c>
      <c r="I80" s="463">
        <v>124</v>
      </c>
      <c r="J80" s="463">
        <v>0</v>
      </c>
      <c r="K80" s="463">
        <v>1144</v>
      </c>
      <c r="L80" s="463">
        <v>0</v>
      </c>
      <c r="M80" s="463">
        <f t="shared" si="1"/>
        <v>1144</v>
      </c>
    </row>
    <row r="81" spans="1:13" s="474" customFormat="1" x14ac:dyDescent="0.2">
      <c r="A81" s="482">
        <v>62</v>
      </c>
      <c r="B81" s="69" t="s">
        <v>207</v>
      </c>
      <c r="C81" s="470" t="s">
        <v>208</v>
      </c>
      <c r="D81" s="473" t="s">
        <v>568</v>
      </c>
      <c r="E81" s="468">
        <v>4630</v>
      </c>
      <c r="F81" s="468">
        <v>105</v>
      </c>
      <c r="G81" s="468">
        <v>0</v>
      </c>
      <c r="H81" s="468">
        <v>4525</v>
      </c>
      <c r="I81" s="468">
        <v>193</v>
      </c>
      <c r="J81" s="468">
        <v>0</v>
      </c>
      <c r="K81" s="468">
        <v>4823</v>
      </c>
      <c r="L81" s="463">
        <v>422</v>
      </c>
      <c r="M81" s="468">
        <f t="shared" si="1"/>
        <v>5245</v>
      </c>
    </row>
    <row r="82" spans="1:13" x14ac:dyDescent="0.2">
      <c r="A82" s="475"/>
      <c r="B82" s="464"/>
      <c r="C82" s="469" t="s">
        <v>569</v>
      </c>
      <c r="D82" s="466" t="s">
        <v>558</v>
      </c>
      <c r="E82" s="463">
        <v>3617</v>
      </c>
      <c r="F82" s="463">
        <v>105</v>
      </c>
      <c r="G82" s="463">
        <v>0</v>
      </c>
      <c r="H82" s="463">
        <v>3512</v>
      </c>
      <c r="I82" s="466"/>
      <c r="J82" s="466"/>
      <c r="K82" s="463">
        <v>3617</v>
      </c>
      <c r="L82" s="463">
        <v>422</v>
      </c>
      <c r="M82" s="463">
        <f t="shared" si="1"/>
        <v>4039</v>
      </c>
    </row>
    <row r="83" spans="1:13" x14ac:dyDescent="0.2">
      <c r="A83" s="475"/>
      <c r="B83" s="464"/>
      <c r="C83" s="469" t="s">
        <v>569</v>
      </c>
      <c r="D83" s="475" t="s">
        <v>568</v>
      </c>
      <c r="E83" s="472">
        <v>1013</v>
      </c>
      <c r="F83" s="471">
        <v>0</v>
      </c>
      <c r="G83" s="472">
        <v>0</v>
      </c>
      <c r="H83" s="472">
        <v>1013</v>
      </c>
      <c r="I83" s="476">
        <v>193</v>
      </c>
      <c r="J83" s="476">
        <v>0</v>
      </c>
      <c r="K83" s="463">
        <v>1206</v>
      </c>
      <c r="L83" s="463">
        <v>0</v>
      </c>
      <c r="M83" s="463">
        <f t="shared" si="1"/>
        <v>1206</v>
      </c>
    </row>
    <row r="84" spans="1:13" s="474" customFormat="1" x14ac:dyDescent="0.2">
      <c r="A84" s="482">
        <v>63</v>
      </c>
      <c r="B84" s="70" t="s">
        <v>50</v>
      </c>
      <c r="C84" s="470" t="s">
        <v>51</v>
      </c>
      <c r="D84" s="473" t="s">
        <v>568</v>
      </c>
      <c r="E84" s="468">
        <v>17179</v>
      </c>
      <c r="F84" s="468">
        <v>137</v>
      </c>
      <c r="G84" s="468">
        <v>0</v>
      </c>
      <c r="H84" s="468">
        <v>17042</v>
      </c>
      <c r="I84" s="468">
        <v>203</v>
      </c>
      <c r="J84" s="468">
        <v>0</v>
      </c>
      <c r="K84" s="468">
        <v>17382</v>
      </c>
      <c r="L84" s="463">
        <v>375</v>
      </c>
      <c r="M84" s="468">
        <f t="shared" si="1"/>
        <v>17757</v>
      </c>
    </row>
    <row r="85" spans="1:13" x14ac:dyDescent="0.2">
      <c r="A85" s="475"/>
      <c r="B85" s="464"/>
      <c r="C85" s="469" t="s">
        <v>569</v>
      </c>
      <c r="D85" s="466" t="s">
        <v>558</v>
      </c>
      <c r="E85" s="463">
        <v>15280</v>
      </c>
      <c r="F85" s="463">
        <v>137</v>
      </c>
      <c r="G85" s="463">
        <v>0</v>
      </c>
      <c r="H85" s="463">
        <v>15143</v>
      </c>
      <c r="I85" s="466"/>
      <c r="J85" s="466"/>
      <c r="K85" s="463">
        <v>15280</v>
      </c>
      <c r="L85" s="463">
        <v>375</v>
      </c>
      <c r="M85" s="463">
        <f t="shared" si="1"/>
        <v>15655</v>
      </c>
    </row>
    <row r="86" spans="1:13" x14ac:dyDescent="0.2">
      <c r="A86" s="475"/>
      <c r="B86" s="464"/>
      <c r="C86" s="469" t="s">
        <v>569</v>
      </c>
      <c r="D86" s="471" t="s">
        <v>570</v>
      </c>
      <c r="E86" s="472">
        <v>1899</v>
      </c>
      <c r="F86" s="471">
        <v>0</v>
      </c>
      <c r="G86" s="472">
        <v>0</v>
      </c>
      <c r="H86" s="472">
        <v>1899</v>
      </c>
      <c r="I86" s="476">
        <v>203</v>
      </c>
      <c r="J86" s="476">
        <v>0</v>
      </c>
      <c r="K86" s="463">
        <v>2102</v>
      </c>
      <c r="L86" s="463">
        <v>0</v>
      </c>
      <c r="M86" s="463">
        <f t="shared" si="1"/>
        <v>2102</v>
      </c>
    </row>
    <row r="87" spans="1:13" s="474" customFormat="1" x14ac:dyDescent="0.2">
      <c r="A87" s="482">
        <v>64</v>
      </c>
      <c r="B87" s="70" t="s">
        <v>99</v>
      </c>
      <c r="C87" s="470" t="s">
        <v>571</v>
      </c>
      <c r="D87" s="473" t="s">
        <v>568</v>
      </c>
      <c r="E87" s="468">
        <v>15177</v>
      </c>
      <c r="F87" s="468">
        <v>146</v>
      </c>
      <c r="G87" s="468">
        <v>0</v>
      </c>
      <c r="H87" s="468">
        <v>15031</v>
      </c>
      <c r="I87" s="468">
        <v>12</v>
      </c>
      <c r="J87" s="468">
        <v>7</v>
      </c>
      <c r="K87" s="468">
        <v>15189</v>
      </c>
      <c r="L87" s="463">
        <v>684</v>
      </c>
      <c r="M87" s="468">
        <f t="shared" si="1"/>
        <v>15873</v>
      </c>
    </row>
    <row r="88" spans="1:13" x14ac:dyDescent="0.2">
      <c r="A88" s="475"/>
      <c r="B88" s="464"/>
      <c r="C88" s="469" t="s">
        <v>569</v>
      </c>
      <c r="D88" s="466" t="s">
        <v>560</v>
      </c>
      <c r="E88" s="463">
        <v>14218</v>
      </c>
      <c r="F88" s="463">
        <v>1</v>
      </c>
      <c r="G88" s="463">
        <v>0</v>
      </c>
      <c r="H88" s="463">
        <v>14217</v>
      </c>
      <c r="I88" s="466"/>
      <c r="J88" s="466"/>
      <c r="K88" s="463">
        <v>14218</v>
      </c>
      <c r="L88" s="463">
        <v>684</v>
      </c>
      <c r="M88" s="463">
        <f t="shared" si="1"/>
        <v>14902</v>
      </c>
    </row>
    <row r="89" spans="1:13" x14ac:dyDescent="0.2">
      <c r="A89" s="475"/>
      <c r="B89" s="464"/>
      <c r="C89" s="469" t="s">
        <v>569</v>
      </c>
      <c r="D89" s="466" t="s">
        <v>568</v>
      </c>
      <c r="E89" s="472">
        <v>959</v>
      </c>
      <c r="F89" s="472">
        <v>145</v>
      </c>
      <c r="G89" s="472">
        <v>0</v>
      </c>
      <c r="H89" s="472">
        <v>814</v>
      </c>
      <c r="I89" s="476">
        <v>12</v>
      </c>
      <c r="J89" s="476">
        <v>7</v>
      </c>
      <c r="K89" s="463">
        <v>971</v>
      </c>
      <c r="L89" s="463">
        <v>0</v>
      </c>
      <c r="M89" s="463">
        <f t="shared" si="1"/>
        <v>971</v>
      </c>
    </row>
    <row r="90" spans="1:13" s="474" customFormat="1" x14ac:dyDescent="0.2">
      <c r="A90" s="482">
        <v>65</v>
      </c>
      <c r="B90" s="70" t="s">
        <v>26</v>
      </c>
      <c r="C90" s="470" t="s">
        <v>572</v>
      </c>
      <c r="D90" s="473" t="s">
        <v>568</v>
      </c>
      <c r="E90" s="468">
        <v>20955</v>
      </c>
      <c r="F90" s="468">
        <v>141</v>
      </c>
      <c r="G90" s="468">
        <v>0</v>
      </c>
      <c r="H90" s="468">
        <v>20814</v>
      </c>
      <c r="I90" s="468">
        <v>285</v>
      </c>
      <c r="J90" s="468">
        <v>0</v>
      </c>
      <c r="K90" s="468">
        <v>21240</v>
      </c>
      <c r="L90" s="463">
        <v>759</v>
      </c>
      <c r="M90" s="468">
        <f t="shared" si="1"/>
        <v>21999</v>
      </c>
    </row>
    <row r="91" spans="1:13" x14ac:dyDescent="0.2">
      <c r="A91" s="475"/>
      <c r="B91" s="464"/>
      <c r="C91" s="469" t="s">
        <v>569</v>
      </c>
      <c r="D91" s="466" t="s">
        <v>560</v>
      </c>
      <c r="E91" s="463">
        <v>20763</v>
      </c>
      <c r="F91" s="463">
        <v>141</v>
      </c>
      <c r="G91" s="463">
        <v>0</v>
      </c>
      <c r="H91" s="463">
        <v>20622</v>
      </c>
      <c r="I91" s="466"/>
      <c r="J91" s="466"/>
      <c r="K91" s="463">
        <v>20763</v>
      </c>
      <c r="L91" s="463">
        <v>759</v>
      </c>
      <c r="M91" s="463">
        <f t="shared" si="1"/>
        <v>21522</v>
      </c>
    </row>
    <row r="92" spans="1:13" x14ac:dyDescent="0.2">
      <c r="A92" s="475"/>
      <c r="B92" s="464"/>
      <c r="C92" s="469" t="s">
        <v>569</v>
      </c>
      <c r="D92" s="466" t="s">
        <v>568</v>
      </c>
      <c r="E92" s="463">
        <v>192</v>
      </c>
      <c r="F92" s="463">
        <v>0</v>
      </c>
      <c r="G92" s="463">
        <v>0</v>
      </c>
      <c r="H92" s="463">
        <v>192</v>
      </c>
      <c r="I92" s="483">
        <v>285</v>
      </c>
      <c r="J92" s="483">
        <v>0</v>
      </c>
      <c r="K92" s="463">
        <v>477</v>
      </c>
      <c r="L92" s="463">
        <v>0</v>
      </c>
      <c r="M92" s="463">
        <f t="shared" si="1"/>
        <v>477</v>
      </c>
    </row>
    <row r="93" spans="1:13" s="474" customFormat="1" x14ac:dyDescent="0.2">
      <c r="A93" s="482">
        <v>66</v>
      </c>
      <c r="B93" s="484" t="s">
        <v>79</v>
      </c>
      <c r="C93" s="470" t="s">
        <v>573</v>
      </c>
      <c r="D93" s="473" t="s">
        <v>568</v>
      </c>
      <c r="E93" s="468">
        <v>17832</v>
      </c>
      <c r="F93" s="468">
        <v>74</v>
      </c>
      <c r="G93" s="468">
        <v>0</v>
      </c>
      <c r="H93" s="468">
        <v>17758</v>
      </c>
      <c r="I93" s="468">
        <v>467</v>
      </c>
      <c r="J93" s="468">
        <v>0</v>
      </c>
      <c r="K93" s="468">
        <v>18299</v>
      </c>
      <c r="L93" s="463">
        <v>0</v>
      </c>
      <c r="M93" s="468">
        <f t="shared" si="1"/>
        <v>18299</v>
      </c>
    </row>
    <row r="94" spans="1:13" x14ac:dyDescent="0.2">
      <c r="A94" s="475"/>
      <c r="B94" s="464"/>
      <c r="C94" s="469" t="s">
        <v>569</v>
      </c>
      <c r="D94" s="466" t="s">
        <v>558</v>
      </c>
      <c r="E94" s="463">
        <v>16001</v>
      </c>
      <c r="F94" s="463">
        <v>74</v>
      </c>
      <c r="G94" s="463">
        <v>0</v>
      </c>
      <c r="H94" s="463">
        <v>15927</v>
      </c>
      <c r="I94" s="466"/>
      <c r="J94" s="466"/>
      <c r="K94" s="463">
        <v>16001</v>
      </c>
      <c r="L94" s="463">
        <v>0</v>
      </c>
      <c r="M94" s="463">
        <f t="shared" si="1"/>
        <v>16001</v>
      </c>
    </row>
    <row r="95" spans="1:13" x14ac:dyDescent="0.2">
      <c r="A95" s="475"/>
      <c r="B95" s="464"/>
      <c r="C95" s="469" t="s">
        <v>569</v>
      </c>
      <c r="D95" s="475" t="s">
        <v>568</v>
      </c>
      <c r="E95" s="472">
        <v>1831</v>
      </c>
      <c r="F95" s="472">
        <v>0</v>
      </c>
      <c r="G95" s="472">
        <v>0</v>
      </c>
      <c r="H95" s="472">
        <v>1831</v>
      </c>
      <c r="I95" s="483">
        <v>467</v>
      </c>
      <c r="J95" s="483">
        <v>0</v>
      </c>
      <c r="K95" s="463">
        <v>2298</v>
      </c>
      <c r="L95" s="463">
        <v>0</v>
      </c>
      <c r="M95" s="463">
        <f t="shared" si="1"/>
        <v>2298</v>
      </c>
    </row>
    <row r="96" spans="1:13" s="474" customFormat="1" x14ac:dyDescent="0.2">
      <c r="A96" s="482">
        <v>67</v>
      </c>
      <c r="B96" s="484" t="s">
        <v>66</v>
      </c>
      <c r="C96" s="470" t="s">
        <v>574</v>
      </c>
      <c r="D96" s="473" t="s">
        <v>568</v>
      </c>
      <c r="E96" s="468">
        <v>31443</v>
      </c>
      <c r="F96" s="468">
        <v>650</v>
      </c>
      <c r="G96" s="468">
        <v>0</v>
      </c>
      <c r="H96" s="468">
        <v>30793</v>
      </c>
      <c r="I96" s="468">
        <v>1219</v>
      </c>
      <c r="J96" s="468">
        <v>147</v>
      </c>
      <c r="K96" s="468">
        <v>32662</v>
      </c>
      <c r="L96" s="463">
        <v>840</v>
      </c>
      <c r="M96" s="468">
        <f t="shared" si="1"/>
        <v>33502</v>
      </c>
    </row>
    <row r="97" spans="1:13" x14ac:dyDescent="0.2">
      <c r="A97" s="475"/>
      <c r="B97" s="464"/>
      <c r="C97" s="469" t="s">
        <v>569</v>
      </c>
      <c r="D97" s="466" t="s">
        <v>558</v>
      </c>
      <c r="E97" s="463">
        <v>22730</v>
      </c>
      <c r="F97" s="463">
        <v>178</v>
      </c>
      <c r="G97" s="463">
        <v>0</v>
      </c>
      <c r="H97" s="463">
        <v>22552</v>
      </c>
      <c r="I97" s="466"/>
      <c r="J97" s="466"/>
      <c r="K97" s="463">
        <v>22730</v>
      </c>
      <c r="L97" s="463">
        <v>840</v>
      </c>
      <c r="M97" s="463">
        <f t="shared" si="1"/>
        <v>23570</v>
      </c>
    </row>
    <row r="98" spans="1:13" x14ac:dyDescent="0.2">
      <c r="A98" s="475"/>
      <c r="B98" s="464"/>
      <c r="C98" s="469" t="s">
        <v>569</v>
      </c>
      <c r="D98" s="475" t="s">
        <v>568</v>
      </c>
      <c r="E98" s="472">
        <v>8713</v>
      </c>
      <c r="F98" s="472">
        <v>472</v>
      </c>
      <c r="G98" s="472">
        <v>0</v>
      </c>
      <c r="H98" s="472">
        <v>8241</v>
      </c>
      <c r="I98" s="476">
        <v>1219</v>
      </c>
      <c r="J98" s="476">
        <v>147</v>
      </c>
      <c r="K98" s="463">
        <v>9932</v>
      </c>
      <c r="L98" s="463">
        <v>0</v>
      </c>
      <c r="M98" s="463">
        <f t="shared" si="1"/>
        <v>9932</v>
      </c>
    </row>
    <row r="99" spans="1:13" s="474" customFormat="1" x14ac:dyDescent="0.2">
      <c r="A99" s="482">
        <v>68</v>
      </c>
      <c r="B99" s="484" t="s">
        <v>169</v>
      </c>
      <c r="C99" s="470" t="s">
        <v>402</v>
      </c>
      <c r="D99" s="473" t="s">
        <v>568</v>
      </c>
      <c r="E99" s="468">
        <v>12052</v>
      </c>
      <c r="F99" s="468">
        <v>1033</v>
      </c>
      <c r="G99" s="468">
        <v>0</v>
      </c>
      <c r="H99" s="468">
        <v>11019</v>
      </c>
      <c r="I99" s="468">
        <v>369</v>
      </c>
      <c r="J99" s="468">
        <v>0</v>
      </c>
      <c r="K99" s="468">
        <v>12421</v>
      </c>
      <c r="L99" s="463">
        <v>686</v>
      </c>
      <c r="M99" s="468">
        <f t="shared" si="1"/>
        <v>13107</v>
      </c>
    </row>
    <row r="100" spans="1:13" x14ac:dyDescent="0.2">
      <c r="A100" s="475"/>
      <c r="B100" s="464"/>
      <c r="C100" s="469" t="s">
        <v>569</v>
      </c>
      <c r="D100" s="466" t="s">
        <v>560</v>
      </c>
      <c r="E100" s="463">
        <v>5953</v>
      </c>
      <c r="F100" s="463">
        <v>86</v>
      </c>
      <c r="G100" s="463">
        <v>0</v>
      </c>
      <c r="H100" s="463">
        <v>5867</v>
      </c>
      <c r="I100" s="466"/>
      <c r="J100" s="466"/>
      <c r="K100" s="463">
        <v>5953</v>
      </c>
      <c r="L100" s="463">
        <v>686</v>
      </c>
      <c r="M100" s="463">
        <f t="shared" si="1"/>
        <v>6639</v>
      </c>
    </row>
    <row r="101" spans="1:13" x14ac:dyDescent="0.2">
      <c r="A101" s="475"/>
      <c r="B101" s="464"/>
      <c r="C101" s="469" t="s">
        <v>569</v>
      </c>
      <c r="D101" s="475" t="s">
        <v>568</v>
      </c>
      <c r="E101" s="472">
        <v>6099</v>
      </c>
      <c r="F101" s="472">
        <v>947</v>
      </c>
      <c r="G101" s="472">
        <v>0</v>
      </c>
      <c r="H101" s="472">
        <v>5152</v>
      </c>
      <c r="I101" s="476">
        <v>369</v>
      </c>
      <c r="J101" s="476">
        <v>0</v>
      </c>
      <c r="K101" s="463">
        <v>6468</v>
      </c>
      <c r="L101" s="463">
        <v>0</v>
      </c>
      <c r="M101" s="463">
        <f t="shared" si="1"/>
        <v>6468</v>
      </c>
    </row>
    <row r="102" spans="1:13" s="474" customFormat="1" x14ac:dyDescent="0.2">
      <c r="A102" s="482">
        <v>69</v>
      </c>
      <c r="B102" s="70" t="s">
        <v>165</v>
      </c>
      <c r="C102" s="470" t="s">
        <v>575</v>
      </c>
      <c r="D102" s="473" t="s">
        <v>568</v>
      </c>
      <c r="E102" s="468">
        <v>22405</v>
      </c>
      <c r="F102" s="468">
        <v>2</v>
      </c>
      <c r="G102" s="468">
        <v>0</v>
      </c>
      <c r="H102" s="468">
        <v>22403</v>
      </c>
      <c r="I102" s="468">
        <v>1255</v>
      </c>
      <c r="J102" s="468">
        <v>0</v>
      </c>
      <c r="K102" s="468">
        <v>23660</v>
      </c>
      <c r="L102" s="463">
        <v>1047</v>
      </c>
      <c r="M102" s="468">
        <f t="shared" si="1"/>
        <v>24707</v>
      </c>
    </row>
    <row r="103" spans="1:13" x14ac:dyDescent="0.2">
      <c r="A103" s="475"/>
      <c r="B103" s="464"/>
      <c r="C103" s="469" t="s">
        <v>569</v>
      </c>
      <c r="D103" s="466" t="s">
        <v>560</v>
      </c>
      <c r="E103" s="463">
        <v>17571</v>
      </c>
      <c r="F103" s="463">
        <v>2</v>
      </c>
      <c r="G103" s="463">
        <v>0</v>
      </c>
      <c r="H103" s="463">
        <v>17569</v>
      </c>
      <c r="I103" s="466"/>
      <c r="J103" s="466"/>
      <c r="K103" s="463">
        <v>17571</v>
      </c>
      <c r="L103" s="463">
        <v>1047</v>
      </c>
      <c r="M103" s="463">
        <f t="shared" si="1"/>
        <v>18618</v>
      </c>
    </row>
    <row r="104" spans="1:13" x14ac:dyDescent="0.2">
      <c r="A104" s="475"/>
      <c r="B104" s="464"/>
      <c r="C104" s="469" t="s">
        <v>569</v>
      </c>
      <c r="D104" s="466" t="s">
        <v>568</v>
      </c>
      <c r="E104" s="463">
        <v>4834</v>
      </c>
      <c r="F104" s="463">
        <v>0</v>
      </c>
      <c r="G104" s="463">
        <v>0</v>
      </c>
      <c r="H104" s="463">
        <v>4834</v>
      </c>
      <c r="I104" s="483">
        <v>1255</v>
      </c>
      <c r="J104" s="483">
        <v>0</v>
      </c>
      <c r="K104" s="463">
        <v>6089</v>
      </c>
      <c r="L104" s="463">
        <v>0</v>
      </c>
      <c r="M104" s="463">
        <f t="shared" si="1"/>
        <v>6089</v>
      </c>
    </row>
    <row r="105" spans="1:13" s="474" customFormat="1" x14ac:dyDescent="0.2">
      <c r="A105" s="482">
        <v>70</v>
      </c>
      <c r="B105" s="484" t="s">
        <v>175</v>
      </c>
      <c r="C105" s="470" t="s">
        <v>742</v>
      </c>
      <c r="D105" s="473" t="s">
        <v>568</v>
      </c>
      <c r="E105" s="468">
        <v>10942</v>
      </c>
      <c r="F105" s="468">
        <v>0</v>
      </c>
      <c r="G105" s="468">
        <v>0</v>
      </c>
      <c r="H105" s="468">
        <v>10942</v>
      </c>
      <c r="I105" s="468">
        <v>120</v>
      </c>
      <c r="J105" s="468">
        <v>0</v>
      </c>
      <c r="K105" s="468">
        <v>11062</v>
      </c>
      <c r="L105" s="463">
        <v>0</v>
      </c>
      <c r="M105" s="468">
        <f t="shared" si="1"/>
        <v>11062</v>
      </c>
    </row>
    <row r="106" spans="1:13" x14ac:dyDescent="0.2">
      <c r="A106" s="475"/>
      <c r="B106" s="464"/>
      <c r="C106" s="469" t="s">
        <v>569</v>
      </c>
      <c r="D106" s="466" t="s">
        <v>558</v>
      </c>
      <c r="E106" s="463">
        <v>4108</v>
      </c>
      <c r="F106" s="463">
        <v>0</v>
      </c>
      <c r="G106" s="463">
        <v>0</v>
      </c>
      <c r="H106" s="463">
        <v>4108</v>
      </c>
      <c r="I106" s="466"/>
      <c r="J106" s="466"/>
      <c r="K106" s="463">
        <v>4108</v>
      </c>
      <c r="L106" s="463">
        <v>0</v>
      </c>
      <c r="M106" s="463">
        <f t="shared" si="1"/>
        <v>4108</v>
      </c>
    </row>
    <row r="107" spans="1:13" ht="15.75" customHeight="1" x14ac:dyDescent="0.2">
      <c r="A107" s="475"/>
      <c r="B107" s="464"/>
      <c r="C107" s="469" t="s">
        <v>569</v>
      </c>
      <c r="D107" s="475" t="s">
        <v>568</v>
      </c>
      <c r="E107" s="472">
        <v>6834</v>
      </c>
      <c r="F107" s="472">
        <v>0</v>
      </c>
      <c r="G107" s="472">
        <v>0</v>
      </c>
      <c r="H107" s="472">
        <v>6834</v>
      </c>
      <c r="I107" s="472">
        <v>120</v>
      </c>
      <c r="J107" s="472">
        <v>0</v>
      </c>
      <c r="K107" s="485">
        <v>6954</v>
      </c>
      <c r="L107" s="463">
        <v>0</v>
      </c>
      <c r="M107" s="463">
        <f t="shared" si="1"/>
        <v>6954</v>
      </c>
    </row>
    <row r="108" spans="1:13" s="474" customFormat="1" x14ac:dyDescent="0.2">
      <c r="A108" s="482">
        <v>71</v>
      </c>
      <c r="B108" s="69" t="s">
        <v>58</v>
      </c>
      <c r="C108" s="470" t="s">
        <v>576</v>
      </c>
      <c r="D108" s="473" t="s">
        <v>568</v>
      </c>
      <c r="E108" s="468">
        <v>10938</v>
      </c>
      <c r="F108" s="468">
        <v>10</v>
      </c>
      <c r="G108" s="468">
        <v>287</v>
      </c>
      <c r="H108" s="468">
        <v>10641</v>
      </c>
      <c r="I108" s="468">
        <v>136</v>
      </c>
      <c r="J108" s="468">
        <v>0</v>
      </c>
      <c r="K108" s="468">
        <v>11074</v>
      </c>
      <c r="L108" s="463">
        <v>220</v>
      </c>
      <c r="M108" s="468">
        <f t="shared" si="1"/>
        <v>11294</v>
      </c>
    </row>
    <row r="109" spans="1:13" x14ac:dyDescent="0.2">
      <c r="A109" s="475"/>
      <c r="B109" s="464"/>
      <c r="C109" s="469" t="s">
        <v>569</v>
      </c>
      <c r="D109" s="466" t="s">
        <v>560</v>
      </c>
      <c r="E109" s="463">
        <v>9645</v>
      </c>
      <c r="F109" s="463">
        <v>10</v>
      </c>
      <c r="G109" s="463">
        <v>287</v>
      </c>
      <c r="H109" s="463">
        <v>9348</v>
      </c>
      <c r="I109" s="466"/>
      <c r="J109" s="466"/>
      <c r="K109" s="463">
        <v>9645</v>
      </c>
      <c r="L109" s="463">
        <v>220</v>
      </c>
      <c r="M109" s="463">
        <f t="shared" si="1"/>
        <v>9865</v>
      </c>
    </row>
    <row r="110" spans="1:13" x14ac:dyDescent="0.2">
      <c r="A110" s="475"/>
      <c r="B110" s="464"/>
      <c r="C110" s="469" t="s">
        <v>569</v>
      </c>
      <c r="D110" s="475" t="s">
        <v>568</v>
      </c>
      <c r="E110" s="472">
        <v>1293</v>
      </c>
      <c r="F110" s="472">
        <v>0</v>
      </c>
      <c r="G110" s="472">
        <v>0</v>
      </c>
      <c r="H110" s="472">
        <v>1293</v>
      </c>
      <c r="I110" s="476">
        <v>136</v>
      </c>
      <c r="J110" s="476">
        <v>0</v>
      </c>
      <c r="K110" s="476">
        <v>1429</v>
      </c>
      <c r="L110" s="463">
        <v>0</v>
      </c>
      <c r="M110" s="463">
        <f t="shared" si="1"/>
        <v>1429</v>
      </c>
    </row>
    <row r="111" spans="1:13" s="474" customFormat="1" x14ac:dyDescent="0.2">
      <c r="A111" s="482">
        <v>72</v>
      </c>
      <c r="B111" s="70" t="s">
        <v>260</v>
      </c>
      <c r="C111" s="470" t="s">
        <v>577</v>
      </c>
      <c r="D111" s="473" t="s">
        <v>578</v>
      </c>
      <c r="E111" s="468">
        <v>25523</v>
      </c>
      <c r="F111" s="468">
        <v>24442</v>
      </c>
      <c r="G111" s="468">
        <v>0</v>
      </c>
      <c r="H111" s="468">
        <v>1081</v>
      </c>
      <c r="I111" s="468">
        <v>1688</v>
      </c>
      <c r="J111" s="468">
        <v>1688</v>
      </c>
      <c r="K111" s="468">
        <v>27211</v>
      </c>
      <c r="L111" s="463">
        <v>30</v>
      </c>
      <c r="M111" s="468">
        <f t="shared" si="1"/>
        <v>27241</v>
      </c>
    </row>
    <row r="112" spans="1:13" x14ac:dyDescent="0.2">
      <c r="A112" s="475"/>
      <c r="B112" s="464"/>
      <c r="C112" s="469" t="s">
        <v>569</v>
      </c>
      <c r="D112" s="466" t="s">
        <v>558</v>
      </c>
      <c r="E112" s="463">
        <v>7218</v>
      </c>
      <c r="F112" s="463">
        <v>7025</v>
      </c>
      <c r="G112" s="463">
        <v>0</v>
      </c>
      <c r="H112" s="463">
        <v>193</v>
      </c>
      <c r="I112" s="466"/>
      <c r="J112" s="466"/>
      <c r="K112" s="463">
        <v>7218</v>
      </c>
      <c r="L112" s="463">
        <v>30</v>
      </c>
      <c r="M112" s="463">
        <f t="shared" si="1"/>
        <v>7248</v>
      </c>
    </row>
    <row r="113" spans="1:13" x14ac:dyDescent="0.2">
      <c r="A113" s="475"/>
      <c r="B113" s="464"/>
      <c r="C113" s="469" t="s">
        <v>569</v>
      </c>
      <c r="D113" s="475" t="s">
        <v>578</v>
      </c>
      <c r="E113" s="472">
        <v>18305</v>
      </c>
      <c r="F113" s="472">
        <v>17417</v>
      </c>
      <c r="G113" s="472">
        <v>0</v>
      </c>
      <c r="H113" s="472">
        <v>888</v>
      </c>
      <c r="I113" s="463">
        <v>1688</v>
      </c>
      <c r="J113" s="463">
        <v>1688</v>
      </c>
      <c r="K113" s="463">
        <v>19993</v>
      </c>
      <c r="L113" s="463">
        <v>0</v>
      </c>
      <c r="M113" s="463">
        <f t="shared" si="1"/>
        <v>19993</v>
      </c>
    </row>
    <row r="114" spans="1:13" s="474" customFormat="1" x14ac:dyDescent="0.2">
      <c r="A114" s="482">
        <v>73</v>
      </c>
      <c r="B114" s="70" t="s">
        <v>262</v>
      </c>
      <c r="C114" s="470" t="s">
        <v>579</v>
      </c>
      <c r="D114" s="473" t="s">
        <v>578</v>
      </c>
      <c r="E114" s="468">
        <v>7712</v>
      </c>
      <c r="F114" s="468">
        <v>0</v>
      </c>
      <c r="G114" s="468">
        <v>0</v>
      </c>
      <c r="H114" s="468">
        <v>7712</v>
      </c>
      <c r="I114" s="468">
        <v>3806</v>
      </c>
      <c r="J114" s="468">
        <v>0</v>
      </c>
      <c r="K114" s="468">
        <v>11518</v>
      </c>
      <c r="L114" s="463">
        <v>844</v>
      </c>
      <c r="M114" s="468">
        <f t="shared" si="1"/>
        <v>12362</v>
      </c>
    </row>
    <row r="115" spans="1:13" x14ac:dyDescent="0.2">
      <c r="A115" s="475"/>
      <c r="B115" s="464"/>
      <c r="C115" s="469" t="s">
        <v>569</v>
      </c>
      <c r="D115" s="466" t="s">
        <v>558</v>
      </c>
      <c r="E115" s="463">
        <v>143</v>
      </c>
      <c r="F115" s="463">
        <v>0</v>
      </c>
      <c r="G115" s="463">
        <v>0</v>
      </c>
      <c r="H115" s="463">
        <v>143</v>
      </c>
      <c r="I115" s="466"/>
      <c r="J115" s="466"/>
      <c r="K115" s="463">
        <v>143</v>
      </c>
      <c r="L115" s="463">
        <v>844</v>
      </c>
      <c r="M115" s="463">
        <f t="shared" si="1"/>
        <v>987</v>
      </c>
    </row>
    <row r="116" spans="1:13" x14ac:dyDescent="0.2">
      <c r="A116" s="475"/>
      <c r="B116" s="464"/>
      <c r="C116" s="469" t="s">
        <v>569</v>
      </c>
      <c r="D116" s="471" t="s">
        <v>578</v>
      </c>
      <c r="E116" s="472">
        <v>7569</v>
      </c>
      <c r="F116" s="472">
        <v>0</v>
      </c>
      <c r="G116" s="472">
        <v>0</v>
      </c>
      <c r="H116" s="472">
        <v>7569</v>
      </c>
      <c r="I116" s="463">
        <v>3806</v>
      </c>
      <c r="J116" s="463">
        <v>0</v>
      </c>
      <c r="K116" s="463">
        <v>11375</v>
      </c>
      <c r="L116" s="463">
        <v>0</v>
      </c>
      <c r="M116" s="463">
        <f t="shared" si="1"/>
        <v>11375</v>
      </c>
    </row>
    <row r="117" spans="1:13" s="474" customFormat="1" x14ac:dyDescent="0.2">
      <c r="A117" s="482">
        <v>74</v>
      </c>
      <c r="B117" s="484" t="s">
        <v>266</v>
      </c>
      <c r="C117" s="470" t="s">
        <v>267</v>
      </c>
      <c r="D117" s="473" t="s">
        <v>580</v>
      </c>
      <c r="E117" s="468">
        <v>6541</v>
      </c>
      <c r="F117" s="468">
        <v>0</v>
      </c>
      <c r="G117" s="468">
        <v>0</v>
      </c>
      <c r="H117" s="468">
        <v>6541</v>
      </c>
      <c r="I117" s="468">
        <v>49</v>
      </c>
      <c r="J117" s="468">
        <v>0</v>
      </c>
      <c r="K117" s="468">
        <v>6590</v>
      </c>
      <c r="L117" s="463">
        <v>0</v>
      </c>
      <c r="M117" s="468">
        <f t="shared" si="1"/>
        <v>6590</v>
      </c>
    </row>
    <row r="118" spans="1:13" x14ac:dyDescent="0.2">
      <c r="A118" s="475"/>
      <c r="B118" s="464"/>
      <c r="C118" s="469" t="s">
        <v>569</v>
      </c>
      <c r="D118" s="466" t="s">
        <v>558</v>
      </c>
      <c r="E118" s="463">
        <v>3206</v>
      </c>
      <c r="F118" s="463">
        <v>0</v>
      </c>
      <c r="G118" s="463">
        <v>0</v>
      </c>
      <c r="H118" s="463">
        <v>3206</v>
      </c>
      <c r="I118" s="466"/>
      <c r="J118" s="466"/>
      <c r="K118" s="463">
        <v>3206</v>
      </c>
      <c r="L118" s="463">
        <v>0</v>
      </c>
      <c r="M118" s="463">
        <f t="shared" si="1"/>
        <v>3206</v>
      </c>
    </row>
    <row r="119" spans="1:13" x14ac:dyDescent="0.2">
      <c r="A119" s="475"/>
      <c r="B119" s="464"/>
      <c r="C119" s="469" t="s">
        <v>569</v>
      </c>
      <c r="D119" s="471" t="s">
        <v>578</v>
      </c>
      <c r="E119" s="472">
        <v>3335</v>
      </c>
      <c r="F119" s="472">
        <v>0</v>
      </c>
      <c r="G119" s="472">
        <v>0</v>
      </c>
      <c r="H119" s="472">
        <v>3335</v>
      </c>
      <c r="I119" s="463">
        <v>49</v>
      </c>
      <c r="J119" s="463">
        <v>0</v>
      </c>
      <c r="K119" s="463">
        <v>3384</v>
      </c>
      <c r="L119" s="463">
        <v>0</v>
      </c>
      <c r="M119" s="463">
        <f t="shared" si="1"/>
        <v>3384</v>
      </c>
    </row>
    <row r="120" spans="1:13" s="474" customFormat="1" x14ac:dyDescent="0.2">
      <c r="A120" s="482">
        <v>75</v>
      </c>
      <c r="B120" s="484" t="s">
        <v>268</v>
      </c>
      <c r="C120" s="470" t="s">
        <v>581</v>
      </c>
      <c r="D120" s="473" t="s">
        <v>578</v>
      </c>
      <c r="E120" s="468">
        <v>22516</v>
      </c>
      <c r="F120" s="468">
        <v>0</v>
      </c>
      <c r="G120" s="468">
        <v>0</v>
      </c>
      <c r="H120" s="468">
        <v>22516</v>
      </c>
      <c r="I120" s="468">
        <v>871</v>
      </c>
      <c r="J120" s="468">
        <v>0</v>
      </c>
      <c r="K120" s="468">
        <v>23387</v>
      </c>
      <c r="L120" s="463">
        <v>0</v>
      </c>
      <c r="M120" s="468">
        <f t="shared" si="1"/>
        <v>23387</v>
      </c>
    </row>
    <row r="121" spans="1:13" ht="15" customHeight="1" x14ac:dyDescent="0.2">
      <c r="A121" s="475"/>
      <c r="B121" s="464"/>
      <c r="C121" s="469" t="s">
        <v>569</v>
      </c>
      <c r="D121" s="466" t="s">
        <v>558</v>
      </c>
      <c r="E121" s="463">
        <v>9806</v>
      </c>
      <c r="F121" s="463">
        <v>0</v>
      </c>
      <c r="G121" s="463">
        <v>0</v>
      </c>
      <c r="H121" s="463">
        <v>9806</v>
      </c>
      <c r="I121" s="466"/>
      <c r="J121" s="466"/>
      <c r="K121" s="463">
        <v>9806</v>
      </c>
      <c r="L121" s="463">
        <v>0</v>
      </c>
      <c r="M121" s="463">
        <f t="shared" si="1"/>
        <v>9806</v>
      </c>
    </row>
    <row r="122" spans="1:13" ht="15" customHeight="1" x14ac:dyDescent="0.2">
      <c r="A122" s="475"/>
      <c r="B122" s="464"/>
      <c r="C122" s="469" t="s">
        <v>569</v>
      </c>
      <c r="D122" s="475" t="s">
        <v>578</v>
      </c>
      <c r="E122" s="472">
        <v>12710</v>
      </c>
      <c r="F122" s="472">
        <v>0</v>
      </c>
      <c r="G122" s="472">
        <v>0</v>
      </c>
      <c r="H122" s="472">
        <v>12710</v>
      </c>
      <c r="I122" s="476">
        <v>871</v>
      </c>
      <c r="J122" s="476">
        <v>0</v>
      </c>
      <c r="K122" s="463">
        <v>13581</v>
      </c>
      <c r="L122" s="463">
        <v>0</v>
      </c>
      <c r="M122" s="463">
        <f t="shared" si="1"/>
        <v>13581</v>
      </c>
    </row>
    <row r="123" spans="1:13" s="474" customFormat="1" x14ac:dyDescent="0.2">
      <c r="A123" s="482">
        <v>76</v>
      </c>
      <c r="B123" s="484" t="s">
        <v>276</v>
      </c>
      <c r="C123" s="470" t="s">
        <v>582</v>
      </c>
      <c r="D123" s="473" t="s">
        <v>578</v>
      </c>
      <c r="E123" s="468">
        <v>21752</v>
      </c>
      <c r="F123" s="468">
        <v>40</v>
      </c>
      <c r="G123" s="468">
        <v>0</v>
      </c>
      <c r="H123" s="468">
        <v>21712</v>
      </c>
      <c r="I123" s="468">
        <v>1118</v>
      </c>
      <c r="J123" s="468">
        <v>0</v>
      </c>
      <c r="K123" s="468">
        <v>22870</v>
      </c>
      <c r="L123" s="463">
        <v>1474</v>
      </c>
      <c r="M123" s="468">
        <f t="shared" si="1"/>
        <v>24344</v>
      </c>
    </row>
    <row r="124" spans="1:13" x14ac:dyDescent="0.2">
      <c r="A124" s="475"/>
      <c r="B124" s="464"/>
      <c r="C124" s="469" t="s">
        <v>569</v>
      </c>
      <c r="D124" s="466" t="s">
        <v>558</v>
      </c>
      <c r="E124" s="463">
        <v>11779</v>
      </c>
      <c r="F124" s="463">
        <v>35</v>
      </c>
      <c r="G124" s="463">
        <v>0</v>
      </c>
      <c r="H124" s="463">
        <v>11744</v>
      </c>
      <c r="I124" s="466"/>
      <c r="J124" s="466"/>
      <c r="K124" s="463">
        <v>11779</v>
      </c>
      <c r="L124" s="463">
        <v>1474</v>
      </c>
      <c r="M124" s="463">
        <f t="shared" si="1"/>
        <v>13253</v>
      </c>
    </row>
    <row r="125" spans="1:13" ht="15.75" customHeight="1" x14ac:dyDescent="0.2">
      <c r="A125" s="475"/>
      <c r="B125" s="464"/>
      <c r="C125" s="469" t="s">
        <v>569</v>
      </c>
      <c r="D125" s="471" t="s">
        <v>578</v>
      </c>
      <c r="E125" s="472">
        <v>9973</v>
      </c>
      <c r="F125" s="472">
        <v>5</v>
      </c>
      <c r="G125" s="472">
        <v>0</v>
      </c>
      <c r="H125" s="472">
        <v>9968</v>
      </c>
      <c r="I125" s="476">
        <v>1118</v>
      </c>
      <c r="J125" s="476">
        <v>0</v>
      </c>
      <c r="K125" s="463">
        <v>11091</v>
      </c>
      <c r="L125" s="463">
        <v>0</v>
      </c>
      <c r="M125" s="463">
        <f t="shared" si="1"/>
        <v>11091</v>
      </c>
    </row>
    <row r="126" spans="1:13" s="474" customFormat="1" x14ac:dyDescent="0.2">
      <c r="A126" s="482">
        <v>77</v>
      </c>
      <c r="B126" s="484" t="s">
        <v>171</v>
      </c>
      <c r="C126" s="470" t="s">
        <v>583</v>
      </c>
      <c r="D126" s="473" t="s">
        <v>578</v>
      </c>
      <c r="E126" s="468">
        <v>10965</v>
      </c>
      <c r="F126" s="468">
        <v>0</v>
      </c>
      <c r="G126" s="468">
        <v>0</v>
      </c>
      <c r="H126" s="468">
        <v>10965</v>
      </c>
      <c r="I126" s="468">
        <v>401</v>
      </c>
      <c r="J126" s="468">
        <v>0</v>
      </c>
      <c r="K126" s="468">
        <v>11366</v>
      </c>
      <c r="L126" s="463">
        <v>3932</v>
      </c>
      <c r="M126" s="468">
        <f t="shared" si="1"/>
        <v>15298</v>
      </c>
    </row>
    <row r="127" spans="1:13" x14ac:dyDescent="0.2">
      <c r="A127" s="475"/>
      <c r="B127" s="464"/>
      <c r="C127" s="469" t="s">
        <v>569</v>
      </c>
      <c r="D127" s="466" t="s">
        <v>558</v>
      </c>
      <c r="E127" s="463">
        <v>1769</v>
      </c>
      <c r="F127" s="463">
        <v>0</v>
      </c>
      <c r="G127" s="463">
        <v>0</v>
      </c>
      <c r="H127" s="463">
        <v>1769</v>
      </c>
      <c r="I127" s="466"/>
      <c r="J127" s="466"/>
      <c r="K127" s="463">
        <v>1769</v>
      </c>
      <c r="L127" s="463">
        <v>3932</v>
      </c>
      <c r="M127" s="463">
        <f t="shared" si="1"/>
        <v>5701</v>
      </c>
    </row>
    <row r="128" spans="1:13" x14ac:dyDescent="0.2">
      <c r="A128" s="475"/>
      <c r="B128" s="464"/>
      <c r="C128" s="469" t="s">
        <v>569</v>
      </c>
      <c r="D128" s="475" t="s">
        <v>578</v>
      </c>
      <c r="E128" s="472">
        <v>9196</v>
      </c>
      <c r="F128" s="472">
        <v>0</v>
      </c>
      <c r="G128" s="472">
        <v>0</v>
      </c>
      <c r="H128" s="472">
        <v>9196</v>
      </c>
      <c r="I128" s="476">
        <v>401</v>
      </c>
      <c r="J128" s="476">
        <v>0</v>
      </c>
      <c r="K128" s="463">
        <v>9597</v>
      </c>
      <c r="L128" s="463">
        <v>0</v>
      </c>
      <c r="M128" s="463">
        <f t="shared" si="1"/>
        <v>9597</v>
      </c>
    </row>
    <row r="129" spans="1:13" s="474" customFormat="1" x14ac:dyDescent="0.2">
      <c r="A129" s="482">
        <v>78</v>
      </c>
      <c r="B129" s="484" t="s">
        <v>173</v>
      </c>
      <c r="C129" s="470" t="s">
        <v>506</v>
      </c>
      <c r="D129" s="473" t="s">
        <v>578</v>
      </c>
      <c r="E129" s="468">
        <v>10795</v>
      </c>
      <c r="F129" s="468">
        <v>5</v>
      </c>
      <c r="G129" s="468">
        <v>284</v>
      </c>
      <c r="H129" s="468">
        <v>10506</v>
      </c>
      <c r="I129" s="468">
        <v>786</v>
      </c>
      <c r="J129" s="468">
        <v>0</v>
      </c>
      <c r="K129" s="468">
        <v>11581</v>
      </c>
      <c r="L129" s="463">
        <v>1397</v>
      </c>
      <c r="M129" s="468">
        <f t="shared" si="1"/>
        <v>12978</v>
      </c>
    </row>
    <row r="130" spans="1:13" x14ac:dyDescent="0.2">
      <c r="A130" s="475"/>
      <c r="B130" s="464"/>
      <c r="C130" s="469" t="s">
        <v>569</v>
      </c>
      <c r="D130" s="466" t="s">
        <v>558</v>
      </c>
      <c r="E130" s="463">
        <v>3792</v>
      </c>
      <c r="F130" s="463">
        <v>5</v>
      </c>
      <c r="G130" s="463">
        <v>284</v>
      </c>
      <c r="H130" s="463">
        <v>3503</v>
      </c>
      <c r="I130" s="463"/>
      <c r="J130" s="463"/>
      <c r="K130" s="463">
        <v>3792</v>
      </c>
      <c r="L130" s="463">
        <v>1397</v>
      </c>
      <c r="M130" s="463">
        <f t="shared" si="1"/>
        <v>5189</v>
      </c>
    </row>
    <row r="131" spans="1:13" x14ac:dyDescent="0.2">
      <c r="A131" s="475"/>
      <c r="B131" s="464"/>
      <c r="C131" s="469" t="s">
        <v>569</v>
      </c>
      <c r="D131" s="466" t="s">
        <v>578</v>
      </c>
      <c r="E131" s="463">
        <v>7003</v>
      </c>
      <c r="F131" s="463">
        <v>0</v>
      </c>
      <c r="G131" s="463">
        <v>0</v>
      </c>
      <c r="H131" s="463">
        <v>7003</v>
      </c>
      <c r="I131" s="463">
        <v>786</v>
      </c>
      <c r="J131" s="463">
        <v>0</v>
      </c>
      <c r="K131" s="463">
        <v>7789</v>
      </c>
      <c r="L131" s="463">
        <v>0</v>
      </c>
      <c r="M131" s="463">
        <f t="shared" si="1"/>
        <v>7789</v>
      </c>
    </row>
    <row r="132" spans="1:13" s="474" customFormat="1" x14ac:dyDescent="0.2">
      <c r="A132" s="482">
        <v>79</v>
      </c>
      <c r="B132" s="69" t="s">
        <v>278</v>
      </c>
      <c r="C132" s="470" t="s">
        <v>584</v>
      </c>
      <c r="D132" s="473" t="s">
        <v>578</v>
      </c>
      <c r="E132" s="468">
        <v>19742</v>
      </c>
      <c r="F132" s="468">
        <v>123</v>
      </c>
      <c r="G132" s="468">
        <v>0</v>
      </c>
      <c r="H132" s="468">
        <v>19619</v>
      </c>
      <c r="I132" s="468">
        <v>1188</v>
      </c>
      <c r="J132" s="468">
        <v>0</v>
      </c>
      <c r="K132" s="468">
        <v>20930</v>
      </c>
      <c r="L132" s="463">
        <v>1010</v>
      </c>
      <c r="M132" s="468">
        <f t="shared" si="1"/>
        <v>21940</v>
      </c>
    </row>
    <row r="133" spans="1:13" x14ac:dyDescent="0.2">
      <c r="A133" s="475"/>
      <c r="B133" s="464"/>
      <c r="C133" s="469" t="s">
        <v>569</v>
      </c>
      <c r="D133" s="466" t="s">
        <v>558</v>
      </c>
      <c r="E133" s="463">
        <v>3827</v>
      </c>
      <c r="F133" s="463">
        <v>24</v>
      </c>
      <c r="G133" s="463">
        <v>0</v>
      </c>
      <c r="H133" s="463">
        <v>3803</v>
      </c>
      <c r="I133" s="463"/>
      <c r="J133" s="463"/>
      <c r="K133" s="463">
        <v>3827</v>
      </c>
      <c r="L133" s="463">
        <v>1010</v>
      </c>
      <c r="M133" s="463">
        <f t="shared" si="1"/>
        <v>4837</v>
      </c>
    </row>
    <row r="134" spans="1:13" x14ac:dyDescent="0.2">
      <c r="A134" s="475"/>
      <c r="B134" s="464"/>
      <c r="C134" s="469" t="s">
        <v>569</v>
      </c>
      <c r="D134" s="463" t="s">
        <v>578</v>
      </c>
      <c r="E134" s="463">
        <v>15915</v>
      </c>
      <c r="F134" s="463">
        <v>99</v>
      </c>
      <c r="G134" s="463">
        <v>0</v>
      </c>
      <c r="H134" s="463">
        <v>15816</v>
      </c>
      <c r="I134" s="463">
        <v>1188</v>
      </c>
      <c r="J134" s="463">
        <v>0</v>
      </c>
      <c r="K134" s="463">
        <v>17103</v>
      </c>
      <c r="L134" s="463">
        <v>0</v>
      </c>
      <c r="M134" s="463">
        <f t="shared" si="1"/>
        <v>17103</v>
      </c>
    </row>
    <row r="135" spans="1:13" s="474" customFormat="1" x14ac:dyDescent="0.2">
      <c r="A135" s="482">
        <v>80</v>
      </c>
      <c r="B135" s="70" t="s">
        <v>258</v>
      </c>
      <c r="C135" s="470" t="s">
        <v>259</v>
      </c>
      <c r="D135" s="473" t="s">
        <v>585</v>
      </c>
      <c r="E135" s="468">
        <v>24461</v>
      </c>
      <c r="F135" s="468">
        <v>2083</v>
      </c>
      <c r="G135" s="468">
        <v>0</v>
      </c>
      <c r="H135" s="468">
        <v>22378</v>
      </c>
      <c r="I135" s="468">
        <v>2904</v>
      </c>
      <c r="J135" s="468">
        <v>250</v>
      </c>
      <c r="K135" s="468">
        <v>27365</v>
      </c>
      <c r="L135" s="463">
        <v>1291</v>
      </c>
      <c r="M135" s="468">
        <f t="shared" si="1"/>
        <v>28656</v>
      </c>
    </row>
    <row r="136" spans="1:13" x14ac:dyDescent="0.2">
      <c r="A136" s="475"/>
      <c r="B136" s="486"/>
      <c r="C136" s="469" t="s">
        <v>569</v>
      </c>
      <c r="D136" s="466" t="s">
        <v>558</v>
      </c>
      <c r="E136" s="463">
        <v>5145</v>
      </c>
      <c r="F136" s="463">
        <v>1</v>
      </c>
      <c r="G136" s="463">
        <v>0</v>
      </c>
      <c r="H136" s="463">
        <v>5144</v>
      </c>
      <c r="I136" s="466"/>
      <c r="J136" s="466"/>
      <c r="K136" s="463">
        <v>5145</v>
      </c>
      <c r="L136" s="463">
        <v>1291</v>
      </c>
      <c r="M136" s="463">
        <f t="shared" si="1"/>
        <v>6436</v>
      </c>
    </row>
    <row r="137" spans="1:13" ht="15" customHeight="1" x14ac:dyDescent="0.2">
      <c r="A137" s="475"/>
      <c r="B137" s="486"/>
      <c r="C137" s="469" t="s">
        <v>569</v>
      </c>
      <c r="D137" s="463" t="s">
        <v>585</v>
      </c>
      <c r="E137" s="463">
        <v>19316</v>
      </c>
      <c r="F137" s="463">
        <v>2082</v>
      </c>
      <c r="G137" s="463">
        <v>0</v>
      </c>
      <c r="H137" s="463">
        <v>17234</v>
      </c>
      <c r="I137" s="463">
        <v>2904</v>
      </c>
      <c r="J137" s="463">
        <v>250</v>
      </c>
      <c r="K137" s="463">
        <v>22220</v>
      </c>
      <c r="L137" s="463">
        <v>0</v>
      </c>
      <c r="M137" s="463">
        <f t="shared" si="1"/>
        <v>22220</v>
      </c>
    </row>
    <row r="138" spans="1:13" s="474" customFormat="1" ht="19.5" customHeight="1" x14ac:dyDescent="0.2">
      <c r="A138" s="482">
        <v>81</v>
      </c>
      <c r="B138" s="484" t="s">
        <v>264</v>
      </c>
      <c r="C138" s="470" t="s">
        <v>265</v>
      </c>
      <c r="D138" s="473" t="s">
        <v>585</v>
      </c>
      <c r="E138" s="468">
        <v>18241</v>
      </c>
      <c r="F138" s="468">
        <v>917</v>
      </c>
      <c r="G138" s="468">
        <v>0</v>
      </c>
      <c r="H138" s="468">
        <v>17324</v>
      </c>
      <c r="I138" s="468">
        <v>1103</v>
      </c>
      <c r="J138" s="468">
        <v>101</v>
      </c>
      <c r="K138" s="468">
        <v>19344</v>
      </c>
      <c r="L138" s="463">
        <v>768</v>
      </c>
      <c r="M138" s="468">
        <f t="shared" si="1"/>
        <v>20112</v>
      </c>
    </row>
    <row r="139" spans="1:13" x14ac:dyDescent="0.2">
      <c r="A139" s="475"/>
      <c r="B139" s="464"/>
      <c r="C139" s="469" t="s">
        <v>569</v>
      </c>
      <c r="D139" s="466" t="s">
        <v>558</v>
      </c>
      <c r="E139" s="463">
        <v>1830</v>
      </c>
      <c r="F139" s="463">
        <v>0</v>
      </c>
      <c r="G139" s="463">
        <v>0</v>
      </c>
      <c r="H139" s="463">
        <v>1830</v>
      </c>
      <c r="I139" s="466"/>
      <c r="J139" s="466"/>
      <c r="K139" s="463">
        <v>1830</v>
      </c>
      <c r="L139" s="463">
        <v>768</v>
      </c>
      <c r="M139" s="463">
        <f t="shared" ref="M139:M143" si="2">K139+L139</f>
        <v>2598</v>
      </c>
    </row>
    <row r="140" spans="1:13" x14ac:dyDescent="0.2">
      <c r="A140" s="475"/>
      <c r="B140" s="464"/>
      <c r="C140" s="469" t="s">
        <v>569</v>
      </c>
      <c r="D140" s="466" t="s">
        <v>585</v>
      </c>
      <c r="E140" s="472">
        <v>16411</v>
      </c>
      <c r="F140" s="472">
        <v>917</v>
      </c>
      <c r="G140" s="472">
        <v>0</v>
      </c>
      <c r="H140" s="472">
        <v>15494</v>
      </c>
      <c r="I140" s="463">
        <v>1103</v>
      </c>
      <c r="J140" s="463">
        <v>101</v>
      </c>
      <c r="K140" s="463">
        <v>17514</v>
      </c>
      <c r="L140" s="463">
        <v>0</v>
      </c>
      <c r="M140" s="463">
        <f t="shared" si="2"/>
        <v>17514</v>
      </c>
    </row>
    <row r="141" spans="1:13" s="474" customFormat="1" x14ac:dyDescent="0.2">
      <c r="A141" s="482">
        <v>82</v>
      </c>
      <c r="B141" s="69" t="s">
        <v>237</v>
      </c>
      <c r="C141" s="470" t="s">
        <v>586</v>
      </c>
      <c r="D141" s="473" t="s">
        <v>585</v>
      </c>
      <c r="E141" s="468">
        <v>1108</v>
      </c>
      <c r="F141" s="468">
        <v>1000</v>
      </c>
      <c r="G141" s="468">
        <v>0</v>
      </c>
      <c r="H141" s="468">
        <v>108</v>
      </c>
      <c r="I141" s="468">
        <v>313</v>
      </c>
      <c r="J141" s="468">
        <v>0</v>
      </c>
      <c r="K141" s="468">
        <v>1421</v>
      </c>
      <c r="L141" s="463">
        <v>0</v>
      </c>
      <c r="M141" s="468">
        <f t="shared" si="2"/>
        <v>1421</v>
      </c>
    </row>
    <row r="142" spans="1:13" s="474" customFormat="1" x14ac:dyDescent="0.2">
      <c r="A142" s="482">
        <v>83</v>
      </c>
      <c r="B142" s="70" t="s">
        <v>274</v>
      </c>
      <c r="C142" s="470" t="s">
        <v>275</v>
      </c>
      <c r="D142" s="473" t="s">
        <v>585</v>
      </c>
      <c r="E142" s="468">
        <v>4477</v>
      </c>
      <c r="F142" s="468">
        <v>0</v>
      </c>
      <c r="G142" s="468">
        <v>0</v>
      </c>
      <c r="H142" s="468">
        <v>4477</v>
      </c>
      <c r="I142" s="468">
        <v>260</v>
      </c>
      <c r="J142" s="468">
        <v>0</v>
      </c>
      <c r="K142" s="468">
        <v>4737</v>
      </c>
      <c r="L142" s="463">
        <v>2082</v>
      </c>
      <c r="M142" s="468">
        <f t="shared" si="2"/>
        <v>6819</v>
      </c>
    </row>
    <row r="143" spans="1:13" s="474" customFormat="1" x14ac:dyDescent="0.2">
      <c r="A143" s="482">
        <v>84</v>
      </c>
      <c r="B143" s="487" t="s">
        <v>178</v>
      </c>
      <c r="C143" s="470" t="s">
        <v>324</v>
      </c>
      <c r="D143" s="473" t="s">
        <v>585</v>
      </c>
      <c r="E143" s="468">
        <v>7167</v>
      </c>
      <c r="F143" s="468">
        <v>0</v>
      </c>
      <c r="G143" s="468">
        <v>0</v>
      </c>
      <c r="H143" s="468">
        <v>7167</v>
      </c>
      <c r="I143" s="468">
        <v>90</v>
      </c>
      <c r="J143" s="468">
        <v>0</v>
      </c>
      <c r="K143" s="468">
        <v>7257</v>
      </c>
      <c r="L143" s="463">
        <v>0</v>
      </c>
      <c r="M143" s="468">
        <f t="shared" si="2"/>
        <v>7257</v>
      </c>
    </row>
    <row r="144" spans="1:13" s="474" customFormat="1" x14ac:dyDescent="0.2">
      <c r="A144" s="482"/>
      <c r="B144" s="487"/>
      <c r="C144" s="488" t="s">
        <v>15</v>
      </c>
      <c r="D144" s="473"/>
      <c r="E144" s="468">
        <f>SUM(E10:E65)+E66+E78+E81+E84+E87+E90+E93+E96+E99+E102+E105+E108+E111+E114+E117+E120+E123+E126+E129+E132+E135+E138+E141+E142+E143+E69+E72+E75</f>
        <v>608784</v>
      </c>
      <c r="F144" s="468">
        <f t="shared" ref="F144:M144" si="3">SUM(F10:F65)+F66+F78+F81+F84+F87+F90+F93+F96+F99+F102+F105+F108+F111+F114+F117+F120+F123+F126+F129+F132+F135+F138+F141+F142+F143+F69+F72+F75</f>
        <v>31182</v>
      </c>
      <c r="G144" s="468">
        <f t="shared" si="3"/>
        <v>7253</v>
      </c>
      <c r="H144" s="468">
        <f t="shared" si="3"/>
        <v>570349</v>
      </c>
      <c r="I144" s="468">
        <f t="shared" si="3"/>
        <v>19809</v>
      </c>
      <c r="J144" s="468">
        <f t="shared" si="3"/>
        <v>2198</v>
      </c>
      <c r="K144" s="468">
        <f t="shared" si="3"/>
        <v>628593</v>
      </c>
      <c r="L144" s="468">
        <f t="shared" si="3"/>
        <v>21526</v>
      </c>
      <c r="M144" s="468">
        <f t="shared" si="3"/>
        <v>650119</v>
      </c>
    </row>
    <row r="145" spans="1:13" ht="25.5" x14ac:dyDescent="0.2">
      <c r="A145" s="464"/>
      <c r="B145" s="464"/>
      <c r="C145" s="465" t="s">
        <v>587</v>
      </c>
      <c r="D145" s="466"/>
      <c r="E145" s="468">
        <v>15674</v>
      </c>
      <c r="F145" s="468">
        <v>730</v>
      </c>
      <c r="G145" s="468"/>
      <c r="H145" s="468">
        <v>14944</v>
      </c>
      <c r="I145" s="468"/>
      <c r="J145" s="468"/>
      <c r="K145" s="468">
        <v>15674</v>
      </c>
      <c r="L145" s="468"/>
      <c r="M145" s="468">
        <f t="shared" ref="M145" si="4">K145+L145</f>
        <v>15674</v>
      </c>
    </row>
    <row r="146" spans="1:13" ht="19.5" customHeight="1" x14ac:dyDescent="0.2">
      <c r="A146" s="489" t="s">
        <v>588</v>
      </c>
      <c r="B146" s="490"/>
      <c r="C146" s="490"/>
      <c r="D146" s="491"/>
      <c r="E146" s="468">
        <f>E144+E145</f>
        <v>624458</v>
      </c>
      <c r="F146" s="468">
        <f t="shared" ref="F146:L146" si="5">F144+F145</f>
        <v>31912</v>
      </c>
      <c r="G146" s="468">
        <f t="shared" si="5"/>
        <v>7253</v>
      </c>
      <c r="H146" s="468">
        <f>H144+H145</f>
        <v>585293</v>
      </c>
      <c r="I146" s="468">
        <f>I144+I145</f>
        <v>19809</v>
      </c>
      <c r="J146" s="468">
        <f t="shared" si="5"/>
        <v>2198</v>
      </c>
      <c r="K146" s="468">
        <f>K144+K145</f>
        <v>644267</v>
      </c>
      <c r="L146" s="468">
        <f t="shared" si="5"/>
        <v>21526</v>
      </c>
      <c r="M146" s="468">
        <f>M144+M145</f>
        <v>665793</v>
      </c>
    </row>
    <row r="147" spans="1:13" x14ac:dyDescent="0.2">
      <c r="C147" s="492"/>
      <c r="E147" s="493"/>
    </row>
    <row r="148" spans="1:13" x14ac:dyDescent="0.2">
      <c r="E148" s="477"/>
      <c r="F148" s="477"/>
      <c r="G148" s="477"/>
      <c r="H148" s="477"/>
      <c r="I148" s="477"/>
      <c r="J148" s="477"/>
      <c r="K148" s="477"/>
      <c r="L148" s="477"/>
    </row>
  </sheetData>
  <mergeCells count="15">
    <mergeCell ref="A6:K6"/>
    <mergeCell ref="F7:H7"/>
    <mergeCell ref="K7:K9"/>
    <mergeCell ref="F8:F9"/>
    <mergeCell ref="H8:H9"/>
    <mergeCell ref="L7:L9"/>
    <mergeCell ref="M7:M9"/>
    <mergeCell ref="G8:G9"/>
    <mergeCell ref="J8:J9"/>
    <mergeCell ref="A7:A9"/>
    <mergeCell ref="B7:B9"/>
    <mergeCell ref="C7:C9"/>
    <mergeCell ref="D7:D9"/>
    <mergeCell ref="E7:E9"/>
    <mergeCell ref="I7:I9"/>
  </mergeCells>
  <conditionalFormatting sqref="C23">
    <cfRule type="duplicateValues" dxfId="16" priority="16" stopIfTrue="1"/>
  </conditionalFormatting>
  <conditionalFormatting sqref="C24">
    <cfRule type="duplicateValues" dxfId="15" priority="15" stopIfTrue="1"/>
  </conditionalFormatting>
  <conditionalFormatting sqref="C25">
    <cfRule type="duplicateValues" dxfId="14" priority="14" stopIfTrue="1"/>
  </conditionalFormatting>
  <conditionalFormatting sqref="C26:C27">
    <cfRule type="duplicateValues" dxfId="13" priority="13" stopIfTrue="1"/>
  </conditionalFormatting>
  <conditionalFormatting sqref="C28:C29">
    <cfRule type="duplicateValues" dxfId="12" priority="12" stopIfTrue="1"/>
  </conditionalFormatting>
  <conditionalFormatting sqref="C30:C31">
    <cfRule type="duplicateValues" dxfId="11" priority="11" stopIfTrue="1"/>
  </conditionalFormatting>
  <conditionalFormatting sqref="C32">
    <cfRule type="duplicateValues" dxfId="10" priority="10" stopIfTrue="1"/>
  </conditionalFormatting>
  <conditionalFormatting sqref="C33:C34">
    <cfRule type="duplicateValues" dxfId="9" priority="9" stopIfTrue="1"/>
  </conditionalFormatting>
  <conditionalFormatting sqref="C35:C36">
    <cfRule type="duplicateValues" dxfId="8" priority="8" stopIfTrue="1"/>
  </conditionalFormatting>
  <conditionalFormatting sqref="C38:C39">
    <cfRule type="duplicateValues" dxfId="7" priority="7" stopIfTrue="1"/>
  </conditionalFormatting>
  <conditionalFormatting sqref="C40:C41">
    <cfRule type="duplicateValues" dxfId="6" priority="6" stopIfTrue="1"/>
  </conditionalFormatting>
  <conditionalFormatting sqref="C42:C43">
    <cfRule type="duplicateValues" dxfId="5" priority="5" stopIfTrue="1"/>
  </conditionalFormatting>
  <conditionalFormatting sqref="C44:C45">
    <cfRule type="duplicateValues" dxfId="4" priority="4" stopIfTrue="1"/>
  </conditionalFormatting>
  <conditionalFormatting sqref="C46:C47">
    <cfRule type="duplicateValues" dxfId="3" priority="3" stopIfTrue="1"/>
  </conditionalFormatting>
  <conditionalFormatting sqref="C48:C49">
    <cfRule type="duplicateValues" dxfId="2" priority="2" stopIfTrue="1"/>
  </conditionalFormatting>
  <conditionalFormatting sqref="C50:C51">
    <cfRule type="duplicateValues" dxfId="1" priority="1" stopIfTrue="1"/>
  </conditionalFormatting>
  <conditionalFormatting sqref="C37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50"/>
  <sheetViews>
    <sheetView zoomScale="80" zoomScaleNormal="80" workbookViewId="0">
      <pane xSplit="3" ySplit="7" topLeftCell="D128" activePane="bottomRight" state="frozen"/>
      <selection pane="topRight" activeCell="D1" sqref="D1"/>
      <selection pane="bottomLeft" activeCell="A8" sqref="A8"/>
      <selection pane="bottomRight" activeCell="J145" sqref="J145"/>
    </sheetView>
  </sheetViews>
  <sheetFormatPr defaultColWidth="10.7109375" defaultRowHeight="15" x14ac:dyDescent="0.25"/>
  <cols>
    <col min="1" max="1" width="8.28515625" style="301" customWidth="1"/>
    <col min="2" max="2" width="10.5703125" style="301" customWidth="1"/>
    <col min="3" max="3" width="44.85546875" style="300" customWidth="1"/>
    <col min="4" max="4" width="14.28515625" style="300" customWidth="1"/>
    <col min="5" max="8" width="15.7109375" style="300" customWidth="1"/>
    <col min="9" max="9" width="10.7109375" style="300"/>
    <col min="10" max="10" width="20.5703125" style="300" customWidth="1"/>
    <col min="11" max="16384" width="10.7109375" style="300"/>
  </cols>
  <sheetData>
    <row r="1" spans="1:11" ht="30" customHeight="1" x14ac:dyDescent="0.25">
      <c r="A1" s="1140" t="s">
        <v>811</v>
      </c>
      <c r="B1" s="1140"/>
      <c r="C1" s="1140"/>
      <c r="D1" s="1140"/>
      <c r="E1" s="1140"/>
      <c r="F1" s="1140"/>
      <c r="G1" s="1140"/>
      <c r="H1" s="742"/>
    </row>
    <row r="2" spans="1:11" ht="9.75" customHeight="1" x14ac:dyDescent="0.25">
      <c r="C2" s="302"/>
    </row>
    <row r="3" spans="1:11" s="303" customFormat="1" ht="39.75" customHeight="1" x14ac:dyDescent="0.2">
      <c r="A3" s="1134" t="s">
        <v>0</v>
      </c>
      <c r="B3" s="1141" t="s">
        <v>302</v>
      </c>
      <c r="C3" s="1144" t="s">
        <v>2</v>
      </c>
      <c r="D3" s="1145" t="s">
        <v>812</v>
      </c>
      <c r="E3" s="1145"/>
      <c r="F3" s="1145"/>
      <c r="G3" s="1145"/>
    </row>
    <row r="4" spans="1:11" s="303" customFormat="1" ht="25.5" customHeight="1" x14ac:dyDescent="0.2">
      <c r="A4" s="1135"/>
      <c r="B4" s="1142"/>
      <c r="C4" s="1144"/>
      <c r="D4" s="1146" t="s">
        <v>763</v>
      </c>
      <c r="E4" s="1148" t="s">
        <v>4</v>
      </c>
      <c r="F4" s="1148"/>
      <c r="G4" s="1148"/>
    </row>
    <row r="5" spans="1:11" s="303" customFormat="1" ht="59.25" customHeight="1" x14ac:dyDescent="0.2">
      <c r="A5" s="1136"/>
      <c r="B5" s="1143"/>
      <c r="C5" s="1144"/>
      <c r="D5" s="1147"/>
      <c r="E5" s="743" t="s">
        <v>764</v>
      </c>
      <c r="F5" s="743" t="s">
        <v>765</v>
      </c>
      <c r="G5" s="743" t="s">
        <v>766</v>
      </c>
    </row>
    <row r="6" spans="1:11" s="303" customFormat="1" ht="12.75" customHeight="1" x14ac:dyDescent="0.2">
      <c r="A6" s="740">
        <v>1</v>
      </c>
      <c r="B6" s="304">
        <v>2</v>
      </c>
      <c r="C6" s="741">
        <v>3</v>
      </c>
      <c r="D6" s="744">
        <v>4</v>
      </c>
      <c r="E6" s="745">
        <v>5</v>
      </c>
      <c r="F6" s="745">
        <v>6</v>
      </c>
      <c r="G6" s="745">
        <v>7</v>
      </c>
    </row>
    <row r="7" spans="1:11" s="303" customFormat="1" ht="21" customHeight="1" x14ac:dyDescent="0.2">
      <c r="A7" s="1133" t="s">
        <v>308</v>
      </c>
      <c r="B7" s="1133"/>
      <c r="C7" s="1133"/>
      <c r="D7" s="746">
        <f>SUM(D8:D145)</f>
        <v>48575</v>
      </c>
      <c r="E7" s="746">
        <f t="shared" ref="E7:G7" si="0">SUM(E8:E145)</f>
        <v>6690</v>
      </c>
      <c r="F7" s="746">
        <f t="shared" si="0"/>
        <v>41290</v>
      </c>
      <c r="G7" s="746">
        <f t="shared" si="0"/>
        <v>595</v>
      </c>
      <c r="I7" s="674"/>
      <c r="J7" s="422"/>
    </row>
    <row r="8" spans="1:11" x14ac:dyDescent="0.25">
      <c r="A8" s="18">
        <v>1</v>
      </c>
      <c r="B8" s="305" t="s">
        <v>16</v>
      </c>
      <c r="C8" s="306" t="s">
        <v>17</v>
      </c>
      <c r="D8" s="307">
        <f>SUM(E8:G8)</f>
        <v>0</v>
      </c>
      <c r="E8" s="307">
        <v>0</v>
      </c>
      <c r="F8" s="307">
        <v>0</v>
      </c>
      <c r="G8" s="307">
        <v>0</v>
      </c>
      <c r="I8" s="674"/>
      <c r="J8" s="308"/>
      <c r="K8" s="308"/>
    </row>
    <row r="9" spans="1:11" x14ac:dyDescent="0.25">
      <c r="A9" s="18">
        <v>2</v>
      </c>
      <c r="B9" s="309" t="s">
        <v>18</v>
      </c>
      <c r="C9" s="306" t="s">
        <v>19</v>
      </c>
      <c r="D9" s="307">
        <f t="shared" ref="D9:D72" si="1">SUM(E9:G9)</f>
        <v>442</v>
      </c>
      <c r="E9" s="307">
        <v>60</v>
      </c>
      <c r="F9" s="307">
        <v>381</v>
      </c>
      <c r="G9" s="307">
        <v>1</v>
      </c>
      <c r="I9" s="674"/>
      <c r="J9" s="308"/>
      <c r="K9" s="308"/>
    </row>
    <row r="10" spans="1:11" x14ac:dyDescent="0.25">
      <c r="A10" s="18">
        <v>3</v>
      </c>
      <c r="B10" s="21" t="s">
        <v>20</v>
      </c>
      <c r="C10" s="310" t="s">
        <v>21</v>
      </c>
      <c r="D10" s="307">
        <f t="shared" si="1"/>
        <v>851</v>
      </c>
      <c r="E10" s="307">
        <v>120</v>
      </c>
      <c r="F10" s="307">
        <v>722</v>
      </c>
      <c r="G10" s="307">
        <v>9</v>
      </c>
      <c r="I10" s="674"/>
      <c r="J10" s="308"/>
      <c r="K10" s="308"/>
    </row>
    <row r="11" spans="1:11" x14ac:dyDescent="0.25">
      <c r="A11" s="18">
        <v>4</v>
      </c>
      <c r="B11" s="305" t="s">
        <v>22</v>
      </c>
      <c r="C11" s="306" t="s">
        <v>23</v>
      </c>
      <c r="D11" s="307">
        <f t="shared" si="1"/>
        <v>0</v>
      </c>
      <c r="E11" s="307">
        <v>0</v>
      </c>
      <c r="F11" s="307">
        <v>0</v>
      </c>
      <c r="G11" s="307">
        <v>0</v>
      </c>
      <c r="I11" s="674"/>
      <c r="J11" s="308"/>
      <c r="K11" s="308"/>
    </row>
    <row r="12" spans="1:11" x14ac:dyDescent="0.25">
      <c r="A12" s="18">
        <v>5</v>
      </c>
      <c r="B12" s="305" t="s">
        <v>24</v>
      </c>
      <c r="C12" s="306" t="s">
        <v>25</v>
      </c>
      <c r="D12" s="307">
        <f t="shared" si="1"/>
        <v>0</v>
      </c>
      <c r="E12" s="307">
        <v>0</v>
      </c>
      <c r="F12" s="307">
        <v>0</v>
      </c>
      <c r="G12" s="307">
        <v>0</v>
      </c>
      <c r="I12" s="674"/>
      <c r="J12" s="308"/>
      <c r="K12" s="308"/>
    </row>
    <row r="13" spans="1:11" x14ac:dyDescent="0.25">
      <c r="A13" s="18">
        <v>6</v>
      </c>
      <c r="B13" s="21" t="s">
        <v>26</v>
      </c>
      <c r="C13" s="310" t="s">
        <v>27</v>
      </c>
      <c r="D13" s="307">
        <f t="shared" si="1"/>
        <v>2529</v>
      </c>
      <c r="E13" s="307">
        <v>196</v>
      </c>
      <c r="F13" s="307">
        <v>2333</v>
      </c>
      <c r="G13" s="307">
        <v>0</v>
      </c>
      <c r="I13" s="674"/>
      <c r="J13" s="308"/>
      <c r="K13" s="308"/>
    </row>
    <row r="14" spans="1:11" x14ac:dyDescent="0.25">
      <c r="A14" s="18">
        <v>7</v>
      </c>
      <c r="B14" s="311" t="s">
        <v>28</v>
      </c>
      <c r="C14" s="22" t="s">
        <v>29</v>
      </c>
      <c r="D14" s="307">
        <f t="shared" si="1"/>
        <v>1125</v>
      </c>
      <c r="E14" s="307">
        <v>100</v>
      </c>
      <c r="F14" s="307">
        <v>1025</v>
      </c>
      <c r="G14" s="307">
        <v>0</v>
      </c>
      <c r="I14" s="674"/>
      <c r="J14" s="308"/>
      <c r="K14" s="308"/>
    </row>
    <row r="15" spans="1:11" x14ac:dyDescent="0.25">
      <c r="A15" s="18">
        <v>8</v>
      </c>
      <c r="B15" s="21" t="s">
        <v>30</v>
      </c>
      <c r="C15" s="310" t="s">
        <v>31</v>
      </c>
      <c r="D15" s="307">
        <f t="shared" si="1"/>
        <v>0</v>
      </c>
      <c r="E15" s="307">
        <v>0</v>
      </c>
      <c r="F15" s="307">
        <v>0</v>
      </c>
      <c r="G15" s="307">
        <v>0</v>
      </c>
      <c r="I15" s="674"/>
      <c r="J15" s="308"/>
      <c r="K15" s="308"/>
    </row>
    <row r="16" spans="1:11" x14ac:dyDescent="0.25">
      <c r="A16" s="18">
        <v>9</v>
      </c>
      <c r="B16" s="21" t="s">
        <v>32</v>
      </c>
      <c r="C16" s="310" t="s">
        <v>33</v>
      </c>
      <c r="D16" s="307">
        <f t="shared" si="1"/>
        <v>0</v>
      </c>
      <c r="E16" s="307">
        <v>0</v>
      </c>
      <c r="F16" s="307">
        <v>0</v>
      </c>
      <c r="G16" s="307">
        <v>0</v>
      </c>
      <c r="I16" s="674"/>
      <c r="J16" s="308"/>
      <c r="K16" s="308"/>
    </row>
    <row r="17" spans="1:11" x14ac:dyDescent="0.25">
      <c r="A17" s="18">
        <v>10</v>
      </c>
      <c r="B17" s="21" t="s">
        <v>34</v>
      </c>
      <c r="C17" s="310" t="s">
        <v>35</v>
      </c>
      <c r="D17" s="307">
        <f t="shared" si="1"/>
        <v>0</v>
      </c>
      <c r="E17" s="307">
        <v>0</v>
      </c>
      <c r="F17" s="307">
        <v>0</v>
      </c>
      <c r="G17" s="307">
        <v>0</v>
      </c>
      <c r="I17" s="674"/>
      <c r="J17" s="308"/>
      <c r="K17" s="308"/>
    </row>
    <row r="18" spans="1:11" x14ac:dyDescent="0.25">
      <c r="A18" s="18">
        <v>11</v>
      </c>
      <c r="B18" s="21" t="s">
        <v>36</v>
      </c>
      <c r="C18" s="310" t="s">
        <v>37</v>
      </c>
      <c r="D18" s="307">
        <f t="shared" si="1"/>
        <v>0</v>
      </c>
      <c r="E18" s="307">
        <v>0</v>
      </c>
      <c r="F18" s="307">
        <v>0</v>
      </c>
      <c r="G18" s="307">
        <v>0</v>
      </c>
      <c r="I18" s="674"/>
      <c r="J18" s="308"/>
      <c r="K18" s="308"/>
    </row>
    <row r="19" spans="1:11" x14ac:dyDescent="0.25">
      <c r="A19" s="18">
        <v>12</v>
      </c>
      <c r="B19" s="21" t="s">
        <v>38</v>
      </c>
      <c r="C19" s="310" t="s">
        <v>39</v>
      </c>
      <c r="D19" s="307">
        <f t="shared" si="1"/>
        <v>487</v>
      </c>
      <c r="E19" s="307">
        <v>57</v>
      </c>
      <c r="F19" s="307">
        <v>430</v>
      </c>
      <c r="G19" s="307">
        <v>0</v>
      </c>
      <c r="I19" s="674"/>
      <c r="J19" s="308"/>
      <c r="K19" s="308"/>
    </row>
    <row r="20" spans="1:11" x14ac:dyDescent="0.25">
      <c r="A20" s="18">
        <v>13</v>
      </c>
      <c r="B20" s="21" t="s">
        <v>40</v>
      </c>
      <c r="C20" s="306" t="s">
        <v>41</v>
      </c>
      <c r="D20" s="307">
        <f t="shared" si="1"/>
        <v>0</v>
      </c>
      <c r="E20" s="307">
        <v>0</v>
      </c>
      <c r="F20" s="307">
        <v>0</v>
      </c>
      <c r="G20" s="307">
        <v>0</v>
      </c>
      <c r="I20" s="674"/>
      <c r="J20" s="308"/>
      <c r="K20" s="308"/>
    </row>
    <row r="21" spans="1:11" x14ac:dyDescent="0.25">
      <c r="A21" s="18">
        <v>14</v>
      </c>
      <c r="B21" s="305" t="s">
        <v>42</v>
      </c>
      <c r="C21" s="310" t="s">
        <v>43</v>
      </c>
      <c r="D21" s="307">
        <f t="shared" si="1"/>
        <v>0</v>
      </c>
      <c r="E21" s="307">
        <v>0</v>
      </c>
      <c r="F21" s="307">
        <v>0</v>
      </c>
      <c r="G21" s="307">
        <v>0</v>
      </c>
      <c r="I21" s="674"/>
      <c r="J21" s="308"/>
      <c r="K21" s="308"/>
    </row>
    <row r="22" spans="1:11" x14ac:dyDescent="0.25">
      <c r="A22" s="18">
        <v>15</v>
      </c>
      <c r="B22" s="21" t="s">
        <v>44</v>
      </c>
      <c r="C22" s="310" t="s">
        <v>45</v>
      </c>
      <c r="D22" s="307">
        <f t="shared" si="1"/>
        <v>200</v>
      </c>
      <c r="E22" s="307">
        <v>70</v>
      </c>
      <c r="F22" s="307">
        <v>130</v>
      </c>
      <c r="G22" s="307">
        <v>0</v>
      </c>
      <c r="I22" s="674"/>
      <c r="J22" s="308"/>
      <c r="K22" s="308"/>
    </row>
    <row r="23" spans="1:11" x14ac:dyDescent="0.25">
      <c r="A23" s="18">
        <v>16</v>
      </c>
      <c r="B23" s="21" t="s">
        <v>46</v>
      </c>
      <c r="C23" s="310" t="s">
        <v>47</v>
      </c>
      <c r="D23" s="307">
        <f t="shared" si="1"/>
        <v>0</v>
      </c>
      <c r="E23" s="307">
        <v>0</v>
      </c>
      <c r="F23" s="307">
        <v>0</v>
      </c>
      <c r="G23" s="307">
        <v>0</v>
      </c>
      <c r="I23" s="674"/>
      <c r="J23" s="308"/>
      <c r="K23" s="308"/>
    </row>
    <row r="24" spans="1:11" x14ac:dyDescent="0.25">
      <c r="A24" s="18">
        <v>17</v>
      </c>
      <c r="B24" s="21" t="s">
        <v>48</v>
      </c>
      <c r="C24" s="310" t="s">
        <v>49</v>
      </c>
      <c r="D24" s="307">
        <f t="shared" si="1"/>
        <v>0</v>
      </c>
      <c r="E24" s="307">
        <v>0</v>
      </c>
      <c r="F24" s="307">
        <v>0</v>
      </c>
      <c r="G24" s="307">
        <v>0</v>
      </c>
      <c r="I24" s="674"/>
      <c r="J24" s="308"/>
      <c r="K24" s="308"/>
    </row>
    <row r="25" spans="1:11" x14ac:dyDescent="0.25">
      <c r="A25" s="18">
        <v>18</v>
      </c>
      <c r="B25" s="21" t="s">
        <v>50</v>
      </c>
      <c r="C25" s="310" t="s">
        <v>51</v>
      </c>
      <c r="D25" s="307">
        <f t="shared" si="1"/>
        <v>997</v>
      </c>
      <c r="E25" s="307">
        <v>190</v>
      </c>
      <c r="F25" s="307">
        <v>793</v>
      </c>
      <c r="G25" s="307">
        <v>14</v>
      </c>
      <c r="I25" s="674"/>
      <c r="J25" s="308"/>
      <c r="K25" s="308"/>
    </row>
    <row r="26" spans="1:11" x14ac:dyDescent="0.25">
      <c r="A26" s="18">
        <v>19</v>
      </c>
      <c r="B26" s="305" t="s">
        <v>52</v>
      </c>
      <c r="C26" s="306" t="s">
        <v>53</v>
      </c>
      <c r="D26" s="307">
        <f t="shared" si="1"/>
        <v>0</v>
      </c>
      <c r="E26" s="307">
        <v>0</v>
      </c>
      <c r="F26" s="307">
        <v>0</v>
      </c>
      <c r="G26" s="307">
        <v>0</v>
      </c>
      <c r="I26" s="674"/>
      <c r="J26" s="308"/>
      <c r="K26" s="308"/>
    </row>
    <row r="27" spans="1:11" x14ac:dyDescent="0.25">
      <c r="A27" s="18">
        <v>20</v>
      </c>
      <c r="B27" s="305" t="s">
        <v>54</v>
      </c>
      <c r="C27" s="306" t="s">
        <v>55</v>
      </c>
      <c r="D27" s="307">
        <f t="shared" si="1"/>
        <v>0</v>
      </c>
      <c r="E27" s="307">
        <v>0</v>
      </c>
      <c r="F27" s="307">
        <v>0</v>
      </c>
      <c r="G27" s="307">
        <v>0</v>
      </c>
      <c r="I27" s="674"/>
      <c r="J27" s="308"/>
      <c r="K27" s="308"/>
    </row>
    <row r="28" spans="1:11" x14ac:dyDescent="0.25">
      <c r="A28" s="18">
        <v>21</v>
      </c>
      <c r="B28" s="305" t="s">
        <v>56</v>
      </c>
      <c r="C28" s="306" t="s">
        <v>57</v>
      </c>
      <c r="D28" s="307">
        <f t="shared" si="1"/>
        <v>1255</v>
      </c>
      <c r="E28" s="307">
        <v>90</v>
      </c>
      <c r="F28" s="307">
        <v>1155</v>
      </c>
      <c r="G28" s="307">
        <v>10</v>
      </c>
      <c r="I28" s="674"/>
      <c r="J28" s="308"/>
      <c r="K28" s="308"/>
    </row>
    <row r="29" spans="1:11" x14ac:dyDescent="0.25">
      <c r="A29" s="18">
        <v>22</v>
      </c>
      <c r="B29" s="305" t="s">
        <v>58</v>
      </c>
      <c r="C29" s="306" t="s">
        <v>59</v>
      </c>
      <c r="D29" s="307">
        <f t="shared" si="1"/>
        <v>903</v>
      </c>
      <c r="E29" s="307">
        <v>140</v>
      </c>
      <c r="F29" s="307">
        <v>763</v>
      </c>
      <c r="G29" s="307">
        <v>0</v>
      </c>
      <c r="I29" s="674"/>
      <c r="J29" s="308"/>
      <c r="K29" s="308"/>
    </row>
    <row r="30" spans="1:11" x14ac:dyDescent="0.25">
      <c r="A30" s="18">
        <v>23</v>
      </c>
      <c r="B30" s="21" t="s">
        <v>60</v>
      </c>
      <c r="C30" s="310" t="s">
        <v>61</v>
      </c>
      <c r="D30" s="307">
        <f t="shared" si="1"/>
        <v>0</v>
      </c>
      <c r="E30" s="307">
        <v>0</v>
      </c>
      <c r="F30" s="307">
        <v>0</v>
      </c>
      <c r="G30" s="307">
        <v>0</v>
      </c>
      <c r="I30" s="674"/>
      <c r="J30" s="308"/>
      <c r="K30" s="308"/>
    </row>
    <row r="31" spans="1:11" x14ac:dyDescent="0.25">
      <c r="A31" s="18">
        <v>24</v>
      </c>
      <c r="B31" s="21" t="s">
        <v>62</v>
      </c>
      <c r="C31" s="310" t="s">
        <v>63</v>
      </c>
      <c r="D31" s="307">
        <f t="shared" si="1"/>
        <v>0</v>
      </c>
      <c r="E31" s="307">
        <v>0</v>
      </c>
      <c r="F31" s="307">
        <v>0</v>
      </c>
      <c r="G31" s="307">
        <v>0</v>
      </c>
      <c r="I31" s="674"/>
      <c r="J31" s="308"/>
      <c r="K31" s="308"/>
    </row>
    <row r="32" spans="1:11" ht="30" x14ac:dyDescent="0.25">
      <c r="A32" s="18">
        <v>25</v>
      </c>
      <c r="B32" s="21" t="s">
        <v>64</v>
      </c>
      <c r="C32" s="310" t="s">
        <v>65</v>
      </c>
      <c r="D32" s="307">
        <f t="shared" si="1"/>
        <v>0</v>
      </c>
      <c r="E32" s="307">
        <v>0</v>
      </c>
      <c r="F32" s="307">
        <v>0</v>
      </c>
      <c r="G32" s="307">
        <v>0</v>
      </c>
      <c r="I32" s="674"/>
      <c r="J32" s="308"/>
      <c r="K32" s="308"/>
    </row>
    <row r="33" spans="1:11" x14ac:dyDescent="0.25">
      <c r="A33" s="18">
        <v>26</v>
      </c>
      <c r="B33" s="305" t="s">
        <v>66</v>
      </c>
      <c r="C33" s="22" t="s">
        <v>67</v>
      </c>
      <c r="D33" s="307">
        <f t="shared" si="1"/>
        <v>3955</v>
      </c>
      <c r="E33" s="307">
        <v>460</v>
      </c>
      <c r="F33" s="307">
        <v>3495</v>
      </c>
      <c r="G33" s="307">
        <v>0</v>
      </c>
      <c r="I33" s="674"/>
      <c r="J33" s="308"/>
      <c r="K33" s="308"/>
    </row>
    <row r="34" spans="1:11" x14ac:dyDescent="0.25">
      <c r="A34" s="18">
        <v>27</v>
      </c>
      <c r="B34" s="21" t="s">
        <v>68</v>
      </c>
      <c r="C34" s="310" t="s">
        <v>69</v>
      </c>
      <c r="D34" s="307">
        <f t="shared" si="1"/>
        <v>0</v>
      </c>
      <c r="E34" s="307">
        <v>0</v>
      </c>
      <c r="F34" s="307">
        <v>0</v>
      </c>
      <c r="G34" s="307">
        <v>0</v>
      </c>
      <c r="I34" s="674"/>
      <c r="J34" s="308"/>
      <c r="K34" s="308"/>
    </row>
    <row r="35" spans="1:11" x14ac:dyDescent="0.25">
      <c r="A35" s="18">
        <v>28</v>
      </c>
      <c r="B35" s="21" t="s">
        <v>70</v>
      </c>
      <c r="C35" s="310" t="s">
        <v>71</v>
      </c>
      <c r="D35" s="307">
        <f t="shared" si="1"/>
        <v>0</v>
      </c>
      <c r="E35" s="307">
        <v>0</v>
      </c>
      <c r="F35" s="307">
        <v>0</v>
      </c>
      <c r="G35" s="307">
        <v>0</v>
      </c>
      <c r="I35" s="674"/>
      <c r="J35" s="308"/>
      <c r="K35" s="308"/>
    </row>
    <row r="36" spans="1:11" x14ac:dyDescent="0.25">
      <c r="A36" s="18">
        <v>29</v>
      </c>
      <c r="B36" s="309" t="s">
        <v>72</v>
      </c>
      <c r="C36" s="22" t="s">
        <v>73</v>
      </c>
      <c r="D36" s="307">
        <f t="shared" si="1"/>
        <v>0</v>
      </c>
      <c r="E36" s="307">
        <v>0</v>
      </c>
      <c r="F36" s="307">
        <v>0</v>
      </c>
      <c r="G36" s="307">
        <v>0</v>
      </c>
      <c r="I36" s="674"/>
      <c r="J36" s="308"/>
      <c r="K36" s="308"/>
    </row>
    <row r="37" spans="1:11" x14ac:dyDescent="0.25">
      <c r="A37" s="18">
        <v>30</v>
      </c>
      <c r="B37" s="305" t="s">
        <v>74</v>
      </c>
      <c r="C37" s="306" t="s">
        <v>357</v>
      </c>
      <c r="D37" s="307">
        <f t="shared" si="1"/>
        <v>0</v>
      </c>
      <c r="E37" s="307">
        <v>0</v>
      </c>
      <c r="F37" s="307">
        <v>0</v>
      </c>
      <c r="G37" s="307">
        <v>0</v>
      </c>
      <c r="I37" s="674"/>
      <c r="J37" s="308"/>
      <c r="K37" s="308"/>
    </row>
    <row r="38" spans="1:11" x14ac:dyDescent="0.25">
      <c r="A38" s="18">
        <v>31</v>
      </c>
      <c r="B38" s="21" t="s">
        <v>75</v>
      </c>
      <c r="C38" s="310" t="s">
        <v>76</v>
      </c>
      <c r="D38" s="307">
        <f t="shared" si="1"/>
        <v>0</v>
      </c>
      <c r="E38" s="307">
        <v>0</v>
      </c>
      <c r="F38" s="307">
        <v>0</v>
      </c>
      <c r="G38" s="307">
        <v>0</v>
      </c>
      <c r="I38" s="674"/>
      <c r="J38" s="308"/>
      <c r="K38" s="308"/>
    </row>
    <row r="39" spans="1:11" x14ac:dyDescent="0.25">
      <c r="A39" s="18">
        <v>32</v>
      </c>
      <c r="B39" s="309" t="s">
        <v>77</v>
      </c>
      <c r="C39" s="306" t="s">
        <v>78</v>
      </c>
      <c r="D39" s="307">
        <f t="shared" si="1"/>
        <v>843</v>
      </c>
      <c r="E39" s="307">
        <v>100</v>
      </c>
      <c r="F39" s="307">
        <v>743</v>
      </c>
      <c r="G39" s="307">
        <v>0</v>
      </c>
      <c r="I39" s="674"/>
      <c r="J39" s="308"/>
      <c r="K39" s="308"/>
    </row>
    <row r="40" spans="1:11" x14ac:dyDescent="0.25">
      <c r="A40" s="18">
        <v>33</v>
      </c>
      <c r="B40" s="311" t="s">
        <v>79</v>
      </c>
      <c r="C40" s="22" t="s">
        <v>80</v>
      </c>
      <c r="D40" s="307">
        <f t="shared" si="1"/>
        <v>1725</v>
      </c>
      <c r="E40" s="307">
        <v>160</v>
      </c>
      <c r="F40" s="307">
        <v>1547</v>
      </c>
      <c r="G40" s="307">
        <v>18</v>
      </c>
      <c r="I40" s="674"/>
      <c r="J40" s="308"/>
      <c r="K40" s="308"/>
    </row>
    <row r="41" spans="1:11" x14ac:dyDescent="0.25">
      <c r="A41" s="18">
        <v>34</v>
      </c>
      <c r="B41" s="309" t="s">
        <v>81</v>
      </c>
      <c r="C41" s="306" t="s">
        <v>82</v>
      </c>
      <c r="D41" s="307">
        <f t="shared" si="1"/>
        <v>0</v>
      </c>
      <c r="E41" s="307">
        <v>0</v>
      </c>
      <c r="F41" s="307">
        <v>0</v>
      </c>
      <c r="G41" s="307">
        <v>0</v>
      </c>
      <c r="I41" s="674"/>
      <c r="J41" s="308"/>
      <c r="K41" s="308"/>
    </row>
    <row r="42" spans="1:11" x14ac:dyDescent="0.25">
      <c r="A42" s="18">
        <v>35</v>
      </c>
      <c r="B42" s="21" t="s">
        <v>83</v>
      </c>
      <c r="C42" s="310" t="s">
        <v>84</v>
      </c>
      <c r="D42" s="307">
        <f t="shared" si="1"/>
        <v>1056</v>
      </c>
      <c r="E42" s="307">
        <v>100</v>
      </c>
      <c r="F42" s="307">
        <v>944</v>
      </c>
      <c r="G42" s="307">
        <v>12</v>
      </c>
      <c r="I42" s="674"/>
      <c r="J42" s="308"/>
      <c r="K42" s="308"/>
    </row>
    <row r="43" spans="1:11" x14ac:dyDescent="0.25">
      <c r="A43" s="18">
        <v>36</v>
      </c>
      <c r="B43" s="309" t="s">
        <v>85</v>
      </c>
      <c r="C43" s="306" t="s">
        <v>86</v>
      </c>
      <c r="D43" s="307">
        <f t="shared" si="1"/>
        <v>1004</v>
      </c>
      <c r="E43" s="307">
        <v>320</v>
      </c>
      <c r="F43" s="307">
        <v>684</v>
      </c>
      <c r="G43" s="307">
        <v>0</v>
      </c>
      <c r="I43" s="674"/>
      <c r="J43" s="308"/>
      <c r="K43" s="308"/>
    </row>
    <row r="44" spans="1:11" x14ac:dyDescent="0.25">
      <c r="A44" s="18">
        <v>37</v>
      </c>
      <c r="B44" s="305" t="s">
        <v>87</v>
      </c>
      <c r="C44" s="306" t="s">
        <v>88</v>
      </c>
      <c r="D44" s="307">
        <f t="shared" si="1"/>
        <v>1201</v>
      </c>
      <c r="E44" s="307">
        <v>87</v>
      </c>
      <c r="F44" s="307">
        <v>1114</v>
      </c>
      <c r="G44" s="307">
        <v>0</v>
      </c>
      <c r="I44" s="674"/>
      <c r="J44" s="308"/>
      <c r="K44" s="308"/>
    </row>
    <row r="45" spans="1:11" x14ac:dyDescent="0.25">
      <c r="A45" s="18">
        <v>38</v>
      </c>
      <c r="B45" s="312" t="s">
        <v>89</v>
      </c>
      <c r="C45" s="313" t="s">
        <v>90</v>
      </c>
      <c r="D45" s="307">
        <f t="shared" si="1"/>
        <v>442</v>
      </c>
      <c r="E45" s="307">
        <v>80</v>
      </c>
      <c r="F45" s="307">
        <v>362</v>
      </c>
      <c r="G45" s="307">
        <v>0</v>
      </c>
      <c r="I45" s="674"/>
      <c r="J45" s="308"/>
      <c r="K45" s="308"/>
    </row>
    <row r="46" spans="1:11" x14ac:dyDescent="0.25">
      <c r="A46" s="18">
        <v>39</v>
      </c>
      <c r="B46" s="305" t="s">
        <v>91</v>
      </c>
      <c r="C46" s="306" t="s">
        <v>92</v>
      </c>
      <c r="D46" s="307">
        <f t="shared" si="1"/>
        <v>0</v>
      </c>
      <c r="E46" s="307">
        <v>0</v>
      </c>
      <c r="F46" s="307">
        <v>0</v>
      </c>
      <c r="G46" s="307">
        <v>0</v>
      </c>
      <c r="I46" s="674"/>
      <c r="J46" s="308"/>
      <c r="K46" s="308"/>
    </row>
    <row r="47" spans="1:11" x14ac:dyDescent="0.25">
      <c r="A47" s="18">
        <v>40</v>
      </c>
      <c r="B47" s="311" t="s">
        <v>93</v>
      </c>
      <c r="C47" s="22" t="s">
        <v>94</v>
      </c>
      <c r="D47" s="307">
        <f t="shared" si="1"/>
        <v>0</v>
      </c>
      <c r="E47" s="307">
        <v>0</v>
      </c>
      <c r="F47" s="307">
        <v>0</v>
      </c>
      <c r="G47" s="307">
        <v>0</v>
      </c>
      <c r="I47" s="674"/>
      <c r="J47" s="308"/>
      <c r="K47" s="308"/>
    </row>
    <row r="48" spans="1:11" x14ac:dyDescent="0.25">
      <c r="A48" s="18">
        <v>41</v>
      </c>
      <c r="B48" s="21" t="s">
        <v>95</v>
      </c>
      <c r="C48" s="310" t="s">
        <v>96</v>
      </c>
      <c r="D48" s="307">
        <f t="shared" si="1"/>
        <v>0</v>
      </c>
      <c r="E48" s="307">
        <v>0</v>
      </c>
      <c r="F48" s="307">
        <v>0</v>
      </c>
      <c r="G48" s="307">
        <v>0</v>
      </c>
      <c r="I48" s="674"/>
      <c r="J48" s="308"/>
      <c r="K48" s="308"/>
    </row>
    <row r="49" spans="1:11" x14ac:dyDescent="0.25">
      <c r="A49" s="18">
        <v>42</v>
      </c>
      <c r="B49" s="309" t="s">
        <v>97</v>
      </c>
      <c r="C49" s="306" t="s">
        <v>98</v>
      </c>
      <c r="D49" s="307">
        <f t="shared" si="1"/>
        <v>0</v>
      </c>
      <c r="E49" s="307">
        <v>0</v>
      </c>
      <c r="F49" s="307">
        <v>0</v>
      </c>
      <c r="G49" s="307">
        <v>0</v>
      </c>
      <c r="I49" s="674"/>
      <c r="J49" s="308"/>
      <c r="K49" s="308"/>
    </row>
    <row r="50" spans="1:11" x14ac:dyDescent="0.25">
      <c r="A50" s="18">
        <v>43</v>
      </c>
      <c r="B50" s="21" t="s">
        <v>99</v>
      </c>
      <c r="C50" s="310" t="s">
        <v>100</v>
      </c>
      <c r="D50" s="307">
        <f t="shared" si="1"/>
        <v>357</v>
      </c>
      <c r="E50" s="307">
        <v>140</v>
      </c>
      <c r="F50" s="307">
        <v>201</v>
      </c>
      <c r="G50" s="307">
        <v>16</v>
      </c>
      <c r="I50" s="674"/>
      <c r="J50" s="308"/>
      <c r="K50" s="308"/>
    </row>
    <row r="51" spans="1:11" x14ac:dyDescent="0.25">
      <c r="A51" s="18">
        <v>44</v>
      </c>
      <c r="B51" s="305" t="s">
        <v>101</v>
      </c>
      <c r="C51" s="306" t="s">
        <v>102</v>
      </c>
      <c r="D51" s="307">
        <f t="shared" si="1"/>
        <v>0</v>
      </c>
      <c r="E51" s="307">
        <v>0</v>
      </c>
      <c r="F51" s="307">
        <v>0</v>
      </c>
      <c r="G51" s="307">
        <v>0</v>
      </c>
      <c r="I51" s="674"/>
      <c r="J51" s="308"/>
      <c r="K51" s="308"/>
    </row>
    <row r="52" spans="1:11" x14ac:dyDescent="0.25">
      <c r="A52" s="18">
        <v>45</v>
      </c>
      <c r="B52" s="305" t="s">
        <v>103</v>
      </c>
      <c r="C52" s="306" t="s">
        <v>104</v>
      </c>
      <c r="D52" s="307">
        <f t="shared" si="1"/>
        <v>1686</v>
      </c>
      <c r="E52" s="307">
        <v>820</v>
      </c>
      <c r="F52" s="307">
        <v>866</v>
      </c>
      <c r="G52" s="307">
        <v>0</v>
      </c>
      <c r="I52" s="674"/>
      <c r="J52" s="308"/>
      <c r="K52" s="308"/>
    </row>
    <row r="53" spans="1:11" x14ac:dyDescent="0.25">
      <c r="A53" s="18">
        <v>46</v>
      </c>
      <c r="B53" s="21" t="s">
        <v>105</v>
      </c>
      <c r="C53" s="310" t="s">
        <v>106</v>
      </c>
      <c r="D53" s="307">
        <f t="shared" si="1"/>
        <v>0</v>
      </c>
      <c r="E53" s="307">
        <v>0</v>
      </c>
      <c r="F53" s="307">
        <v>0</v>
      </c>
      <c r="G53" s="307">
        <v>0</v>
      </c>
      <c r="I53" s="674"/>
      <c r="J53" s="308"/>
      <c r="K53" s="308"/>
    </row>
    <row r="54" spans="1:11" x14ac:dyDescent="0.25">
      <c r="A54" s="18">
        <v>47</v>
      </c>
      <c r="B54" s="21" t="s">
        <v>107</v>
      </c>
      <c r="C54" s="310" t="s">
        <v>108</v>
      </c>
      <c r="D54" s="307">
        <f t="shared" si="1"/>
        <v>3</v>
      </c>
      <c r="E54" s="307">
        <v>0</v>
      </c>
      <c r="F54" s="307">
        <v>0</v>
      </c>
      <c r="G54" s="307">
        <v>3</v>
      </c>
      <c r="I54" s="674"/>
      <c r="J54" s="308"/>
      <c r="K54" s="308"/>
    </row>
    <row r="55" spans="1:11" x14ac:dyDescent="0.25">
      <c r="A55" s="18">
        <v>48</v>
      </c>
      <c r="B55" s="309" t="s">
        <v>109</v>
      </c>
      <c r="C55" s="306" t="s">
        <v>110</v>
      </c>
      <c r="D55" s="307">
        <f t="shared" si="1"/>
        <v>6</v>
      </c>
      <c r="E55" s="307">
        <v>0</v>
      </c>
      <c r="F55" s="307">
        <v>0</v>
      </c>
      <c r="G55" s="307">
        <v>6</v>
      </c>
      <c r="I55" s="674"/>
      <c r="J55" s="308"/>
      <c r="K55" s="308"/>
    </row>
    <row r="56" spans="1:11" x14ac:dyDescent="0.25">
      <c r="A56" s="18">
        <v>49</v>
      </c>
      <c r="B56" s="21" t="s">
        <v>111</v>
      </c>
      <c r="C56" s="310" t="s">
        <v>112</v>
      </c>
      <c r="D56" s="307">
        <f t="shared" si="1"/>
        <v>0</v>
      </c>
      <c r="E56" s="307">
        <v>0</v>
      </c>
      <c r="F56" s="307">
        <v>0</v>
      </c>
      <c r="G56" s="307">
        <v>0</v>
      </c>
      <c r="I56" s="674"/>
      <c r="J56" s="308"/>
      <c r="K56" s="308"/>
    </row>
    <row r="57" spans="1:11" x14ac:dyDescent="0.25">
      <c r="A57" s="18">
        <v>50</v>
      </c>
      <c r="B57" s="309" t="s">
        <v>113</v>
      </c>
      <c r="C57" s="306" t="s">
        <v>114</v>
      </c>
      <c r="D57" s="307">
        <f t="shared" si="1"/>
        <v>602</v>
      </c>
      <c r="E57" s="307">
        <v>80</v>
      </c>
      <c r="F57" s="307">
        <v>522</v>
      </c>
      <c r="G57" s="307">
        <v>0</v>
      </c>
      <c r="I57" s="674"/>
      <c r="J57" s="308"/>
      <c r="K57" s="308"/>
    </row>
    <row r="58" spans="1:11" x14ac:dyDescent="0.25">
      <c r="A58" s="18">
        <v>51</v>
      </c>
      <c r="B58" s="21" t="s">
        <v>115</v>
      </c>
      <c r="C58" s="310" t="s">
        <v>116</v>
      </c>
      <c r="D58" s="307">
        <f t="shared" si="1"/>
        <v>3</v>
      </c>
      <c r="E58" s="307">
        <v>0</v>
      </c>
      <c r="F58" s="307">
        <v>0</v>
      </c>
      <c r="G58" s="307">
        <v>3</v>
      </c>
      <c r="I58" s="674"/>
      <c r="J58" s="308"/>
      <c r="K58" s="308"/>
    </row>
    <row r="59" spans="1:11" x14ac:dyDescent="0.25">
      <c r="A59" s="18">
        <v>52</v>
      </c>
      <c r="B59" s="21" t="s">
        <v>117</v>
      </c>
      <c r="C59" s="310" t="s">
        <v>118</v>
      </c>
      <c r="D59" s="307">
        <f t="shared" si="1"/>
        <v>1579</v>
      </c>
      <c r="E59" s="307">
        <v>430</v>
      </c>
      <c r="F59" s="307">
        <v>1127</v>
      </c>
      <c r="G59" s="307">
        <v>22</v>
      </c>
      <c r="I59" s="674"/>
      <c r="J59" s="308"/>
      <c r="K59" s="308"/>
    </row>
    <row r="60" spans="1:11" x14ac:dyDescent="0.25">
      <c r="A60" s="18">
        <v>53</v>
      </c>
      <c r="B60" s="21" t="s">
        <v>119</v>
      </c>
      <c r="C60" s="310" t="s">
        <v>120</v>
      </c>
      <c r="D60" s="307">
        <f t="shared" si="1"/>
        <v>0</v>
      </c>
      <c r="E60" s="307">
        <v>0</v>
      </c>
      <c r="F60" s="307">
        <v>0</v>
      </c>
      <c r="G60" s="307">
        <v>0</v>
      </c>
      <c r="I60" s="674"/>
      <c r="J60" s="308"/>
      <c r="K60" s="308"/>
    </row>
    <row r="61" spans="1:11" x14ac:dyDescent="0.25">
      <c r="A61" s="18">
        <v>54</v>
      </c>
      <c r="B61" s="21" t="s">
        <v>121</v>
      </c>
      <c r="C61" s="310" t="s">
        <v>122</v>
      </c>
      <c r="D61" s="307">
        <f t="shared" si="1"/>
        <v>0</v>
      </c>
      <c r="E61" s="307">
        <v>0</v>
      </c>
      <c r="F61" s="307">
        <v>0</v>
      </c>
      <c r="G61" s="307">
        <v>0</v>
      </c>
      <c r="I61" s="674"/>
      <c r="J61" s="308"/>
      <c r="K61" s="308"/>
    </row>
    <row r="62" spans="1:11" x14ac:dyDescent="0.25">
      <c r="A62" s="18">
        <v>55</v>
      </c>
      <c r="B62" s="21" t="s">
        <v>123</v>
      </c>
      <c r="C62" s="310" t="s">
        <v>124</v>
      </c>
      <c r="D62" s="307">
        <f t="shared" si="1"/>
        <v>0</v>
      </c>
      <c r="E62" s="307">
        <v>0</v>
      </c>
      <c r="F62" s="307">
        <v>0</v>
      </c>
      <c r="G62" s="307">
        <v>0</v>
      </c>
      <c r="I62" s="674"/>
      <c r="J62" s="308"/>
      <c r="K62" s="308"/>
    </row>
    <row r="63" spans="1:11" x14ac:dyDescent="0.25">
      <c r="A63" s="18">
        <v>56</v>
      </c>
      <c r="B63" s="314" t="s">
        <v>125</v>
      </c>
      <c r="C63" s="22" t="s">
        <v>126</v>
      </c>
      <c r="D63" s="307">
        <f t="shared" si="1"/>
        <v>0</v>
      </c>
      <c r="E63" s="307">
        <v>0</v>
      </c>
      <c r="F63" s="307">
        <v>0</v>
      </c>
      <c r="G63" s="307">
        <v>0</v>
      </c>
      <c r="I63" s="674"/>
      <c r="J63" s="308"/>
      <c r="K63" s="308"/>
    </row>
    <row r="64" spans="1:11" x14ac:dyDescent="0.25">
      <c r="A64" s="18">
        <v>57</v>
      </c>
      <c r="B64" s="21" t="s">
        <v>127</v>
      </c>
      <c r="C64" s="310" t="s">
        <v>128</v>
      </c>
      <c r="D64" s="307">
        <f t="shared" si="1"/>
        <v>35</v>
      </c>
      <c r="E64" s="307">
        <v>0</v>
      </c>
      <c r="F64" s="307">
        <v>0</v>
      </c>
      <c r="G64" s="307">
        <v>35</v>
      </c>
      <c r="I64" s="674"/>
      <c r="J64" s="308"/>
      <c r="K64" s="308"/>
    </row>
    <row r="65" spans="1:11" x14ac:dyDescent="0.25">
      <c r="A65" s="18">
        <v>58</v>
      </c>
      <c r="B65" s="309" t="s">
        <v>129</v>
      </c>
      <c r="C65" s="310" t="s">
        <v>767</v>
      </c>
      <c r="D65" s="307">
        <f t="shared" si="1"/>
        <v>42</v>
      </c>
      <c r="E65" s="307">
        <v>0</v>
      </c>
      <c r="F65" s="307">
        <v>0</v>
      </c>
      <c r="G65" s="307">
        <v>42</v>
      </c>
      <c r="I65" s="674"/>
      <c r="J65" s="308"/>
      <c r="K65" s="308"/>
    </row>
    <row r="66" spans="1:11" x14ac:dyDescent="0.25">
      <c r="A66" s="18">
        <v>59</v>
      </c>
      <c r="B66" s="311" t="s">
        <v>131</v>
      </c>
      <c r="C66" s="22" t="s">
        <v>132</v>
      </c>
      <c r="D66" s="307">
        <f t="shared" si="1"/>
        <v>46</v>
      </c>
      <c r="E66" s="307">
        <v>0</v>
      </c>
      <c r="F66" s="307">
        <v>0</v>
      </c>
      <c r="G66" s="307">
        <v>46</v>
      </c>
      <c r="I66" s="674"/>
      <c r="J66" s="308"/>
      <c r="K66" s="308"/>
    </row>
    <row r="67" spans="1:11" x14ac:dyDescent="0.25">
      <c r="A67" s="18">
        <v>60</v>
      </c>
      <c r="B67" s="309" t="s">
        <v>133</v>
      </c>
      <c r="C67" s="310" t="s">
        <v>768</v>
      </c>
      <c r="D67" s="307">
        <f t="shared" si="1"/>
        <v>61</v>
      </c>
      <c r="E67" s="307">
        <v>0</v>
      </c>
      <c r="F67" s="307">
        <v>0</v>
      </c>
      <c r="G67" s="307">
        <v>61</v>
      </c>
      <c r="I67" s="674"/>
      <c r="J67" s="308"/>
      <c r="K67" s="308"/>
    </row>
    <row r="68" spans="1:11" ht="30" x14ac:dyDescent="0.25">
      <c r="A68" s="18">
        <v>61</v>
      </c>
      <c r="B68" s="21" t="s">
        <v>135</v>
      </c>
      <c r="C68" s="310" t="s">
        <v>136</v>
      </c>
      <c r="D68" s="307">
        <f t="shared" si="1"/>
        <v>25</v>
      </c>
      <c r="E68" s="307">
        <v>0</v>
      </c>
      <c r="F68" s="307">
        <v>0</v>
      </c>
      <c r="G68" s="307">
        <v>25</v>
      </c>
      <c r="I68" s="674"/>
      <c r="J68" s="308"/>
      <c r="K68" s="308"/>
    </row>
    <row r="69" spans="1:11" ht="30" x14ac:dyDescent="0.25">
      <c r="A69" s="18">
        <v>62</v>
      </c>
      <c r="B69" s="305" t="s">
        <v>137</v>
      </c>
      <c r="C69" s="310" t="s">
        <v>769</v>
      </c>
      <c r="D69" s="307">
        <f t="shared" si="1"/>
        <v>0</v>
      </c>
      <c r="E69" s="307">
        <v>0</v>
      </c>
      <c r="F69" s="307">
        <v>0</v>
      </c>
      <c r="G69" s="307">
        <v>0</v>
      </c>
      <c r="I69" s="674"/>
      <c r="J69" s="308"/>
      <c r="K69" s="308"/>
    </row>
    <row r="70" spans="1:11" ht="30" x14ac:dyDescent="0.25">
      <c r="A70" s="18">
        <v>63</v>
      </c>
      <c r="B70" s="305" t="s">
        <v>139</v>
      </c>
      <c r="C70" s="310" t="s">
        <v>770</v>
      </c>
      <c r="D70" s="307">
        <f t="shared" si="1"/>
        <v>0</v>
      </c>
      <c r="E70" s="307">
        <v>0</v>
      </c>
      <c r="F70" s="307">
        <v>0</v>
      </c>
      <c r="G70" s="307">
        <v>0</v>
      </c>
      <c r="I70" s="674"/>
      <c r="J70" s="308"/>
      <c r="K70" s="308"/>
    </row>
    <row r="71" spans="1:11" x14ac:dyDescent="0.25">
      <c r="A71" s="18">
        <v>64</v>
      </c>
      <c r="B71" s="309" t="s">
        <v>141</v>
      </c>
      <c r="C71" s="310" t="s">
        <v>771</v>
      </c>
      <c r="D71" s="307">
        <f t="shared" si="1"/>
        <v>2348</v>
      </c>
      <c r="E71" s="307">
        <v>180</v>
      </c>
      <c r="F71" s="307">
        <v>2168</v>
      </c>
      <c r="G71" s="307">
        <v>0</v>
      </c>
      <c r="I71" s="674"/>
      <c r="J71" s="308"/>
      <c r="K71" s="308"/>
    </row>
    <row r="72" spans="1:11" x14ac:dyDescent="0.25">
      <c r="A72" s="18">
        <v>65</v>
      </c>
      <c r="B72" s="309" t="s">
        <v>143</v>
      </c>
      <c r="C72" s="306" t="s">
        <v>144</v>
      </c>
      <c r="D72" s="307">
        <f t="shared" si="1"/>
        <v>1105</v>
      </c>
      <c r="E72" s="307">
        <v>100</v>
      </c>
      <c r="F72" s="307">
        <v>1005</v>
      </c>
      <c r="G72" s="307">
        <v>0</v>
      </c>
      <c r="I72" s="674"/>
      <c r="J72" s="308"/>
      <c r="K72" s="308"/>
    </row>
    <row r="73" spans="1:11" x14ac:dyDescent="0.25">
      <c r="A73" s="18">
        <v>66</v>
      </c>
      <c r="B73" s="309" t="s">
        <v>145</v>
      </c>
      <c r="C73" s="310" t="s">
        <v>772</v>
      </c>
      <c r="D73" s="307">
        <f t="shared" ref="D73:D136" si="2">SUM(E73:G73)</f>
        <v>2218</v>
      </c>
      <c r="E73" s="307">
        <v>260</v>
      </c>
      <c r="F73" s="307">
        <v>1958</v>
      </c>
      <c r="G73" s="307">
        <v>0</v>
      </c>
      <c r="I73" s="674"/>
      <c r="J73" s="308"/>
      <c r="K73" s="308"/>
    </row>
    <row r="74" spans="1:11" ht="30" x14ac:dyDescent="0.25">
      <c r="A74" s="18">
        <v>67</v>
      </c>
      <c r="B74" s="309" t="s">
        <v>147</v>
      </c>
      <c r="C74" s="310" t="s">
        <v>773</v>
      </c>
      <c r="D74" s="307">
        <f t="shared" si="2"/>
        <v>0</v>
      </c>
      <c r="E74" s="307">
        <v>0</v>
      </c>
      <c r="F74" s="307">
        <v>0</v>
      </c>
      <c r="G74" s="307">
        <v>0</v>
      </c>
      <c r="I74" s="674"/>
      <c r="J74" s="308"/>
      <c r="K74" s="308"/>
    </row>
    <row r="75" spans="1:11" ht="30" x14ac:dyDescent="0.25">
      <c r="A75" s="18">
        <v>68</v>
      </c>
      <c r="B75" s="305" t="s">
        <v>149</v>
      </c>
      <c r="C75" s="310" t="s">
        <v>774</v>
      </c>
      <c r="D75" s="307">
        <f t="shared" si="2"/>
        <v>0</v>
      </c>
      <c r="E75" s="307">
        <v>0</v>
      </c>
      <c r="F75" s="307">
        <v>0</v>
      </c>
      <c r="G75" s="307">
        <v>0</v>
      </c>
      <c r="I75" s="674"/>
      <c r="J75" s="308"/>
      <c r="K75" s="308"/>
    </row>
    <row r="76" spans="1:11" ht="30" x14ac:dyDescent="0.25">
      <c r="A76" s="18">
        <v>69</v>
      </c>
      <c r="B76" s="309" t="s">
        <v>151</v>
      </c>
      <c r="C76" s="310" t="s">
        <v>775</v>
      </c>
      <c r="D76" s="307">
        <f t="shared" si="2"/>
        <v>0</v>
      </c>
      <c r="E76" s="307">
        <v>0</v>
      </c>
      <c r="F76" s="307">
        <v>0</v>
      </c>
      <c r="G76" s="307">
        <v>0</v>
      </c>
      <c r="I76" s="674"/>
      <c r="J76" s="308"/>
      <c r="K76" s="308"/>
    </row>
    <row r="77" spans="1:11" ht="30" x14ac:dyDescent="0.25">
      <c r="A77" s="18">
        <v>70</v>
      </c>
      <c r="B77" s="309" t="s">
        <v>153</v>
      </c>
      <c r="C77" s="310" t="s">
        <v>776</v>
      </c>
      <c r="D77" s="307">
        <f t="shared" si="2"/>
        <v>0</v>
      </c>
      <c r="E77" s="307">
        <v>0</v>
      </c>
      <c r="F77" s="307">
        <v>0</v>
      </c>
      <c r="G77" s="307">
        <v>0</v>
      </c>
      <c r="I77" s="674"/>
      <c r="J77" s="308"/>
      <c r="K77" s="308"/>
    </row>
    <row r="78" spans="1:11" ht="30" x14ac:dyDescent="0.25">
      <c r="A78" s="18">
        <v>71</v>
      </c>
      <c r="B78" s="305" t="s">
        <v>155</v>
      </c>
      <c r="C78" s="310" t="s">
        <v>777</v>
      </c>
      <c r="D78" s="307">
        <f t="shared" si="2"/>
        <v>0</v>
      </c>
      <c r="E78" s="307">
        <v>0</v>
      </c>
      <c r="F78" s="307">
        <v>0</v>
      </c>
      <c r="G78" s="307">
        <v>0</v>
      </c>
      <c r="I78" s="674"/>
      <c r="J78" s="308"/>
      <c r="K78" s="308"/>
    </row>
    <row r="79" spans="1:11" ht="30" x14ac:dyDescent="0.25">
      <c r="A79" s="18">
        <v>72</v>
      </c>
      <c r="B79" s="305" t="s">
        <v>157</v>
      </c>
      <c r="C79" s="310" t="s">
        <v>778</v>
      </c>
      <c r="D79" s="307">
        <f t="shared" si="2"/>
        <v>0</v>
      </c>
      <c r="E79" s="307">
        <v>0</v>
      </c>
      <c r="F79" s="307">
        <v>0</v>
      </c>
      <c r="G79" s="307">
        <v>0</v>
      </c>
      <c r="I79" s="674"/>
      <c r="J79" s="308"/>
      <c r="K79" s="308"/>
    </row>
    <row r="80" spans="1:11" ht="30" x14ac:dyDescent="0.25">
      <c r="A80" s="18">
        <v>73</v>
      </c>
      <c r="B80" s="305" t="s">
        <v>159</v>
      </c>
      <c r="C80" s="310" t="s">
        <v>779</v>
      </c>
      <c r="D80" s="307">
        <f t="shared" si="2"/>
        <v>0</v>
      </c>
      <c r="E80" s="307">
        <v>0</v>
      </c>
      <c r="F80" s="307">
        <v>0</v>
      </c>
      <c r="G80" s="307">
        <v>0</v>
      </c>
      <c r="I80" s="674"/>
      <c r="J80" s="308"/>
      <c r="K80" s="308"/>
    </row>
    <row r="81" spans="1:11" x14ac:dyDescent="0.25">
      <c r="A81" s="18">
        <v>74</v>
      </c>
      <c r="B81" s="21" t="s">
        <v>161</v>
      </c>
      <c r="C81" s="310" t="s">
        <v>162</v>
      </c>
      <c r="D81" s="307">
        <f t="shared" si="2"/>
        <v>1448</v>
      </c>
      <c r="E81" s="307">
        <v>170</v>
      </c>
      <c r="F81" s="307">
        <v>1255</v>
      </c>
      <c r="G81" s="307">
        <v>23</v>
      </c>
      <c r="I81" s="674"/>
      <c r="J81" s="308"/>
      <c r="K81" s="308"/>
    </row>
    <row r="82" spans="1:11" x14ac:dyDescent="0.25">
      <c r="A82" s="18">
        <v>75</v>
      </c>
      <c r="B82" s="305" t="s">
        <v>163</v>
      </c>
      <c r="C82" s="310" t="s">
        <v>780</v>
      </c>
      <c r="D82" s="307">
        <f t="shared" si="2"/>
        <v>1987</v>
      </c>
      <c r="E82" s="307">
        <v>230</v>
      </c>
      <c r="F82" s="307">
        <v>1757</v>
      </c>
      <c r="G82" s="307">
        <v>0</v>
      </c>
      <c r="I82" s="674"/>
      <c r="J82" s="308"/>
      <c r="K82" s="308"/>
    </row>
    <row r="83" spans="1:11" x14ac:dyDescent="0.25">
      <c r="A83" s="18">
        <v>76</v>
      </c>
      <c r="B83" s="21" t="s">
        <v>165</v>
      </c>
      <c r="C83" s="310" t="s">
        <v>166</v>
      </c>
      <c r="D83" s="307">
        <f t="shared" si="2"/>
        <v>1747</v>
      </c>
      <c r="E83" s="307">
        <v>180</v>
      </c>
      <c r="F83" s="307">
        <v>1567</v>
      </c>
      <c r="G83" s="307">
        <v>0</v>
      </c>
      <c r="I83" s="674"/>
      <c r="J83" s="308"/>
      <c r="K83" s="308"/>
    </row>
    <row r="84" spans="1:11" x14ac:dyDescent="0.25">
      <c r="A84" s="18">
        <v>77</v>
      </c>
      <c r="B84" s="311" t="s">
        <v>167</v>
      </c>
      <c r="C84" s="22" t="s">
        <v>168</v>
      </c>
      <c r="D84" s="307">
        <f t="shared" si="2"/>
        <v>0</v>
      </c>
      <c r="E84" s="307">
        <v>0</v>
      </c>
      <c r="F84" s="307">
        <v>0</v>
      </c>
      <c r="G84" s="307">
        <v>0</v>
      </c>
      <c r="I84" s="674"/>
      <c r="J84" s="308"/>
      <c r="K84" s="308"/>
    </row>
    <row r="85" spans="1:11" x14ac:dyDescent="0.25">
      <c r="A85" s="18">
        <v>78</v>
      </c>
      <c r="B85" s="305" t="s">
        <v>169</v>
      </c>
      <c r="C85" s="310" t="s">
        <v>170</v>
      </c>
      <c r="D85" s="307">
        <f t="shared" si="2"/>
        <v>2430</v>
      </c>
      <c r="E85" s="307">
        <v>380</v>
      </c>
      <c r="F85" s="307">
        <v>2050</v>
      </c>
      <c r="G85" s="307">
        <v>0</v>
      </c>
      <c r="I85" s="674"/>
      <c r="J85" s="308"/>
      <c r="K85" s="308"/>
    </row>
    <row r="86" spans="1:11" x14ac:dyDescent="0.25">
      <c r="A86" s="18">
        <v>79</v>
      </c>
      <c r="B86" s="311" t="s">
        <v>171</v>
      </c>
      <c r="C86" s="22" t="s">
        <v>172</v>
      </c>
      <c r="D86" s="307">
        <f t="shared" si="2"/>
        <v>21</v>
      </c>
      <c r="E86" s="307">
        <v>0</v>
      </c>
      <c r="F86" s="307">
        <v>0</v>
      </c>
      <c r="G86" s="307">
        <v>21</v>
      </c>
      <c r="I86" s="674"/>
      <c r="J86" s="308"/>
      <c r="K86" s="308"/>
    </row>
    <row r="87" spans="1:11" x14ac:dyDescent="0.25">
      <c r="A87" s="18">
        <v>80</v>
      </c>
      <c r="B87" s="305" t="s">
        <v>173</v>
      </c>
      <c r="C87" s="310" t="s">
        <v>781</v>
      </c>
      <c r="D87" s="307">
        <f t="shared" si="2"/>
        <v>1888</v>
      </c>
      <c r="E87" s="307">
        <v>230</v>
      </c>
      <c r="F87" s="307">
        <v>1658</v>
      </c>
      <c r="G87" s="307">
        <v>0</v>
      </c>
      <c r="I87" s="674"/>
      <c r="J87" s="308"/>
      <c r="K87" s="308"/>
    </row>
    <row r="88" spans="1:11" x14ac:dyDescent="0.25">
      <c r="A88" s="18">
        <v>81</v>
      </c>
      <c r="B88" s="311" t="s">
        <v>175</v>
      </c>
      <c r="C88" s="22" t="s">
        <v>742</v>
      </c>
      <c r="D88" s="307">
        <f t="shared" si="2"/>
        <v>0</v>
      </c>
      <c r="E88" s="307">
        <v>0</v>
      </c>
      <c r="F88" s="307">
        <v>0</v>
      </c>
      <c r="G88" s="307">
        <v>0</v>
      </c>
      <c r="I88" s="674"/>
      <c r="J88" s="308"/>
      <c r="K88" s="308"/>
    </row>
    <row r="89" spans="1:11" x14ac:dyDescent="0.25">
      <c r="A89" s="18">
        <v>82</v>
      </c>
      <c r="B89" s="309" t="s">
        <v>177</v>
      </c>
      <c r="C89" s="310" t="s">
        <v>782</v>
      </c>
      <c r="D89" s="307">
        <f t="shared" si="2"/>
        <v>0</v>
      </c>
      <c r="E89" s="307">
        <v>0</v>
      </c>
      <c r="F89" s="307">
        <v>0</v>
      </c>
      <c r="G89" s="307">
        <v>0</v>
      </c>
      <c r="I89" s="674"/>
      <c r="J89" s="308"/>
      <c r="K89" s="308"/>
    </row>
    <row r="90" spans="1:11" ht="48.75" customHeight="1" x14ac:dyDescent="0.25">
      <c r="A90" s="1134">
        <v>83</v>
      </c>
      <c r="B90" s="1137" t="s">
        <v>178</v>
      </c>
      <c r="C90" s="22" t="s">
        <v>740</v>
      </c>
      <c r="D90" s="307">
        <f t="shared" si="2"/>
        <v>0</v>
      </c>
      <c r="E90" s="307">
        <v>0</v>
      </c>
      <c r="F90" s="307">
        <v>0</v>
      </c>
      <c r="G90" s="307">
        <v>0</v>
      </c>
      <c r="I90" s="674"/>
      <c r="J90" s="308"/>
      <c r="K90" s="308"/>
    </row>
    <row r="91" spans="1:11" ht="38.25" customHeight="1" x14ac:dyDescent="0.25">
      <c r="A91" s="1135"/>
      <c r="B91" s="1138"/>
      <c r="C91" s="310" t="s">
        <v>180</v>
      </c>
      <c r="D91" s="307">
        <f t="shared" si="2"/>
        <v>0</v>
      </c>
      <c r="E91" s="307">
        <v>0</v>
      </c>
      <c r="F91" s="307">
        <v>0</v>
      </c>
      <c r="G91" s="307">
        <v>0</v>
      </c>
      <c r="I91" s="674"/>
      <c r="J91" s="308"/>
      <c r="K91" s="308"/>
    </row>
    <row r="92" spans="1:11" ht="45" x14ac:dyDescent="0.25">
      <c r="A92" s="1136"/>
      <c r="B92" s="1139"/>
      <c r="C92" s="315" t="s">
        <v>741</v>
      </c>
      <c r="D92" s="307">
        <f t="shared" si="2"/>
        <v>0</v>
      </c>
      <c r="E92" s="307">
        <v>0</v>
      </c>
      <c r="F92" s="307">
        <v>0</v>
      </c>
      <c r="G92" s="307">
        <v>0</v>
      </c>
      <c r="I92" s="674"/>
      <c r="J92" s="308"/>
      <c r="K92" s="308"/>
    </row>
    <row r="93" spans="1:11" ht="30" x14ac:dyDescent="0.25">
      <c r="A93" s="18">
        <v>84</v>
      </c>
      <c r="B93" s="309" t="s">
        <v>181</v>
      </c>
      <c r="C93" s="306" t="s">
        <v>182</v>
      </c>
      <c r="D93" s="307">
        <f t="shared" si="2"/>
        <v>0</v>
      </c>
      <c r="E93" s="307">
        <v>0</v>
      </c>
      <c r="F93" s="307">
        <v>0</v>
      </c>
      <c r="G93" s="307">
        <v>0</v>
      </c>
      <c r="I93" s="674"/>
      <c r="J93" s="308"/>
      <c r="K93" s="308"/>
    </row>
    <row r="94" spans="1:11" x14ac:dyDescent="0.25">
      <c r="A94" s="18">
        <v>85</v>
      </c>
      <c r="B94" s="309" t="s">
        <v>183</v>
      </c>
      <c r="C94" s="22" t="s">
        <v>184</v>
      </c>
      <c r="D94" s="307">
        <f t="shared" si="2"/>
        <v>0</v>
      </c>
      <c r="E94" s="307">
        <v>0</v>
      </c>
      <c r="F94" s="307">
        <v>0</v>
      </c>
      <c r="G94" s="307">
        <v>0</v>
      </c>
      <c r="I94" s="674"/>
      <c r="J94" s="308"/>
      <c r="K94" s="308"/>
    </row>
    <row r="95" spans="1:11" x14ac:dyDescent="0.25">
      <c r="A95" s="18">
        <v>86</v>
      </c>
      <c r="B95" s="21" t="s">
        <v>185</v>
      </c>
      <c r="C95" s="310" t="s">
        <v>186</v>
      </c>
      <c r="D95" s="307">
        <f t="shared" si="2"/>
        <v>0</v>
      </c>
      <c r="E95" s="307">
        <v>0</v>
      </c>
      <c r="F95" s="307">
        <v>0</v>
      </c>
      <c r="G95" s="307">
        <v>0</v>
      </c>
      <c r="I95" s="674"/>
      <c r="J95" s="308"/>
      <c r="K95" s="308"/>
    </row>
    <row r="96" spans="1:11" x14ac:dyDescent="0.25">
      <c r="A96" s="18">
        <v>87</v>
      </c>
      <c r="B96" s="309" t="s">
        <v>187</v>
      </c>
      <c r="C96" s="306" t="s">
        <v>188</v>
      </c>
      <c r="D96" s="307">
        <f t="shared" si="2"/>
        <v>0</v>
      </c>
      <c r="E96" s="307">
        <v>0</v>
      </c>
      <c r="F96" s="307">
        <v>0</v>
      </c>
      <c r="G96" s="307">
        <v>0</v>
      </c>
      <c r="I96" s="674"/>
      <c r="J96" s="308"/>
      <c r="K96" s="308"/>
    </row>
    <row r="97" spans="1:11" x14ac:dyDescent="0.25">
      <c r="A97" s="18">
        <v>88</v>
      </c>
      <c r="B97" s="21" t="s">
        <v>189</v>
      </c>
      <c r="C97" s="310" t="s">
        <v>190</v>
      </c>
      <c r="D97" s="307">
        <f t="shared" si="2"/>
        <v>0</v>
      </c>
      <c r="E97" s="307">
        <v>0</v>
      </c>
      <c r="F97" s="307">
        <v>0</v>
      </c>
      <c r="G97" s="307">
        <v>0</v>
      </c>
      <c r="I97" s="674"/>
      <c r="J97" s="308"/>
      <c r="K97" s="308"/>
    </row>
    <row r="98" spans="1:11" x14ac:dyDescent="0.25">
      <c r="A98" s="18">
        <v>89</v>
      </c>
      <c r="B98" s="21" t="s">
        <v>191</v>
      </c>
      <c r="C98" s="310" t="s">
        <v>192</v>
      </c>
      <c r="D98" s="307">
        <f t="shared" si="2"/>
        <v>1024</v>
      </c>
      <c r="E98" s="307">
        <v>110</v>
      </c>
      <c r="F98" s="307">
        <v>914</v>
      </c>
      <c r="G98" s="307">
        <v>0</v>
      </c>
      <c r="I98" s="674"/>
      <c r="J98" s="308"/>
      <c r="K98" s="308"/>
    </row>
    <row r="99" spans="1:11" x14ac:dyDescent="0.25">
      <c r="A99" s="18">
        <v>90</v>
      </c>
      <c r="B99" s="309" t="s">
        <v>193</v>
      </c>
      <c r="C99" s="22" t="s">
        <v>194</v>
      </c>
      <c r="D99" s="307">
        <f t="shared" si="2"/>
        <v>0</v>
      </c>
      <c r="E99" s="307">
        <v>0</v>
      </c>
      <c r="F99" s="307">
        <v>0</v>
      </c>
      <c r="G99" s="307">
        <v>0</v>
      </c>
      <c r="I99" s="674"/>
      <c r="J99" s="308"/>
      <c r="K99" s="308"/>
    </row>
    <row r="100" spans="1:11" x14ac:dyDescent="0.25">
      <c r="A100" s="18">
        <v>91</v>
      </c>
      <c r="B100" s="309" t="s">
        <v>195</v>
      </c>
      <c r="C100" s="306" t="s">
        <v>196</v>
      </c>
      <c r="D100" s="307">
        <f t="shared" si="2"/>
        <v>1064</v>
      </c>
      <c r="E100" s="307">
        <v>100</v>
      </c>
      <c r="F100" s="307">
        <v>964</v>
      </c>
      <c r="G100" s="307">
        <v>0</v>
      </c>
      <c r="I100" s="674"/>
      <c r="J100" s="308"/>
      <c r="K100" s="308"/>
    </row>
    <row r="101" spans="1:11" x14ac:dyDescent="0.25">
      <c r="A101" s="18">
        <v>92</v>
      </c>
      <c r="B101" s="305" t="s">
        <v>197</v>
      </c>
      <c r="C101" s="306" t="s">
        <v>198</v>
      </c>
      <c r="D101" s="307">
        <f t="shared" si="2"/>
        <v>823</v>
      </c>
      <c r="E101" s="307">
        <v>220</v>
      </c>
      <c r="F101" s="307">
        <v>603</v>
      </c>
      <c r="G101" s="307">
        <v>0</v>
      </c>
      <c r="I101" s="674"/>
      <c r="J101" s="308"/>
      <c r="K101" s="308"/>
    </row>
    <row r="102" spans="1:11" x14ac:dyDescent="0.25">
      <c r="A102" s="18">
        <v>93</v>
      </c>
      <c r="B102" s="305" t="s">
        <v>199</v>
      </c>
      <c r="C102" s="306" t="s">
        <v>200</v>
      </c>
      <c r="D102" s="307">
        <f t="shared" si="2"/>
        <v>1004</v>
      </c>
      <c r="E102" s="307">
        <v>90</v>
      </c>
      <c r="F102" s="307">
        <v>914</v>
      </c>
      <c r="G102" s="307">
        <v>0</v>
      </c>
      <c r="I102" s="674"/>
      <c r="J102" s="308"/>
      <c r="K102" s="308"/>
    </row>
    <row r="103" spans="1:11" x14ac:dyDescent="0.25">
      <c r="A103" s="18">
        <v>94</v>
      </c>
      <c r="B103" s="21" t="s">
        <v>201</v>
      </c>
      <c r="C103" s="310" t="s">
        <v>202</v>
      </c>
      <c r="D103" s="307">
        <f t="shared" si="2"/>
        <v>281</v>
      </c>
      <c r="E103" s="307">
        <v>40</v>
      </c>
      <c r="F103" s="307">
        <v>241</v>
      </c>
      <c r="G103" s="307">
        <v>0</v>
      </c>
      <c r="I103" s="674"/>
      <c r="J103" s="308"/>
      <c r="K103" s="308"/>
    </row>
    <row r="104" spans="1:11" x14ac:dyDescent="0.25">
      <c r="A104" s="18">
        <v>95</v>
      </c>
      <c r="B104" s="311" t="s">
        <v>203</v>
      </c>
      <c r="C104" s="22" t="s">
        <v>204</v>
      </c>
      <c r="D104" s="307">
        <f t="shared" si="2"/>
        <v>0</v>
      </c>
      <c r="E104" s="307">
        <v>0</v>
      </c>
      <c r="F104" s="307">
        <v>0</v>
      </c>
      <c r="G104" s="307">
        <v>0</v>
      </c>
      <c r="I104" s="674"/>
      <c r="J104" s="308"/>
      <c r="K104" s="308"/>
    </row>
    <row r="105" spans="1:11" x14ac:dyDescent="0.25">
      <c r="A105" s="18">
        <v>96</v>
      </c>
      <c r="B105" s="305" t="s">
        <v>205</v>
      </c>
      <c r="C105" s="306" t="s">
        <v>206</v>
      </c>
      <c r="D105" s="307">
        <f t="shared" si="2"/>
        <v>0</v>
      </c>
      <c r="E105" s="307">
        <v>0</v>
      </c>
      <c r="F105" s="307">
        <v>0</v>
      </c>
      <c r="G105" s="307">
        <v>0</v>
      </c>
      <c r="I105" s="674"/>
      <c r="J105" s="308"/>
      <c r="K105" s="308"/>
    </row>
    <row r="106" spans="1:11" x14ac:dyDescent="0.25">
      <c r="A106" s="18">
        <v>97</v>
      </c>
      <c r="B106" s="309" t="s">
        <v>207</v>
      </c>
      <c r="C106" s="306" t="s">
        <v>208</v>
      </c>
      <c r="D106" s="307">
        <f t="shared" si="2"/>
        <v>461</v>
      </c>
      <c r="E106" s="307">
        <v>60</v>
      </c>
      <c r="F106" s="307">
        <v>401</v>
      </c>
      <c r="G106" s="307">
        <v>0</v>
      </c>
      <c r="I106" s="674"/>
      <c r="J106" s="308"/>
      <c r="K106" s="308"/>
    </row>
    <row r="107" spans="1:11" x14ac:dyDescent="0.25">
      <c r="A107" s="18">
        <v>98</v>
      </c>
      <c r="B107" s="21" t="s">
        <v>209</v>
      </c>
      <c r="C107" s="310" t="s">
        <v>210</v>
      </c>
      <c r="D107" s="307">
        <f t="shared" si="2"/>
        <v>0</v>
      </c>
      <c r="E107" s="307">
        <v>0</v>
      </c>
      <c r="F107" s="307">
        <v>0</v>
      </c>
      <c r="G107" s="307">
        <v>0</v>
      </c>
      <c r="I107" s="674"/>
      <c r="J107" s="308"/>
      <c r="K107" s="308"/>
    </row>
    <row r="108" spans="1:11" x14ac:dyDescent="0.25">
      <c r="A108" s="18">
        <v>99</v>
      </c>
      <c r="B108" s="21" t="s">
        <v>211</v>
      </c>
      <c r="C108" s="310" t="s">
        <v>212</v>
      </c>
      <c r="D108" s="307">
        <f t="shared" si="2"/>
        <v>803</v>
      </c>
      <c r="E108" s="307">
        <v>100</v>
      </c>
      <c r="F108" s="307">
        <v>703</v>
      </c>
      <c r="G108" s="307">
        <v>0</v>
      </c>
      <c r="I108" s="674"/>
      <c r="J108" s="308"/>
      <c r="K108" s="308"/>
    </row>
    <row r="109" spans="1:11" x14ac:dyDescent="0.25">
      <c r="A109" s="18">
        <v>100</v>
      </c>
      <c r="B109" s="305" t="s">
        <v>213</v>
      </c>
      <c r="C109" s="306" t="s">
        <v>214</v>
      </c>
      <c r="D109" s="307">
        <f t="shared" si="2"/>
        <v>749</v>
      </c>
      <c r="E109" s="307">
        <v>70</v>
      </c>
      <c r="F109" s="307">
        <v>673</v>
      </c>
      <c r="G109" s="307">
        <v>6</v>
      </c>
      <c r="I109" s="674"/>
      <c r="J109" s="308"/>
      <c r="K109" s="308"/>
    </row>
    <row r="110" spans="1:11" x14ac:dyDescent="0.25">
      <c r="A110" s="18">
        <v>101</v>
      </c>
      <c r="B110" s="309" t="s">
        <v>215</v>
      </c>
      <c r="C110" s="306" t="s">
        <v>216</v>
      </c>
      <c r="D110" s="307">
        <f t="shared" si="2"/>
        <v>0</v>
      </c>
      <c r="E110" s="307">
        <v>0</v>
      </c>
      <c r="F110" s="307">
        <v>0</v>
      </c>
      <c r="G110" s="307">
        <v>0</v>
      </c>
      <c r="I110" s="674"/>
      <c r="J110" s="308"/>
      <c r="K110" s="308"/>
    </row>
    <row r="111" spans="1:11" x14ac:dyDescent="0.25">
      <c r="A111" s="18">
        <v>102</v>
      </c>
      <c r="B111" s="305" t="s">
        <v>217</v>
      </c>
      <c r="C111" s="310" t="s">
        <v>218</v>
      </c>
      <c r="D111" s="307">
        <f t="shared" si="2"/>
        <v>0</v>
      </c>
      <c r="E111" s="307">
        <v>0</v>
      </c>
      <c r="F111" s="307">
        <v>0</v>
      </c>
      <c r="G111" s="307">
        <v>0</v>
      </c>
      <c r="I111" s="674"/>
      <c r="J111" s="308"/>
      <c r="K111" s="308"/>
    </row>
    <row r="112" spans="1:11" x14ac:dyDescent="0.25">
      <c r="A112" s="18">
        <v>103</v>
      </c>
      <c r="B112" s="305" t="s">
        <v>219</v>
      </c>
      <c r="C112" s="306" t="s">
        <v>220</v>
      </c>
      <c r="D112" s="307">
        <f t="shared" si="2"/>
        <v>0</v>
      </c>
      <c r="E112" s="307">
        <v>0</v>
      </c>
      <c r="F112" s="307">
        <v>0</v>
      </c>
      <c r="G112" s="307">
        <v>0</v>
      </c>
      <c r="I112" s="674"/>
      <c r="J112" s="308"/>
      <c r="K112" s="308"/>
    </row>
    <row r="113" spans="1:11" x14ac:dyDescent="0.25">
      <c r="A113" s="18">
        <v>104</v>
      </c>
      <c r="B113" s="21" t="s">
        <v>221</v>
      </c>
      <c r="C113" s="310" t="s">
        <v>222</v>
      </c>
      <c r="D113" s="307">
        <f t="shared" si="2"/>
        <v>0</v>
      </c>
      <c r="E113" s="307">
        <v>0</v>
      </c>
      <c r="F113" s="307">
        <v>0</v>
      </c>
      <c r="G113" s="307">
        <v>0</v>
      </c>
      <c r="I113" s="674"/>
      <c r="J113" s="308"/>
      <c r="K113" s="308"/>
    </row>
    <row r="114" spans="1:11" x14ac:dyDescent="0.25">
      <c r="A114" s="18">
        <v>105</v>
      </c>
      <c r="B114" s="21" t="s">
        <v>223</v>
      </c>
      <c r="C114" s="310" t="s">
        <v>224</v>
      </c>
      <c r="D114" s="307">
        <f t="shared" si="2"/>
        <v>0</v>
      </c>
      <c r="E114" s="307">
        <v>0</v>
      </c>
      <c r="F114" s="307">
        <v>0</v>
      </c>
      <c r="G114" s="307">
        <v>0</v>
      </c>
      <c r="I114" s="674"/>
      <c r="J114" s="308"/>
      <c r="K114" s="308"/>
    </row>
    <row r="115" spans="1:11" x14ac:dyDescent="0.25">
      <c r="A115" s="18">
        <v>106</v>
      </c>
      <c r="B115" s="21" t="s">
        <v>225</v>
      </c>
      <c r="C115" s="310" t="s">
        <v>226</v>
      </c>
      <c r="D115" s="307">
        <f t="shared" si="2"/>
        <v>0</v>
      </c>
      <c r="E115" s="307">
        <v>0</v>
      </c>
      <c r="F115" s="307">
        <v>0</v>
      </c>
      <c r="G115" s="307">
        <v>0</v>
      </c>
      <c r="I115" s="674"/>
      <c r="J115" s="308"/>
      <c r="K115" s="308"/>
    </row>
    <row r="116" spans="1:11" x14ac:dyDescent="0.25">
      <c r="A116" s="18">
        <v>107</v>
      </c>
      <c r="B116" s="21" t="s">
        <v>227</v>
      </c>
      <c r="C116" s="310" t="s">
        <v>228</v>
      </c>
      <c r="D116" s="307">
        <f t="shared" si="2"/>
        <v>0</v>
      </c>
      <c r="E116" s="307">
        <v>0</v>
      </c>
      <c r="F116" s="307">
        <v>0</v>
      </c>
      <c r="G116" s="307">
        <v>0</v>
      </c>
      <c r="I116" s="674"/>
      <c r="J116" s="308"/>
      <c r="K116" s="308"/>
    </row>
    <row r="117" spans="1:11" x14ac:dyDescent="0.25">
      <c r="A117" s="18">
        <v>108</v>
      </c>
      <c r="B117" s="21" t="s">
        <v>229</v>
      </c>
      <c r="C117" s="310" t="s">
        <v>230</v>
      </c>
      <c r="D117" s="307">
        <f t="shared" si="2"/>
        <v>0</v>
      </c>
      <c r="E117" s="307">
        <v>0</v>
      </c>
      <c r="F117" s="307">
        <v>0</v>
      </c>
      <c r="G117" s="307">
        <v>0</v>
      </c>
      <c r="I117" s="674"/>
      <c r="J117" s="308"/>
      <c r="K117" s="308"/>
    </row>
    <row r="118" spans="1:11" x14ac:dyDescent="0.25">
      <c r="A118" s="18">
        <v>109</v>
      </c>
      <c r="B118" s="21" t="s">
        <v>231</v>
      </c>
      <c r="C118" s="310" t="s">
        <v>232</v>
      </c>
      <c r="D118" s="307">
        <f t="shared" si="2"/>
        <v>0</v>
      </c>
      <c r="E118" s="307">
        <v>0</v>
      </c>
      <c r="F118" s="307">
        <v>0</v>
      </c>
      <c r="G118" s="307">
        <v>0</v>
      </c>
      <c r="I118" s="674"/>
      <c r="J118" s="308"/>
      <c r="K118" s="308"/>
    </row>
    <row r="119" spans="1:11" x14ac:dyDescent="0.25">
      <c r="A119" s="18">
        <v>110</v>
      </c>
      <c r="B119" s="316" t="s">
        <v>233</v>
      </c>
      <c r="C119" s="317" t="s">
        <v>234</v>
      </c>
      <c r="D119" s="307">
        <f t="shared" si="2"/>
        <v>0</v>
      </c>
      <c r="E119" s="307">
        <v>0</v>
      </c>
      <c r="F119" s="307">
        <v>0</v>
      </c>
      <c r="G119" s="307">
        <v>0</v>
      </c>
      <c r="I119" s="674"/>
      <c r="J119" s="308"/>
      <c r="K119" s="308"/>
    </row>
    <row r="120" spans="1:11" x14ac:dyDescent="0.25">
      <c r="A120" s="18">
        <v>111</v>
      </c>
      <c r="B120" s="316" t="s">
        <v>235</v>
      </c>
      <c r="C120" s="317" t="s">
        <v>236</v>
      </c>
      <c r="D120" s="307">
        <f t="shared" si="2"/>
        <v>0</v>
      </c>
      <c r="E120" s="307">
        <v>0</v>
      </c>
      <c r="F120" s="307">
        <v>0</v>
      </c>
      <c r="G120" s="307">
        <v>0</v>
      </c>
      <c r="I120" s="674"/>
      <c r="J120" s="308"/>
      <c r="K120" s="308"/>
    </row>
    <row r="121" spans="1:11" x14ac:dyDescent="0.25">
      <c r="A121" s="18">
        <v>112</v>
      </c>
      <c r="B121" s="309" t="s">
        <v>237</v>
      </c>
      <c r="C121" s="306" t="s">
        <v>238</v>
      </c>
      <c r="D121" s="307">
        <f t="shared" si="2"/>
        <v>0</v>
      </c>
      <c r="E121" s="307">
        <v>0</v>
      </c>
      <c r="F121" s="307">
        <v>0</v>
      </c>
      <c r="G121" s="307">
        <v>0</v>
      </c>
      <c r="I121" s="674"/>
      <c r="J121" s="308"/>
      <c r="K121" s="308"/>
    </row>
    <row r="122" spans="1:11" x14ac:dyDescent="0.25">
      <c r="A122" s="18">
        <v>113</v>
      </c>
      <c r="B122" s="21" t="s">
        <v>239</v>
      </c>
      <c r="C122" s="310" t="s">
        <v>240</v>
      </c>
      <c r="D122" s="307">
        <f t="shared" si="2"/>
        <v>0</v>
      </c>
      <c r="E122" s="307">
        <v>0</v>
      </c>
      <c r="F122" s="307">
        <v>0</v>
      </c>
      <c r="G122" s="307">
        <v>0</v>
      </c>
      <c r="I122" s="674"/>
      <c r="J122" s="308"/>
      <c r="K122" s="308"/>
    </row>
    <row r="123" spans="1:11" x14ac:dyDescent="0.25">
      <c r="A123" s="18">
        <v>114</v>
      </c>
      <c r="B123" s="305" t="s">
        <v>241</v>
      </c>
      <c r="C123" s="318" t="s">
        <v>242</v>
      </c>
      <c r="D123" s="307">
        <f t="shared" si="2"/>
        <v>0</v>
      </c>
      <c r="E123" s="307">
        <v>0</v>
      </c>
      <c r="F123" s="307">
        <v>0</v>
      </c>
      <c r="G123" s="307">
        <v>0</v>
      </c>
      <c r="I123" s="674"/>
      <c r="J123" s="308"/>
      <c r="K123" s="308"/>
    </row>
    <row r="124" spans="1:11" x14ac:dyDescent="0.25">
      <c r="A124" s="18">
        <v>115</v>
      </c>
      <c r="B124" s="21" t="s">
        <v>243</v>
      </c>
      <c r="C124" s="319" t="s">
        <v>385</v>
      </c>
      <c r="D124" s="307">
        <f t="shared" si="2"/>
        <v>0</v>
      </c>
      <c r="E124" s="307">
        <v>0</v>
      </c>
      <c r="F124" s="307">
        <v>0</v>
      </c>
      <c r="G124" s="307">
        <v>0</v>
      </c>
      <c r="I124" s="674"/>
      <c r="J124" s="308"/>
      <c r="K124" s="308"/>
    </row>
    <row r="125" spans="1:11" x14ac:dyDescent="0.25">
      <c r="A125" s="18">
        <v>116</v>
      </c>
      <c r="B125" s="309" t="s">
        <v>244</v>
      </c>
      <c r="C125" s="310" t="s">
        <v>783</v>
      </c>
      <c r="D125" s="307">
        <f t="shared" si="2"/>
        <v>0</v>
      </c>
      <c r="E125" s="307">
        <v>0</v>
      </c>
      <c r="F125" s="307">
        <v>0</v>
      </c>
      <c r="G125" s="307">
        <v>0</v>
      </c>
      <c r="I125" s="674"/>
      <c r="J125" s="308"/>
      <c r="K125" s="308"/>
    </row>
    <row r="126" spans="1:11" x14ac:dyDescent="0.25">
      <c r="A126" s="18">
        <v>117</v>
      </c>
      <c r="B126" s="309" t="s">
        <v>246</v>
      </c>
      <c r="C126" s="310" t="s">
        <v>247</v>
      </c>
      <c r="D126" s="307">
        <f t="shared" si="2"/>
        <v>0</v>
      </c>
      <c r="E126" s="307">
        <v>0</v>
      </c>
      <c r="F126" s="307">
        <v>0</v>
      </c>
      <c r="G126" s="307">
        <v>0</v>
      </c>
      <c r="I126" s="674"/>
      <c r="J126" s="308"/>
      <c r="K126" s="308"/>
    </row>
    <row r="127" spans="1:11" x14ac:dyDescent="0.25">
      <c r="A127" s="18">
        <v>118</v>
      </c>
      <c r="B127" s="309" t="s">
        <v>248</v>
      </c>
      <c r="C127" s="310" t="s">
        <v>249</v>
      </c>
      <c r="D127" s="307">
        <f t="shared" si="2"/>
        <v>0</v>
      </c>
      <c r="E127" s="307">
        <v>0</v>
      </c>
      <c r="F127" s="307">
        <v>0</v>
      </c>
      <c r="G127" s="307">
        <v>0</v>
      </c>
      <c r="I127" s="674"/>
      <c r="J127" s="308"/>
      <c r="K127" s="308"/>
    </row>
    <row r="128" spans="1:11" x14ac:dyDescent="0.25">
      <c r="A128" s="18">
        <v>119</v>
      </c>
      <c r="B128" s="305" t="s">
        <v>250</v>
      </c>
      <c r="C128" s="306" t="s">
        <v>251</v>
      </c>
      <c r="D128" s="307">
        <f t="shared" si="2"/>
        <v>0</v>
      </c>
      <c r="E128" s="307">
        <v>0</v>
      </c>
      <c r="F128" s="307">
        <v>0</v>
      </c>
      <c r="G128" s="307">
        <v>0</v>
      </c>
      <c r="I128" s="674"/>
      <c r="J128" s="308"/>
      <c r="K128" s="308"/>
    </row>
    <row r="129" spans="1:11" x14ac:dyDescent="0.25">
      <c r="A129" s="18">
        <v>120</v>
      </c>
      <c r="B129" s="309" t="s">
        <v>252</v>
      </c>
      <c r="C129" s="306" t="s">
        <v>253</v>
      </c>
      <c r="D129" s="307">
        <f t="shared" si="2"/>
        <v>0</v>
      </c>
      <c r="E129" s="307">
        <v>0</v>
      </c>
      <c r="F129" s="307">
        <v>0</v>
      </c>
      <c r="G129" s="307">
        <v>0</v>
      </c>
      <c r="I129" s="674"/>
      <c r="J129" s="308"/>
      <c r="K129" s="308"/>
    </row>
    <row r="130" spans="1:11" x14ac:dyDescent="0.25">
      <c r="A130" s="18">
        <v>121</v>
      </c>
      <c r="B130" s="21" t="s">
        <v>254</v>
      </c>
      <c r="C130" s="310" t="s">
        <v>255</v>
      </c>
      <c r="D130" s="307">
        <f t="shared" si="2"/>
        <v>0</v>
      </c>
      <c r="E130" s="307">
        <v>0</v>
      </c>
      <c r="F130" s="307">
        <v>0</v>
      </c>
      <c r="G130" s="307">
        <v>0</v>
      </c>
      <c r="I130" s="674"/>
      <c r="J130" s="308"/>
      <c r="K130" s="308"/>
    </row>
    <row r="131" spans="1:11" x14ac:dyDescent="0.25">
      <c r="A131" s="18">
        <v>122</v>
      </c>
      <c r="B131" s="21" t="s">
        <v>256</v>
      </c>
      <c r="C131" s="310" t="s">
        <v>257</v>
      </c>
      <c r="D131" s="307">
        <f t="shared" si="2"/>
        <v>0</v>
      </c>
      <c r="E131" s="307">
        <v>0</v>
      </c>
      <c r="F131" s="307">
        <v>0</v>
      </c>
      <c r="G131" s="307">
        <v>0</v>
      </c>
      <c r="I131" s="674"/>
      <c r="J131" s="308"/>
      <c r="K131" s="308"/>
    </row>
    <row r="132" spans="1:11" x14ac:dyDescent="0.25">
      <c r="A132" s="18">
        <v>123</v>
      </c>
      <c r="B132" s="21" t="s">
        <v>258</v>
      </c>
      <c r="C132" s="310" t="s">
        <v>259</v>
      </c>
      <c r="D132" s="307">
        <f t="shared" si="2"/>
        <v>0</v>
      </c>
      <c r="E132" s="307">
        <v>0</v>
      </c>
      <c r="F132" s="307">
        <v>0</v>
      </c>
      <c r="G132" s="307">
        <v>0</v>
      </c>
      <c r="I132" s="674"/>
      <c r="J132" s="308"/>
      <c r="K132" s="308"/>
    </row>
    <row r="133" spans="1:11" x14ac:dyDescent="0.25">
      <c r="A133" s="18">
        <v>124</v>
      </c>
      <c r="B133" s="21" t="s">
        <v>260</v>
      </c>
      <c r="C133" s="310" t="s">
        <v>261</v>
      </c>
      <c r="D133" s="307">
        <f t="shared" si="2"/>
        <v>0</v>
      </c>
      <c r="E133" s="307">
        <v>0</v>
      </c>
      <c r="F133" s="307">
        <v>0</v>
      </c>
      <c r="G133" s="307">
        <v>0</v>
      </c>
      <c r="I133" s="674"/>
      <c r="J133" s="308"/>
      <c r="K133" s="308"/>
    </row>
    <row r="134" spans="1:11" x14ac:dyDescent="0.25">
      <c r="A134" s="18">
        <v>125</v>
      </c>
      <c r="B134" s="21" t="s">
        <v>262</v>
      </c>
      <c r="C134" s="310" t="s">
        <v>263</v>
      </c>
      <c r="D134" s="307">
        <f t="shared" si="2"/>
        <v>0</v>
      </c>
      <c r="E134" s="307">
        <v>0</v>
      </c>
      <c r="F134" s="307">
        <v>0</v>
      </c>
      <c r="G134" s="307">
        <v>0</v>
      </c>
      <c r="I134" s="674"/>
      <c r="J134" s="308"/>
      <c r="K134" s="308"/>
    </row>
    <row r="135" spans="1:11" x14ac:dyDescent="0.25">
      <c r="A135" s="18">
        <v>126</v>
      </c>
      <c r="B135" s="305" t="s">
        <v>264</v>
      </c>
      <c r="C135" s="306" t="s">
        <v>265</v>
      </c>
      <c r="D135" s="307">
        <f t="shared" si="2"/>
        <v>201</v>
      </c>
      <c r="E135" s="307">
        <v>0</v>
      </c>
      <c r="F135" s="307">
        <v>0</v>
      </c>
      <c r="G135" s="307">
        <v>201</v>
      </c>
      <c r="I135" s="674"/>
      <c r="J135" s="308"/>
      <c r="K135" s="308"/>
    </row>
    <row r="136" spans="1:11" x14ac:dyDescent="0.25">
      <c r="A136" s="18">
        <v>127</v>
      </c>
      <c r="B136" s="305" t="s">
        <v>266</v>
      </c>
      <c r="C136" s="310" t="s">
        <v>267</v>
      </c>
      <c r="D136" s="307">
        <f t="shared" si="2"/>
        <v>0</v>
      </c>
      <c r="E136" s="307">
        <v>0</v>
      </c>
      <c r="F136" s="307">
        <v>0</v>
      </c>
      <c r="G136" s="307">
        <v>0</v>
      </c>
      <c r="I136" s="674"/>
      <c r="J136" s="308"/>
      <c r="K136" s="308"/>
    </row>
    <row r="137" spans="1:11" x14ac:dyDescent="0.25">
      <c r="A137" s="18">
        <v>128</v>
      </c>
      <c r="B137" s="311" t="s">
        <v>268</v>
      </c>
      <c r="C137" s="22" t="s">
        <v>269</v>
      </c>
      <c r="D137" s="307">
        <f t="shared" ref="D137:D149" si="3">SUM(E137:G137)</f>
        <v>0</v>
      </c>
      <c r="E137" s="307">
        <v>0</v>
      </c>
      <c r="F137" s="307">
        <v>0</v>
      </c>
      <c r="G137" s="307">
        <v>0</v>
      </c>
      <c r="I137" s="674"/>
      <c r="J137" s="308"/>
      <c r="K137" s="308"/>
    </row>
    <row r="138" spans="1:11" x14ac:dyDescent="0.25">
      <c r="A138" s="18">
        <v>129</v>
      </c>
      <c r="B138" s="21" t="s">
        <v>270</v>
      </c>
      <c r="C138" s="310" t="s">
        <v>271</v>
      </c>
      <c r="D138" s="307">
        <f t="shared" si="3"/>
        <v>0</v>
      </c>
      <c r="E138" s="307">
        <v>0</v>
      </c>
      <c r="F138" s="307">
        <v>0</v>
      </c>
      <c r="G138" s="307">
        <v>0</v>
      </c>
      <c r="I138" s="674"/>
      <c r="J138" s="308"/>
      <c r="K138" s="308"/>
    </row>
    <row r="139" spans="1:11" x14ac:dyDescent="0.25">
      <c r="A139" s="18">
        <v>130</v>
      </c>
      <c r="B139" s="21" t="s">
        <v>272</v>
      </c>
      <c r="C139" s="310" t="s">
        <v>273</v>
      </c>
      <c r="D139" s="307">
        <f t="shared" si="3"/>
        <v>0</v>
      </c>
      <c r="E139" s="307">
        <v>0</v>
      </c>
      <c r="F139" s="307">
        <v>0</v>
      </c>
      <c r="G139" s="307">
        <v>0</v>
      </c>
      <c r="I139" s="674"/>
      <c r="J139" s="308"/>
      <c r="K139" s="308"/>
    </row>
    <row r="140" spans="1:11" x14ac:dyDescent="0.25">
      <c r="A140" s="18">
        <v>131</v>
      </c>
      <c r="B140" s="21" t="s">
        <v>274</v>
      </c>
      <c r="C140" s="310" t="s">
        <v>275</v>
      </c>
      <c r="D140" s="307">
        <f t="shared" si="3"/>
        <v>0</v>
      </c>
      <c r="E140" s="307">
        <v>0</v>
      </c>
      <c r="F140" s="307">
        <v>0</v>
      </c>
      <c r="G140" s="307">
        <v>0</v>
      </c>
      <c r="I140" s="674"/>
      <c r="J140" s="308"/>
      <c r="K140" s="308"/>
    </row>
    <row r="141" spans="1:11" x14ac:dyDescent="0.25">
      <c r="A141" s="18">
        <v>132</v>
      </c>
      <c r="B141" s="311" t="s">
        <v>276</v>
      </c>
      <c r="C141" s="22" t="s">
        <v>277</v>
      </c>
      <c r="D141" s="307">
        <f t="shared" si="3"/>
        <v>1204</v>
      </c>
      <c r="E141" s="307">
        <v>130</v>
      </c>
      <c r="F141" s="307">
        <v>1074</v>
      </c>
      <c r="G141" s="307">
        <v>0</v>
      </c>
      <c r="I141" s="674"/>
      <c r="J141" s="308"/>
      <c r="K141" s="308"/>
    </row>
    <row r="142" spans="1:11" x14ac:dyDescent="0.25">
      <c r="A142" s="18">
        <v>133</v>
      </c>
      <c r="B142" s="309" t="s">
        <v>278</v>
      </c>
      <c r="C142" s="22" t="s">
        <v>279</v>
      </c>
      <c r="D142" s="307">
        <f t="shared" si="3"/>
        <v>2309</v>
      </c>
      <c r="E142" s="307">
        <v>240</v>
      </c>
      <c r="F142" s="307">
        <v>2048</v>
      </c>
      <c r="G142" s="307">
        <v>21</v>
      </c>
      <c r="I142" s="674"/>
      <c r="J142" s="308"/>
      <c r="K142" s="308"/>
    </row>
    <row r="143" spans="1:11" x14ac:dyDescent="0.25">
      <c r="A143" s="18">
        <v>134</v>
      </c>
      <c r="B143" s="21" t="s">
        <v>280</v>
      </c>
      <c r="C143" s="310" t="s">
        <v>281</v>
      </c>
      <c r="D143" s="307">
        <f t="shared" si="3"/>
        <v>0</v>
      </c>
      <c r="E143" s="307">
        <v>0</v>
      </c>
      <c r="F143" s="307">
        <v>0</v>
      </c>
      <c r="G143" s="307">
        <v>0</v>
      </c>
      <c r="I143" s="674"/>
      <c r="J143" s="308"/>
      <c r="K143" s="308"/>
    </row>
    <row r="144" spans="1:11" x14ac:dyDescent="0.25">
      <c r="A144" s="18">
        <v>135</v>
      </c>
      <c r="B144" s="305" t="s">
        <v>282</v>
      </c>
      <c r="C144" s="306" t="s">
        <v>283</v>
      </c>
      <c r="D144" s="307">
        <f t="shared" si="3"/>
        <v>0</v>
      </c>
      <c r="E144" s="307">
        <v>0</v>
      </c>
      <c r="F144" s="307">
        <v>0</v>
      </c>
      <c r="G144" s="307">
        <v>0</v>
      </c>
      <c r="I144" s="674"/>
      <c r="J144" s="308"/>
      <c r="K144" s="308"/>
    </row>
    <row r="145" spans="1:11" x14ac:dyDescent="0.25">
      <c r="A145" s="18">
        <v>136</v>
      </c>
      <c r="B145" s="21" t="s">
        <v>284</v>
      </c>
      <c r="C145" s="310" t="s">
        <v>285</v>
      </c>
      <c r="D145" s="307">
        <f t="shared" si="3"/>
        <v>0</v>
      </c>
      <c r="E145" s="307">
        <v>0</v>
      </c>
      <c r="F145" s="307">
        <v>0</v>
      </c>
      <c r="G145" s="307">
        <v>0</v>
      </c>
      <c r="I145" s="674"/>
      <c r="J145" s="308"/>
      <c r="K145" s="308"/>
    </row>
    <row r="146" spans="1:11" x14ac:dyDescent="0.25">
      <c r="A146" s="18">
        <v>137</v>
      </c>
      <c r="B146" s="320" t="s">
        <v>387</v>
      </c>
      <c r="C146" s="321" t="s">
        <v>388</v>
      </c>
      <c r="D146" s="307">
        <f t="shared" si="3"/>
        <v>0</v>
      </c>
      <c r="E146" s="307">
        <v>0</v>
      </c>
      <c r="F146" s="307">
        <v>0</v>
      </c>
      <c r="G146" s="307">
        <v>0</v>
      </c>
      <c r="I146" s="674"/>
      <c r="J146" s="308"/>
      <c r="K146" s="308"/>
    </row>
    <row r="147" spans="1:11" x14ac:dyDescent="0.25">
      <c r="A147" s="18">
        <v>138</v>
      </c>
      <c r="B147" s="322" t="s">
        <v>389</v>
      </c>
      <c r="C147" s="323" t="s">
        <v>390</v>
      </c>
      <c r="D147" s="307">
        <f t="shared" si="3"/>
        <v>0</v>
      </c>
      <c r="E147" s="307">
        <v>0</v>
      </c>
      <c r="F147" s="307">
        <v>0</v>
      </c>
      <c r="G147" s="307">
        <v>0</v>
      </c>
      <c r="I147" s="674"/>
      <c r="J147" s="308"/>
      <c r="K147" s="308"/>
    </row>
    <row r="148" spans="1:11" x14ac:dyDescent="0.25">
      <c r="A148" s="18">
        <v>139</v>
      </c>
      <c r="B148" s="324" t="s">
        <v>391</v>
      </c>
      <c r="C148" s="325" t="s">
        <v>392</v>
      </c>
      <c r="D148" s="307">
        <f t="shared" si="3"/>
        <v>0</v>
      </c>
      <c r="E148" s="307">
        <v>0</v>
      </c>
      <c r="F148" s="307">
        <v>0</v>
      </c>
      <c r="G148" s="307">
        <v>0</v>
      </c>
      <c r="I148" s="674"/>
      <c r="J148" s="308"/>
      <c r="K148" s="308"/>
    </row>
    <row r="149" spans="1:11" x14ac:dyDescent="0.25">
      <c r="A149" s="18">
        <v>140</v>
      </c>
      <c r="B149" s="18" t="s">
        <v>393</v>
      </c>
      <c r="C149" s="326" t="s">
        <v>394</v>
      </c>
      <c r="D149" s="307">
        <f t="shared" si="3"/>
        <v>0</v>
      </c>
      <c r="E149" s="307">
        <v>0</v>
      </c>
      <c r="F149" s="307">
        <v>0</v>
      </c>
      <c r="G149" s="307">
        <v>0</v>
      </c>
      <c r="I149" s="674"/>
      <c r="J149" s="308"/>
      <c r="K149" s="308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160"/>
  <sheetViews>
    <sheetView topLeftCell="A4" workbookViewId="0">
      <pane xSplit="4" ySplit="10" topLeftCell="E14" activePane="bottomRight" state="frozen"/>
      <selection activeCell="A4" sqref="A4"/>
      <selection pane="topRight" activeCell="E4" sqref="E4"/>
      <selection pane="bottomLeft" activeCell="A11" sqref="A11"/>
      <selection pane="bottomRight" activeCell="A12" sqref="A12:C12"/>
    </sheetView>
  </sheetViews>
  <sheetFormatPr defaultRowHeight="15" x14ac:dyDescent="0.25"/>
  <cols>
    <col min="1" max="1" width="4.7109375" style="44" customWidth="1"/>
    <col min="2" max="2" width="9.28515625" style="44" customWidth="1"/>
    <col min="3" max="3" width="30.140625" style="673" customWidth="1"/>
    <col min="4" max="4" width="15.5703125" style="652" customWidth="1"/>
    <col min="5" max="5" width="10.28515625" style="652" customWidth="1"/>
    <col min="6" max="6" width="10.140625" style="652" customWidth="1"/>
    <col min="7" max="7" width="11.7109375" style="652" customWidth="1"/>
    <col min="8" max="8" width="11.5703125" style="652" customWidth="1"/>
    <col min="9" max="9" width="12.140625" style="652" customWidth="1"/>
    <col min="10" max="10" width="12" style="652" customWidth="1"/>
    <col min="11" max="11" width="11" style="652" customWidth="1"/>
    <col min="12" max="12" width="10.85546875" style="652" customWidth="1"/>
    <col min="13" max="13" width="10.7109375" style="652" customWidth="1"/>
    <col min="14" max="14" width="11.7109375" style="652" customWidth="1"/>
    <col min="15" max="15" width="11.42578125" style="652" customWidth="1"/>
    <col min="16" max="16" width="11.7109375" style="652" customWidth="1"/>
    <col min="17" max="17" width="11" style="652" customWidth="1"/>
    <col min="18" max="18" width="11.85546875" style="652" customWidth="1"/>
    <col min="19" max="19" width="12" style="652" hidden="1" customWidth="1"/>
    <col min="20" max="20" width="8.85546875" style="652" customWidth="1"/>
    <col min="21" max="21" width="35.140625" style="652" customWidth="1"/>
    <col min="22" max="16384" width="9.140625" style="652"/>
  </cols>
  <sheetData>
    <row r="2" spans="1:20" ht="24" customHeight="1" x14ac:dyDescent="0.25">
      <c r="A2" s="652"/>
      <c r="B2" s="652"/>
      <c r="C2" s="652"/>
    </row>
    <row r="3" spans="1:20" ht="15" customHeight="1" x14ac:dyDescent="0.25">
      <c r="A3" s="652"/>
      <c r="B3" s="652"/>
      <c r="C3" s="652"/>
    </row>
    <row r="4" spans="1:20" ht="24.75" customHeight="1" x14ac:dyDescent="0.3">
      <c r="A4" s="1160" t="s">
        <v>360</v>
      </c>
      <c r="B4" s="1160"/>
      <c r="C4" s="1160"/>
      <c r="D4" s="1160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</row>
    <row r="5" spans="1:20" ht="15" customHeight="1" x14ac:dyDescent="0.25">
      <c r="A5" s="652"/>
      <c r="B5" s="652"/>
      <c r="C5" s="652"/>
    </row>
    <row r="6" spans="1:20" ht="15" customHeight="1" x14ac:dyDescent="0.25">
      <c r="A6" s="1161" t="s">
        <v>0</v>
      </c>
      <c r="B6" s="1161" t="s">
        <v>302</v>
      </c>
      <c r="C6" s="1161" t="s">
        <v>292</v>
      </c>
      <c r="D6" s="1164" t="s">
        <v>361</v>
      </c>
      <c r="E6" s="1167" t="s">
        <v>362</v>
      </c>
      <c r="F6" s="1167"/>
      <c r="G6" s="1167"/>
      <c r="H6" s="1167"/>
      <c r="I6" s="1167"/>
      <c r="J6" s="1167"/>
      <c r="K6" s="1167"/>
      <c r="L6" s="1167"/>
      <c r="M6" s="1167"/>
      <c r="N6" s="1167"/>
      <c r="O6" s="1167"/>
      <c r="P6" s="1167"/>
      <c r="Q6" s="1167"/>
      <c r="R6" s="1167"/>
    </row>
    <row r="7" spans="1:20" x14ac:dyDescent="0.25">
      <c r="A7" s="1162"/>
      <c r="B7" s="1162"/>
      <c r="C7" s="1162"/>
      <c r="D7" s="1165"/>
      <c r="E7" s="1167"/>
      <c r="F7" s="1167"/>
      <c r="G7" s="1167"/>
      <c r="H7" s="1167"/>
      <c r="I7" s="1167"/>
      <c r="J7" s="1167"/>
      <c r="K7" s="1167"/>
      <c r="L7" s="1167"/>
      <c r="M7" s="1167"/>
      <c r="N7" s="1167"/>
      <c r="O7" s="1167"/>
      <c r="P7" s="1167"/>
      <c r="Q7" s="1167"/>
      <c r="R7" s="1167"/>
    </row>
    <row r="8" spans="1:20" ht="15" customHeight="1" x14ac:dyDescent="0.25">
      <c r="A8" s="1162"/>
      <c r="B8" s="1162"/>
      <c r="C8" s="1162"/>
      <c r="D8" s="1165"/>
      <c r="E8" s="1158" t="s">
        <v>363</v>
      </c>
      <c r="F8" s="1158" t="s">
        <v>364</v>
      </c>
      <c r="G8" s="1158" t="s">
        <v>365</v>
      </c>
      <c r="H8" s="1158" t="s">
        <v>366</v>
      </c>
      <c r="I8" s="1158" t="s">
        <v>367</v>
      </c>
      <c r="J8" s="1158" t="s">
        <v>368</v>
      </c>
      <c r="K8" s="1158" t="s">
        <v>369</v>
      </c>
      <c r="L8" s="1158" t="s">
        <v>370</v>
      </c>
      <c r="M8" s="1158" t="s">
        <v>371</v>
      </c>
      <c r="N8" s="1158" t="s">
        <v>372</v>
      </c>
      <c r="O8" s="1158" t="s">
        <v>373</v>
      </c>
      <c r="P8" s="1158" t="s">
        <v>374</v>
      </c>
      <c r="Q8" s="1158" t="s">
        <v>375</v>
      </c>
      <c r="R8" s="1167" t="s">
        <v>376</v>
      </c>
      <c r="S8" s="653">
        <f>S9-SUM(F13:R13)</f>
        <v>923371</v>
      </c>
    </row>
    <row r="9" spans="1:20" ht="27" customHeight="1" x14ac:dyDescent="0.25">
      <c r="A9" s="1163"/>
      <c r="B9" s="1163"/>
      <c r="C9" s="1163"/>
      <c r="D9" s="1166"/>
      <c r="E9" s="1159"/>
      <c r="F9" s="1159"/>
      <c r="G9" s="1159"/>
      <c r="H9" s="1159"/>
      <c r="I9" s="1159"/>
      <c r="J9" s="1159"/>
      <c r="K9" s="1159"/>
      <c r="L9" s="1159"/>
      <c r="M9" s="1159"/>
      <c r="N9" s="1159"/>
      <c r="O9" s="1159"/>
      <c r="P9" s="1159"/>
      <c r="Q9" s="1159"/>
      <c r="R9" s="1167"/>
      <c r="S9" s="653">
        <v>1025004</v>
      </c>
    </row>
    <row r="10" spans="1:20" s="657" customFormat="1" ht="11.25" customHeight="1" x14ac:dyDescent="0.2">
      <c r="A10" s="654">
        <v>1</v>
      </c>
      <c r="B10" s="654">
        <v>2</v>
      </c>
      <c r="C10" s="654">
        <v>3</v>
      </c>
      <c r="D10" s="655">
        <v>4</v>
      </c>
      <c r="E10" s="656">
        <v>5</v>
      </c>
      <c r="F10" s="656">
        <v>6</v>
      </c>
      <c r="G10" s="656">
        <v>7</v>
      </c>
      <c r="H10" s="656">
        <v>8</v>
      </c>
      <c r="I10" s="656">
        <v>9</v>
      </c>
      <c r="J10" s="656">
        <v>10</v>
      </c>
      <c r="K10" s="656">
        <v>11</v>
      </c>
      <c r="L10" s="656">
        <v>12</v>
      </c>
      <c r="M10" s="656">
        <v>13</v>
      </c>
      <c r="N10" s="656">
        <v>14</v>
      </c>
      <c r="O10" s="656">
        <v>15</v>
      </c>
      <c r="P10" s="656">
        <v>16</v>
      </c>
      <c r="Q10" s="656">
        <v>17</v>
      </c>
      <c r="R10" s="656">
        <v>18</v>
      </c>
    </row>
    <row r="11" spans="1:20" s="657" customFormat="1" ht="11.25" customHeight="1" x14ac:dyDescent="0.2">
      <c r="A11" s="1077" t="s">
        <v>6</v>
      </c>
      <c r="B11" s="1077"/>
      <c r="C11" s="1077"/>
      <c r="D11" s="658">
        <f>D12+D13</f>
        <v>1025004</v>
      </c>
      <c r="E11" s="658">
        <f t="shared" ref="E11:R11" si="0">E12+E13</f>
        <v>923363</v>
      </c>
      <c r="F11" s="658">
        <f t="shared" si="0"/>
        <v>66142</v>
      </c>
      <c r="G11" s="658">
        <f t="shared" si="0"/>
        <v>17639</v>
      </c>
      <c r="H11" s="658">
        <f t="shared" si="0"/>
        <v>7497</v>
      </c>
      <c r="I11" s="658">
        <f t="shared" si="0"/>
        <v>3</v>
      </c>
      <c r="J11" s="658">
        <f t="shared" si="0"/>
        <v>25</v>
      </c>
      <c r="K11" s="658">
        <f t="shared" si="0"/>
        <v>305</v>
      </c>
      <c r="L11" s="658">
        <f t="shared" si="0"/>
        <v>92</v>
      </c>
      <c r="M11" s="658">
        <f t="shared" si="0"/>
        <v>212</v>
      </c>
      <c r="N11" s="658">
        <f t="shared" si="0"/>
        <v>3348</v>
      </c>
      <c r="O11" s="658">
        <f t="shared" si="0"/>
        <v>218</v>
      </c>
      <c r="P11" s="658">
        <f t="shared" si="0"/>
        <v>557</v>
      </c>
      <c r="Q11" s="658">
        <f t="shared" si="0"/>
        <v>4777</v>
      </c>
      <c r="R11" s="658">
        <f t="shared" si="0"/>
        <v>826</v>
      </c>
      <c r="T11" s="659"/>
    </row>
    <row r="12" spans="1:20" ht="15.75" customHeight="1" x14ac:dyDescent="0.25">
      <c r="A12" s="1078" t="s">
        <v>14</v>
      </c>
      <c r="B12" s="1079"/>
      <c r="C12" s="1080"/>
      <c r="D12" s="660">
        <f t="shared" ref="D12" si="1">SUM(E12:R12)</f>
        <v>8</v>
      </c>
      <c r="E12" s="660">
        <f>'[13]Диспан.набл.взрослых Пр.15-23'!E12+'[13]Уточнение Пр.16-23 '!E12</f>
        <v>0</v>
      </c>
      <c r="F12" s="660">
        <f>'[13]Диспан.набл.взрослых Пр.15-23'!F12+'[13]Уточнение Пр.16-23 '!F12</f>
        <v>0</v>
      </c>
      <c r="G12" s="660">
        <f>'[13]Диспан.набл.взрослых Пр.15-23'!G12+'[13]Уточнение Пр.16-23 '!G12</f>
        <v>0</v>
      </c>
      <c r="H12" s="660">
        <f>'[13]Диспан.набл.взрослых Пр.15-23'!H12+'[13]Уточнение Пр.16-23 '!H12</f>
        <v>0</v>
      </c>
      <c r="I12" s="660">
        <f>'[13]Диспан.набл.взрослых Пр.15-23'!I12+'[13]Уточнение Пр.16-23 '!I12</f>
        <v>0</v>
      </c>
      <c r="J12" s="660">
        <f>'[13]Диспан.набл.взрослых Пр.15-23'!J12+'[13]Уточнение Пр.16-23 '!J12</f>
        <v>1</v>
      </c>
      <c r="K12" s="660">
        <f>'[13]Диспан.набл.взрослых Пр.15-23'!K12+'[13]Уточнение Пр.16-23 '!K12</f>
        <v>0</v>
      </c>
      <c r="L12" s="660">
        <f>'[13]Диспан.набл.взрослых Пр.15-23'!L12+'[13]Уточнение Пр.16-23 '!L12</f>
        <v>0</v>
      </c>
      <c r="M12" s="660">
        <f>'[13]Диспан.набл.взрослых Пр.15-23'!M12+'[13]Уточнение Пр.16-23 '!M12</f>
        <v>0</v>
      </c>
      <c r="N12" s="660">
        <f>'[13]Диспан.набл.взрослых Пр.15-23'!N12+'[13]Уточнение Пр.16-23 '!N12</f>
        <v>0</v>
      </c>
      <c r="O12" s="660">
        <f>'[13]Диспан.набл.взрослых Пр.15-23'!O12+'[13]Уточнение Пр.16-23 '!O12</f>
        <v>7</v>
      </c>
      <c r="P12" s="660">
        <f>'[13]Диспан.набл.взрослых Пр.15-23'!P12+'[13]Уточнение Пр.16-23 '!P12</f>
        <v>0</v>
      </c>
      <c r="Q12" s="660">
        <f>'[13]Диспан.набл.взрослых Пр.15-23'!Q12+'[13]Уточнение Пр.16-23 '!Q12</f>
        <v>0</v>
      </c>
      <c r="R12" s="660">
        <f>'[13]Диспан.набл.взрослых Пр.15-23'!R12+'[13]Уточнение Пр.16-23 '!R12</f>
        <v>0</v>
      </c>
      <c r="S12" s="661"/>
      <c r="T12" s="659"/>
    </row>
    <row r="13" spans="1:20" ht="24.75" customHeight="1" x14ac:dyDescent="0.25">
      <c r="A13" s="1149" t="s">
        <v>308</v>
      </c>
      <c r="B13" s="1150"/>
      <c r="C13" s="1151"/>
      <c r="D13" s="658">
        <f t="shared" ref="D13:R13" si="2">SUM(D14:D151)</f>
        <v>1024996</v>
      </c>
      <c r="E13" s="658">
        <f t="shared" si="2"/>
        <v>923363</v>
      </c>
      <c r="F13" s="658">
        <f t="shared" si="2"/>
        <v>66142</v>
      </c>
      <c r="G13" s="658">
        <f t="shared" si="2"/>
        <v>17639</v>
      </c>
      <c r="H13" s="658">
        <f t="shared" si="2"/>
        <v>7497</v>
      </c>
      <c r="I13" s="658">
        <f t="shared" si="2"/>
        <v>3</v>
      </c>
      <c r="J13" s="658">
        <f t="shared" si="2"/>
        <v>24</v>
      </c>
      <c r="K13" s="658">
        <f t="shared" si="2"/>
        <v>305</v>
      </c>
      <c r="L13" s="658">
        <f t="shared" si="2"/>
        <v>92</v>
      </c>
      <c r="M13" s="658">
        <f t="shared" si="2"/>
        <v>212</v>
      </c>
      <c r="N13" s="658">
        <f t="shared" si="2"/>
        <v>3348</v>
      </c>
      <c r="O13" s="658">
        <f t="shared" si="2"/>
        <v>211</v>
      </c>
      <c r="P13" s="658">
        <f t="shared" si="2"/>
        <v>557</v>
      </c>
      <c r="Q13" s="658">
        <f t="shared" si="2"/>
        <v>4777</v>
      </c>
      <c r="R13" s="658">
        <f t="shared" si="2"/>
        <v>826</v>
      </c>
      <c r="S13" s="661">
        <f>SUM(S14:S155)</f>
        <v>923364</v>
      </c>
      <c r="T13" s="659"/>
    </row>
    <row r="14" spans="1:20" x14ac:dyDescent="0.25">
      <c r="A14" s="662">
        <v>1</v>
      </c>
      <c r="B14" s="663" t="s">
        <v>16</v>
      </c>
      <c r="C14" s="664" t="s">
        <v>17</v>
      </c>
      <c r="D14" s="660">
        <f>SUM(E14:R14)</f>
        <v>8935</v>
      </c>
      <c r="E14" s="660">
        <f>'[13]Диспан.набл.взрослых Пр.16- 23'!E14+'[13]Уточнение Пр.17-23  '!E14</f>
        <v>7589</v>
      </c>
      <c r="F14" s="660">
        <f>'[13]Диспан.набл.взрослых Пр.16- 23'!F14+'[13]Уточнение Пр.17-23  '!F14</f>
        <v>1136</v>
      </c>
      <c r="G14" s="660">
        <f>'[13]Диспан.набл.взрослых Пр.16- 23'!G14+'[13]Уточнение Пр.17-23  '!G14</f>
        <v>76</v>
      </c>
      <c r="H14" s="660">
        <f>'[13]Диспан.набл.взрослых Пр.16- 23'!H14+'[13]Уточнение Пр.17-23  '!H14</f>
        <v>60</v>
      </c>
      <c r="I14" s="660">
        <f>'[13]Диспан.набл.взрослых Пр.16- 23'!I14+'[13]Уточнение Пр.17-23  '!I14</f>
        <v>0</v>
      </c>
      <c r="J14" s="660">
        <f>'[13]Диспан.набл.взрослых Пр.16- 23'!J14+'[13]Уточнение Пр.17-23  '!J14</f>
        <v>0</v>
      </c>
      <c r="K14" s="660">
        <f>'[13]Диспан.набл.взрослых Пр.16- 23'!K14+'[13]Уточнение Пр.17-23  '!K14</f>
        <v>0</v>
      </c>
      <c r="L14" s="660">
        <f>'[13]Диспан.набл.взрослых Пр.16- 23'!L14+'[13]Уточнение Пр.17-23  '!L14</f>
        <v>0</v>
      </c>
      <c r="M14" s="660">
        <f>'[13]Диспан.набл.взрослых Пр.16- 23'!M14+'[13]Уточнение Пр.17-23  '!M14</f>
        <v>1</v>
      </c>
      <c r="N14" s="660">
        <f>'[13]Диспан.набл.взрослых Пр.16- 23'!N14+'[13]Уточнение Пр.17-23  '!N14</f>
        <v>8</v>
      </c>
      <c r="O14" s="660">
        <f>'[13]Диспан.набл.взрослых Пр.16- 23'!O14+'[13]Уточнение Пр.17-23  '!O14</f>
        <v>1</v>
      </c>
      <c r="P14" s="660">
        <f>'[13]Диспан.набл.взрослых Пр.16- 23'!P14+'[13]Уточнение Пр.17-23  '!P14</f>
        <v>0</v>
      </c>
      <c r="Q14" s="660">
        <f>'[13]Диспан.набл.взрослых Пр.16- 23'!Q14+'[13]Уточнение Пр.17-23  '!Q14</f>
        <v>60</v>
      </c>
      <c r="R14" s="660">
        <f>'[13]Диспан.набл.взрослых Пр.16- 23'!R14+'[13]Уточнение Пр.17-23  '!R14</f>
        <v>4</v>
      </c>
      <c r="S14" s="660">
        <f>ROUND(E14/$E$13*$S$8,0)+1</f>
        <v>7590</v>
      </c>
      <c r="T14" s="659"/>
    </row>
    <row r="15" spans="1:20" x14ac:dyDescent="0.25">
      <c r="A15" s="662">
        <v>2</v>
      </c>
      <c r="B15" s="665" t="s">
        <v>18</v>
      </c>
      <c r="C15" s="664" t="s">
        <v>19</v>
      </c>
      <c r="D15" s="660">
        <f t="shared" ref="D15:D78" si="3">SUM(E15:R15)</f>
        <v>5618</v>
      </c>
      <c r="E15" s="660">
        <f>'[13]Диспан.набл.взрослых Пр.16- 23'!E15+'[13]Уточнение Пр.17-23  '!E15</f>
        <v>5362</v>
      </c>
      <c r="F15" s="660">
        <f>'[13]Диспан.набл.взрослых Пр.16- 23'!F15+'[13]Уточнение Пр.17-23  '!F15</f>
        <v>155</v>
      </c>
      <c r="G15" s="660">
        <f>'[13]Диспан.набл.взрослых Пр.16- 23'!G15+'[13]Уточнение Пр.17-23  '!G15</f>
        <v>53</v>
      </c>
      <c r="H15" s="660">
        <f>'[13]Диспан.набл.взрослых Пр.16- 23'!H15+'[13]Уточнение Пр.17-23  '!H15</f>
        <v>23</v>
      </c>
      <c r="I15" s="660">
        <f>'[13]Диспан.набл.взрослых Пр.16- 23'!I15+'[13]Уточнение Пр.17-23  '!I15</f>
        <v>0</v>
      </c>
      <c r="J15" s="660">
        <f>'[13]Диспан.набл.взрослых Пр.16- 23'!J15+'[13]Уточнение Пр.17-23  '!J15</f>
        <v>0</v>
      </c>
      <c r="K15" s="660">
        <f>'[13]Диспан.набл.взрослых Пр.16- 23'!K15+'[13]Уточнение Пр.17-23  '!K15</f>
        <v>1</v>
      </c>
      <c r="L15" s="660">
        <f>'[13]Диспан.набл.взрослых Пр.16- 23'!L15+'[13]Уточнение Пр.17-23  '!L15</f>
        <v>0</v>
      </c>
      <c r="M15" s="660">
        <f>'[13]Диспан.набл.взрослых Пр.16- 23'!M15+'[13]Уточнение Пр.17-23  '!M15</f>
        <v>0</v>
      </c>
      <c r="N15" s="660">
        <f>'[13]Диспан.набл.взрослых Пр.16- 23'!N15+'[13]Уточнение Пр.17-23  '!N15</f>
        <v>4</v>
      </c>
      <c r="O15" s="660">
        <f>'[13]Диспан.набл.взрослых Пр.16- 23'!O15+'[13]Уточнение Пр.17-23  '!O15</f>
        <v>0</v>
      </c>
      <c r="P15" s="660">
        <f>'[13]Диспан.набл.взрослых Пр.16- 23'!P15+'[13]Уточнение Пр.17-23  '!P15</f>
        <v>0</v>
      </c>
      <c r="Q15" s="660">
        <f>'[13]Диспан.набл.взрослых Пр.16- 23'!Q15+'[13]Уточнение Пр.17-23  '!Q15</f>
        <v>18</v>
      </c>
      <c r="R15" s="660">
        <f>'[13]Диспан.набл.взрослых Пр.16- 23'!R15+'[13]Уточнение Пр.17-23  '!R15</f>
        <v>2</v>
      </c>
      <c r="S15" s="660">
        <f t="shared" ref="S15:S78" si="4">ROUND(E15/$E$13*$S$8,0)</f>
        <v>5362</v>
      </c>
      <c r="T15" s="659"/>
    </row>
    <row r="16" spans="1:20" x14ac:dyDescent="0.25">
      <c r="A16" s="662">
        <v>3</v>
      </c>
      <c r="B16" s="666" t="s">
        <v>20</v>
      </c>
      <c r="C16" s="434" t="s">
        <v>21</v>
      </c>
      <c r="D16" s="660">
        <f t="shared" si="3"/>
        <v>14933</v>
      </c>
      <c r="E16" s="660">
        <f>'[13]Диспан.набл.взрослых Пр.16- 23'!E16+'[13]Уточнение Пр.17-23  '!E16</f>
        <v>13193</v>
      </c>
      <c r="F16" s="660">
        <f>'[13]Диспан.набл.взрослых Пр.16- 23'!F16+'[13]Уточнение Пр.17-23  '!F16</f>
        <v>1387</v>
      </c>
      <c r="G16" s="660">
        <f>'[13]Диспан.набл.взрослых Пр.16- 23'!G16+'[13]Уточнение Пр.17-23  '!G16</f>
        <v>145</v>
      </c>
      <c r="H16" s="660">
        <f>'[13]Диспан.набл.взрослых Пр.16- 23'!H16+'[13]Уточнение Пр.17-23  '!H16</f>
        <v>81</v>
      </c>
      <c r="I16" s="660">
        <f>'[13]Диспан.набл.взрослых Пр.16- 23'!I16+'[13]Уточнение Пр.17-23  '!I16</f>
        <v>0</v>
      </c>
      <c r="J16" s="660">
        <f>'[13]Диспан.набл.взрослых Пр.16- 23'!J16+'[13]Уточнение Пр.17-23  '!J16</f>
        <v>0</v>
      </c>
      <c r="K16" s="660">
        <f>'[13]Диспан.набл.взрослых Пр.16- 23'!K16+'[13]Уточнение Пр.17-23  '!K16</f>
        <v>10</v>
      </c>
      <c r="L16" s="660">
        <f>'[13]Диспан.набл.взрослых Пр.16- 23'!L16+'[13]Уточнение Пр.17-23  '!L16</f>
        <v>1</v>
      </c>
      <c r="M16" s="660">
        <f>'[13]Диспан.набл.взрослых Пр.16- 23'!M16+'[13]Уточнение Пр.17-23  '!M16</f>
        <v>0</v>
      </c>
      <c r="N16" s="660">
        <f>'[13]Диспан.набл.взрослых Пр.16- 23'!N16+'[13]Уточнение Пр.17-23  '!N16</f>
        <v>60</v>
      </c>
      <c r="O16" s="660">
        <f>'[13]Диспан.набл.взрослых Пр.16- 23'!O16+'[13]Уточнение Пр.17-23  '!O16</f>
        <v>4</v>
      </c>
      <c r="P16" s="660">
        <f>'[13]Диспан.набл.взрослых Пр.16- 23'!P16+'[13]Уточнение Пр.17-23  '!P16</f>
        <v>0</v>
      </c>
      <c r="Q16" s="660">
        <f>'[13]Диспан.набл.взрослых Пр.16- 23'!Q16+'[13]Уточнение Пр.17-23  '!Q16</f>
        <v>48</v>
      </c>
      <c r="R16" s="660">
        <f>'[13]Диспан.набл.взрослых Пр.16- 23'!R16+'[13]Уточнение Пр.17-23  '!R16</f>
        <v>4</v>
      </c>
      <c r="S16" s="660">
        <f t="shared" si="4"/>
        <v>13193</v>
      </c>
      <c r="T16" s="659"/>
    </row>
    <row r="17" spans="1:20" x14ac:dyDescent="0.25">
      <c r="A17" s="662">
        <v>4</v>
      </c>
      <c r="B17" s="663" t="s">
        <v>22</v>
      </c>
      <c r="C17" s="664" t="s">
        <v>23</v>
      </c>
      <c r="D17" s="660">
        <f t="shared" si="3"/>
        <v>5064</v>
      </c>
      <c r="E17" s="660">
        <f>'[13]Диспан.набл.взрослых Пр.16- 23'!E17+'[13]Уточнение Пр.17-23  '!E17</f>
        <v>4641</v>
      </c>
      <c r="F17" s="660">
        <f>'[13]Диспан.набл.взрослых Пр.16- 23'!F17+'[13]Уточнение Пр.17-23  '!F17</f>
        <v>321</v>
      </c>
      <c r="G17" s="660">
        <f>'[13]Диспан.набл.взрослых Пр.16- 23'!G17+'[13]Уточнение Пр.17-23  '!G17</f>
        <v>74</v>
      </c>
      <c r="H17" s="660">
        <f>'[13]Диспан.набл.взрослых Пр.16- 23'!H17+'[13]Уточнение Пр.17-23  '!H17</f>
        <v>10</v>
      </c>
      <c r="I17" s="660">
        <f>'[13]Диспан.набл.взрослых Пр.16- 23'!I17+'[13]Уточнение Пр.17-23  '!I17</f>
        <v>0</v>
      </c>
      <c r="J17" s="660">
        <f>'[13]Диспан.набл.взрослых Пр.16- 23'!J17+'[13]Уточнение Пр.17-23  '!J17</f>
        <v>0</v>
      </c>
      <c r="K17" s="660">
        <f>'[13]Диспан.набл.взрослых Пр.16- 23'!K17+'[13]Уточнение Пр.17-23  '!K17</f>
        <v>0</v>
      </c>
      <c r="L17" s="660">
        <f>'[13]Диспан.набл.взрослых Пр.16- 23'!L17+'[13]Уточнение Пр.17-23  '!L17</f>
        <v>0</v>
      </c>
      <c r="M17" s="660">
        <f>'[13]Диспан.набл.взрослых Пр.16- 23'!M17+'[13]Уточнение Пр.17-23  '!M17</f>
        <v>0</v>
      </c>
      <c r="N17" s="660">
        <f>'[13]Диспан.набл.взрослых Пр.16- 23'!N17+'[13]Уточнение Пр.17-23  '!N17</f>
        <v>2</v>
      </c>
      <c r="O17" s="660">
        <f>'[13]Диспан.набл.взрослых Пр.16- 23'!O17+'[13]Уточнение Пр.17-23  '!O17</f>
        <v>0</v>
      </c>
      <c r="P17" s="660">
        <f>'[13]Диспан.набл.взрослых Пр.16- 23'!P17+'[13]Уточнение Пр.17-23  '!P17</f>
        <v>1</v>
      </c>
      <c r="Q17" s="660">
        <f>'[13]Диспан.набл.взрослых Пр.16- 23'!Q17+'[13]Уточнение Пр.17-23  '!Q17</f>
        <v>15</v>
      </c>
      <c r="R17" s="660">
        <f>'[13]Диспан.набл.взрослых Пр.16- 23'!R17+'[13]Уточнение Пр.17-23  '!R17</f>
        <v>0</v>
      </c>
      <c r="S17" s="660">
        <f t="shared" si="4"/>
        <v>4641</v>
      </c>
      <c r="T17" s="659"/>
    </row>
    <row r="18" spans="1:20" x14ac:dyDescent="0.25">
      <c r="A18" s="662">
        <v>5</v>
      </c>
      <c r="B18" s="663" t="s">
        <v>24</v>
      </c>
      <c r="C18" s="664" t="s">
        <v>25</v>
      </c>
      <c r="D18" s="660">
        <f t="shared" si="3"/>
        <v>5698</v>
      </c>
      <c r="E18" s="660">
        <f>'[13]Диспан.набл.взрослых Пр.16- 23'!E18+'[13]Уточнение Пр.17-23  '!E18</f>
        <v>4693</v>
      </c>
      <c r="F18" s="660">
        <f>'[13]Диспан.набл.взрослых Пр.16- 23'!F18+'[13]Уточнение Пр.17-23  '!F18</f>
        <v>916</v>
      </c>
      <c r="G18" s="660">
        <f>'[13]Диспан.набл.взрослых Пр.16- 23'!G18+'[13]Уточнение Пр.17-23  '!G18</f>
        <v>52</v>
      </c>
      <c r="H18" s="660">
        <f>'[13]Диспан.набл.взрослых Пр.16- 23'!H18+'[13]Уточнение Пр.17-23  '!H18</f>
        <v>9</v>
      </c>
      <c r="I18" s="660">
        <f>'[13]Диспан.набл.взрослых Пр.16- 23'!I18+'[13]Уточнение Пр.17-23  '!I18</f>
        <v>0</v>
      </c>
      <c r="J18" s="660">
        <f>'[13]Диспан.набл.взрослых Пр.16- 23'!J18+'[13]Уточнение Пр.17-23  '!J18</f>
        <v>0</v>
      </c>
      <c r="K18" s="660">
        <f>'[13]Диспан.набл.взрослых Пр.16- 23'!K18+'[13]Уточнение Пр.17-23  '!K18</f>
        <v>0</v>
      </c>
      <c r="L18" s="660">
        <f>'[13]Диспан.набл.взрослых Пр.16- 23'!L18+'[13]Уточнение Пр.17-23  '!L18</f>
        <v>0</v>
      </c>
      <c r="M18" s="660">
        <f>'[13]Диспан.набл.взрослых Пр.16- 23'!M18+'[13]Уточнение Пр.17-23  '!M18</f>
        <v>0</v>
      </c>
      <c r="N18" s="660">
        <f>'[13]Диспан.набл.взрослых Пр.16- 23'!N18+'[13]Уточнение Пр.17-23  '!N18</f>
        <v>7</v>
      </c>
      <c r="O18" s="660">
        <f>'[13]Диспан.набл.взрослых Пр.16- 23'!O18+'[13]Уточнение Пр.17-23  '!O18</f>
        <v>5</v>
      </c>
      <c r="P18" s="660">
        <f>'[13]Диспан.набл.взрослых Пр.16- 23'!P18+'[13]Уточнение Пр.17-23  '!P18</f>
        <v>3</v>
      </c>
      <c r="Q18" s="660">
        <f>'[13]Диспан.набл.взрослых Пр.16- 23'!Q18+'[13]Уточнение Пр.17-23  '!Q18</f>
        <v>13</v>
      </c>
      <c r="R18" s="660">
        <f>'[13]Диспан.набл.взрослых Пр.16- 23'!R18+'[13]Уточнение Пр.17-23  '!R18</f>
        <v>0</v>
      </c>
      <c r="S18" s="660">
        <f t="shared" si="4"/>
        <v>4693</v>
      </c>
      <c r="T18" s="659"/>
    </row>
    <row r="19" spans="1:20" x14ac:dyDescent="0.25">
      <c r="A19" s="662">
        <v>6</v>
      </c>
      <c r="B19" s="666" t="s">
        <v>26</v>
      </c>
      <c r="C19" s="434" t="s">
        <v>27</v>
      </c>
      <c r="D19" s="660">
        <f t="shared" si="3"/>
        <v>46860</v>
      </c>
      <c r="E19" s="660">
        <f>'[13]Диспан.набл.взрослых Пр.16- 23'!E19+'[13]Уточнение Пр.17-23  '!E19</f>
        <v>45681</v>
      </c>
      <c r="F19" s="660">
        <f>'[13]Диспан.набл.взрослых Пр.16- 23'!F19+'[13]Уточнение Пр.17-23  '!F19</f>
        <v>699</v>
      </c>
      <c r="G19" s="660">
        <f>'[13]Диспан.набл.взрослых Пр.16- 23'!G19+'[13]Уточнение Пр.17-23  '!G19</f>
        <v>13</v>
      </c>
      <c r="H19" s="660">
        <f>'[13]Диспан.набл.взрослых Пр.16- 23'!H19+'[13]Уточнение Пр.17-23  '!H19</f>
        <v>38</v>
      </c>
      <c r="I19" s="660">
        <f>'[13]Диспан.набл.взрослых Пр.16- 23'!I19+'[13]Уточнение Пр.17-23  '!I19</f>
        <v>0</v>
      </c>
      <c r="J19" s="660">
        <f>'[13]Диспан.набл.взрослых Пр.16- 23'!J19+'[13]Уточнение Пр.17-23  '!J19</f>
        <v>0</v>
      </c>
      <c r="K19" s="660">
        <f>'[13]Диспан.набл.взрослых Пр.16- 23'!K19+'[13]Уточнение Пр.17-23  '!K19</f>
        <v>1</v>
      </c>
      <c r="L19" s="660">
        <f>'[13]Диспан.набл.взрослых Пр.16- 23'!L19+'[13]Уточнение Пр.17-23  '!L19</f>
        <v>1</v>
      </c>
      <c r="M19" s="660">
        <f>'[13]Диспан.набл.взрослых Пр.16- 23'!M19+'[13]Уточнение Пр.17-23  '!M19</f>
        <v>4</v>
      </c>
      <c r="N19" s="660">
        <f>'[13]Диспан.набл.взрослых Пр.16- 23'!N19+'[13]Уточнение Пр.17-23  '!N19</f>
        <v>66</v>
      </c>
      <c r="O19" s="660">
        <f>'[13]Диспан.набл.взрослых Пр.16- 23'!O19+'[13]Уточнение Пр.17-23  '!O19</f>
        <v>1</v>
      </c>
      <c r="P19" s="660">
        <f>'[13]Диспан.набл.взрослых Пр.16- 23'!P19+'[13]Уточнение Пр.17-23  '!P19</f>
        <v>0</v>
      </c>
      <c r="Q19" s="660">
        <f>'[13]Диспан.набл.взрослых Пр.16- 23'!Q19+'[13]Уточнение Пр.17-23  '!Q19</f>
        <v>347</v>
      </c>
      <c r="R19" s="660">
        <f>'[13]Диспан.набл.взрослых Пр.16- 23'!R19+'[13]Уточнение Пр.17-23  '!R19</f>
        <v>9</v>
      </c>
      <c r="S19" s="660">
        <f t="shared" si="4"/>
        <v>45681</v>
      </c>
      <c r="T19" s="659"/>
    </row>
    <row r="20" spans="1:20" x14ac:dyDescent="0.25">
      <c r="A20" s="662">
        <v>7</v>
      </c>
      <c r="B20" s="667" t="s">
        <v>28</v>
      </c>
      <c r="C20" s="1" t="s">
        <v>29</v>
      </c>
      <c r="D20" s="660">
        <f t="shared" si="3"/>
        <v>15539</v>
      </c>
      <c r="E20" s="660">
        <f>'[13]Диспан.набл.взрослых Пр.16- 23'!E20+'[13]Уточнение Пр.17-23  '!E20</f>
        <v>13840</v>
      </c>
      <c r="F20" s="660">
        <f>'[13]Диспан.набл.взрослых Пр.16- 23'!F20+'[13]Уточнение Пр.17-23  '!F20</f>
        <v>1253</v>
      </c>
      <c r="G20" s="660">
        <f>'[13]Диспан.набл.взрослых Пр.16- 23'!G20+'[13]Уточнение Пр.17-23  '!G20</f>
        <v>338</v>
      </c>
      <c r="H20" s="660">
        <f>'[13]Диспан.набл.взрослых Пр.16- 23'!H20+'[13]Уточнение Пр.17-23  '!H20</f>
        <v>21</v>
      </c>
      <c r="I20" s="660">
        <f>'[13]Диспан.набл.взрослых Пр.16- 23'!I20+'[13]Уточнение Пр.17-23  '!I20</f>
        <v>0</v>
      </c>
      <c r="J20" s="660">
        <f>'[13]Диспан.набл.взрослых Пр.16- 23'!J20+'[13]Уточнение Пр.17-23  '!J20</f>
        <v>0</v>
      </c>
      <c r="K20" s="660">
        <f>'[13]Диспан.набл.взрослых Пр.16- 23'!K20+'[13]Уточнение Пр.17-23  '!K20</f>
        <v>12</v>
      </c>
      <c r="L20" s="660">
        <f>'[13]Диспан.набл.взрослых Пр.16- 23'!L20+'[13]Уточнение Пр.17-23  '!L20</f>
        <v>3</v>
      </c>
      <c r="M20" s="660">
        <f>'[13]Диспан.набл.взрослых Пр.16- 23'!M20+'[13]Уточнение Пр.17-23  '!M20</f>
        <v>1</v>
      </c>
      <c r="N20" s="660">
        <f>'[13]Диспан.набл.взрослых Пр.16- 23'!N20+'[13]Уточнение Пр.17-23  '!N20</f>
        <v>1</v>
      </c>
      <c r="O20" s="660">
        <f>'[13]Диспан.набл.взрослых Пр.16- 23'!O20+'[13]Уточнение Пр.17-23  '!O20</f>
        <v>15</v>
      </c>
      <c r="P20" s="660">
        <f>'[13]Диспан.набл.взрослых Пр.16- 23'!P20+'[13]Уточнение Пр.17-23  '!P20</f>
        <v>9</v>
      </c>
      <c r="Q20" s="660">
        <f>'[13]Диспан.набл.взрослых Пр.16- 23'!Q20+'[13]Уточнение Пр.17-23  '!Q20</f>
        <v>46</v>
      </c>
      <c r="R20" s="660">
        <f>'[13]Диспан.набл.взрослых Пр.16- 23'!R20+'[13]Уточнение Пр.17-23  '!R20</f>
        <v>0</v>
      </c>
      <c r="S20" s="660">
        <f t="shared" si="4"/>
        <v>13840</v>
      </c>
      <c r="T20" s="659"/>
    </row>
    <row r="21" spans="1:20" x14ac:dyDescent="0.25">
      <c r="A21" s="662">
        <v>8</v>
      </c>
      <c r="B21" s="666" t="s">
        <v>30</v>
      </c>
      <c r="C21" s="434" t="s">
        <v>31</v>
      </c>
      <c r="D21" s="660">
        <f t="shared" si="3"/>
        <v>6227</v>
      </c>
      <c r="E21" s="660">
        <f>'[13]Диспан.набл.взрослых Пр.16- 23'!E21+'[13]Уточнение Пр.17-23  '!E21</f>
        <v>6100</v>
      </c>
      <c r="F21" s="660">
        <f>'[13]Диспан.набл.взрослых Пр.16- 23'!F21+'[13]Уточнение Пр.17-23  '!F21</f>
        <v>3</v>
      </c>
      <c r="G21" s="660">
        <f>'[13]Диспан.набл.взрослых Пр.16- 23'!G21+'[13]Уточнение Пр.17-23  '!G21</f>
        <v>15</v>
      </c>
      <c r="H21" s="660">
        <f>'[13]Диспан.набл.взрослых Пр.16- 23'!H21+'[13]Уточнение Пр.17-23  '!H21</f>
        <v>12</v>
      </c>
      <c r="I21" s="660">
        <f>'[13]Диспан.набл.взрослых Пр.16- 23'!I21+'[13]Уточнение Пр.17-23  '!I21</f>
        <v>0</v>
      </c>
      <c r="J21" s="660">
        <f>'[13]Диспан.набл.взрослых Пр.16- 23'!J21+'[13]Уточнение Пр.17-23  '!J21</f>
        <v>1</v>
      </c>
      <c r="K21" s="660">
        <f>'[13]Диспан.набл.взрослых Пр.16- 23'!K21+'[13]Уточнение Пр.17-23  '!K21</f>
        <v>0</v>
      </c>
      <c r="L21" s="660">
        <f>'[13]Диспан.набл.взрослых Пр.16- 23'!L21+'[13]Уточнение Пр.17-23  '!L21</f>
        <v>0</v>
      </c>
      <c r="M21" s="660">
        <f>'[13]Диспан.набл.взрослых Пр.16- 23'!M21+'[13]Уточнение Пр.17-23  '!M21</f>
        <v>1</v>
      </c>
      <c r="N21" s="660">
        <f>'[13]Диспан.набл.взрослых Пр.16- 23'!N21+'[13]Уточнение Пр.17-23  '!N21</f>
        <v>5</v>
      </c>
      <c r="O21" s="660">
        <f>'[13]Диспан.набл.взрослых Пр.16- 23'!O21+'[13]Уточнение Пр.17-23  '!O21</f>
        <v>9</v>
      </c>
      <c r="P21" s="660">
        <f>'[13]Диспан.набл.взрослых Пр.16- 23'!P21+'[13]Уточнение Пр.17-23  '!P21</f>
        <v>0</v>
      </c>
      <c r="Q21" s="660">
        <f>'[13]Диспан.набл.взрослых Пр.16- 23'!Q21+'[13]Уточнение Пр.17-23  '!Q21</f>
        <v>49</v>
      </c>
      <c r="R21" s="660">
        <f>'[13]Диспан.набл.взрослых Пр.16- 23'!R21+'[13]Уточнение Пр.17-23  '!R21</f>
        <v>32</v>
      </c>
      <c r="S21" s="660">
        <f t="shared" si="4"/>
        <v>6100</v>
      </c>
      <c r="T21" s="659"/>
    </row>
    <row r="22" spans="1:20" x14ac:dyDescent="0.25">
      <c r="A22" s="662">
        <v>9</v>
      </c>
      <c r="B22" s="666" t="s">
        <v>32</v>
      </c>
      <c r="C22" s="434" t="s">
        <v>33</v>
      </c>
      <c r="D22" s="660">
        <f t="shared" si="3"/>
        <v>7377</v>
      </c>
      <c r="E22" s="660">
        <f>'[13]Диспан.набл.взрослых Пр.16- 23'!E22+'[13]Уточнение Пр.17-23  '!E22</f>
        <v>7131</v>
      </c>
      <c r="F22" s="660">
        <f>'[13]Диспан.набл.взрослых Пр.16- 23'!F22+'[13]Уточнение Пр.17-23  '!F22</f>
        <v>48</v>
      </c>
      <c r="G22" s="660">
        <f>'[13]Диспан.набл.взрослых Пр.16- 23'!G22+'[13]Уточнение Пр.17-23  '!G22</f>
        <v>1</v>
      </c>
      <c r="H22" s="660">
        <f>'[13]Диспан.набл.взрослых Пр.16- 23'!H22+'[13]Уточнение Пр.17-23  '!H22</f>
        <v>180</v>
      </c>
      <c r="I22" s="660">
        <f>'[13]Диспан.набл.взрослых Пр.16- 23'!I22+'[13]Уточнение Пр.17-23  '!I22</f>
        <v>0</v>
      </c>
      <c r="J22" s="660">
        <f>'[13]Диспан.набл.взрослых Пр.16- 23'!J22+'[13]Уточнение Пр.17-23  '!J22</f>
        <v>0</v>
      </c>
      <c r="K22" s="660">
        <f>'[13]Диспан.набл.взрослых Пр.16- 23'!K22+'[13]Уточнение Пр.17-23  '!K22</f>
        <v>0</v>
      </c>
      <c r="L22" s="660">
        <f>'[13]Диспан.набл.взрослых Пр.16- 23'!L22+'[13]Уточнение Пр.17-23  '!L22</f>
        <v>0</v>
      </c>
      <c r="M22" s="660">
        <f>'[13]Диспан.набл.взрослых Пр.16- 23'!M22+'[13]Уточнение Пр.17-23  '!M22</f>
        <v>1</v>
      </c>
      <c r="N22" s="660">
        <f>'[13]Диспан.набл.взрослых Пр.16- 23'!N22+'[13]Уточнение Пр.17-23  '!N22</f>
        <v>1</v>
      </c>
      <c r="O22" s="660">
        <f>'[13]Диспан.набл.взрослых Пр.16- 23'!O22+'[13]Уточнение Пр.17-23  '!O22</f>
        <v>3</v>
      </c>
      <c r="P22" s="660">
        <f>'[13]Диспан.набл.взрослых Пр.16- 23'!P22+'[13]Уточнение Пр.17-23  '!P22</f>
        <v>0</v>
      </c>
      <c r="Q22" s="660">
        <f>'[13]Диспан.набл.взрослых Пр.16- 23'!Q22+'[13]Уточнение Пр.17-23  '!Q22</f>
        <v>12</v>
      </c>
      <c r="R22" s="660">
        <f>'[13]Диспан.набл.взрослых Пр.16- 23'!R22+'[13]Уточнение Пр.17-23  '!R22</f>
        <v>0</v>
      </c>
      <c r="S22" s="660">
        <f t="shared" si="4"/>
        <v>7131</v>
      </c>
      <c r="T22" s="659"/>
    </row>
    <row r="23" spans="1:20" x14ac:dyDescent="0.25">
      <c r="A23" s="662">
        <v>10</v>
      </c>
      <c r="B23" s="666" t="s">
        <v>34</v>
      </c>
      <c r="C23" s="434" t="s">
        <v>35</v>
      </c>
      <c r="D23" s="660">
        <f t="shared" si="3"/>
        <v>9011</v>
      </c>
      <c r="E23" s="660">
        <f>'[13]Диспан.набл.взрослых Пр.16- 23'!E23+'[13]Уточнение Пр.17-23  '!E23</f>
        <v>8808</v>
      </c>
      <c r="F23" s="660">
        <f>'[13]Диспан.набл.взрослых Пр.16- 23'!F23+'[13]Уточнение Пр.17-23  '!F23</f>
        <v>56</v>
      </c>
      <c r="G23" s="660">
        <f>'[13]Диспан.набл.взрослых Пр.16- 23'!G23+'[13]Уточнение Пр.17-23  '!G23</f>
        <v>0</v>
      </c>
      <c r="H23" s="660">
        <f>'[13]Диспан.набл.взрослых Пр.16- 23'!H23+'[13]Уточнение Пр.17-23  '!H23</f>
        <v>76</v>
      </c>
      <c r="I23" s="660">
        <f>'[13]Диспан.набл.взрослых Пр.16- 23'!I23+'[13]Уточнение Пр.17-23  '!I23</f>
        <v>0</v>
      </c>
      <c r="J23" s="660">
        <f>'[13]Диспан.набл.взрослых Пр.16- 23'!J23+'[13]Уточнение Пр.17-23  '!J23</f>
        <v>0</v>
      </c>
      <c r="K23" s="660">
        <f>'[13]Диспан.набл.взрослых Пр.16- 23'!K23+'[13]Уточнение Пр.17-23  '!K23</f>
        <v>3</v>
      </c>
      <c r="L23" s="660">
        <f>'[13]Диспан.набл.взрослых Пр.16- 23'!L23+'[13]Уточнение Пр.17-23  '!L23</f>
        <v>0</v>
      </c>
      <c r="M23" s="660">
        <f>'[13]Диспан.набл.взрослых Пр.16- 23'!M23+'[13]Уточнение Пр.17-23  '!M23</f>
        <v>2</v>
      </c>
      <c r="N23" s="660">
        <f>'[13]Диспан.набл.взрослых Пр.16- 23'!N23+'[13]Уточнение Пр.17-23  '!N23</f>
        <v>0</v>
      </c>
      <c r="O23" s="660">
        <f>'[13]Диспан.набл.взрослых Пр.16- 23'!O23+'[13]Уточнение Пр.17-23  '!O23</f>
        <v>0</v>
      </c>
      <c r="P23" s="660">
        <f>'[13]Диспан.набл.взрослых Пр.16- 23'!P23+'[13]Уточнение Пр.17-23  '!P23</f>
        <v>0</v>
      </c>
      <c r="Q23" s="660">
        <f>'[13]Диспан.набл.взрослых Пр.16- 23'!Q23+'[13]Уточнение Пр.17-23  '!Q23</f>
        <v>41</v>
      </c>
      <c r="R23" s="660">
        <f>'[13]Диспан.набл.взрослых Пр.16- 23'!R23+'[13]Уточнение Пр.17-23  '!R23</f>
        <v>25</v>
      </c>
      <c r="S23" s="660">
        <f t="shared" si="4"/>
        <v>8808</v>
      </c>
      <c r="T23" s="659"/>
    </row>
    <row r="24" spans="1:20" x14ac:dyDescent="0.25">
      <c r="A24" s="662">
        <v>11</v>
      </c>
      <c r="B24" s="666" t="s">
        <v>36</v>
      </c>
      <c r="C24" s="434" t="s">
        <v>37</v>
      </c>
      <c r="D24" s="660">
        <f t="shared" si="3"/>
        <v>8641</v>
      </c>
      <c r="E24" s="660">
        <f>'[13]Диспан.набл.взрослых Пр.16- 23'!E24+'[13]Уточнение Пр.17-23  '!E24</f>
        <v>8436</v>
      </c>
      <c r="F24" s="660">
        <f>'[13]Диспан.набл.взрослых Пр.16- 23'!F24+'[13]Уточнение Пр.17-23  '!F24</f>
        <v>168</v>
      </c>
      <c r="G24" s="660">
        <f>'[13]Диспан.набл.взрослых Пр.16- 23'!G24+'[13]Уточнение Пр.17-23  '!G24</f>
        <v>0</v>
      </c>
      <c r="H24" s="660">
        <f>'[13]Диспан.набл.взрослых Пр.16- 23'!H24+'[13]Уточнение Пр.17-23  '!H24</f>
        <v>9</v>
      </c>
      <c r="I24" s="660">
        <f>'[13]Диспан.набл.взрослых Пр.16- 23'!I24+'[13]Уточнение Пр.17-23  '!I24</f>
        <v>0</v>
      </c>
      <c r="J24" s="660">
        <f>'[13]Диспан.набл.взрослых Пр.16- 23'!J24+'[13]Уточнение Пр.17-23  '!J24</f>
        <v>0</v>
      </c>
      <c r="K24" s="660">
        <f>'[13]Диспан.набл.взрослых Пр.16- 23'!K24+'[13]Уточнение Пр.17-23  '!K24</f>
        <v>0</v>
      </c>
      <c r="L24" s="660">
        <f>'[13]Диспан.набл.взрослых Пр.16- 23'!L24+'[13]Уточнение Пр.17-23  '!L24</f>
        <v>0</v>
      </c>
      <c r="M24" s="660">
        <f>'[13]Диспан.набл.взрослых Пр.16- 23'!M24+'[13]Уточнение Пр.17-23  '!M24</f>
        <v>3</v>
      </c>
      <c r="N24" s="660">
        <f>'[13]Диспан.набл.взрослых Пр.16- 23'!N24+'[13]Уточнение Пр.17-23  '!N24</f>
        <v>16</v>
      </c>
      <c r="O24" s="660">
        <f>'[13]Диспан.набл.взрослых Пр.16- 23'!O24+'[13]Уточнение Пр.17-23  '!O24</f>
        <v>0</v>
      </c>
      <c r="P24" s="660">
        <f>'[13]Диспан.набл.взрослых Пр.16- 23'!P24+'[13]Уточнение Пр.17-23  '!P24</f>
        <v>0</v>
      </c>
      <c r="Q24" s="660">
        <f>'[13]Диспан.набл.взрослых Пр.16- 23'!Q24+'[13]Уточнение Пр.17-23  '!Q24</f>
        <v>8</v>
      </c>
      <c r="R24" s="660">
        <f>'[13]Диспан.набл.взрослых Пр.16- 23'!R24+'[13]Уточнение Пр.17-23  '!R24</f>
        <v>1</v>
      </c>
      <c r="S24" s="660">
        <f t="shared" si="4"/>
        <v>8436</v>
      </c>
      <c r="T24" s="659"/>
    </row>
    <row r="25" spans="1:20" x14ac:dyDescent="0.25">
      <c r="A25" s="662">
        <v>12</v>
      </c>
      <c r="B25" s="666" t="s">
        <v>38</v>
      </c>
      <c r="C25" s="434" t="s">
        <v>39</v>
      </c>
      <c r="D25" s="660">
        <f t="shared" si="3"/>
        <v>14669</v>
      </c>
      <c r="E25" s="660">
        <f>'[13]Диспан.набл.взрослых Пр.16- 23'!E25+'[13]Уточнение Пр.17-23  '!E25</f>
        <v>12692</v>
      </c>
      <c r="F25" s="660">
        <f>'[13]Диспан.набл.взрослых Пр.16- 23'!F25+'[13]Уточнение Пр.17-23  '!F25</f>
        <v>1574</v>
      </c>
      <c r="G25" s="660">
        <f>'[13]Диспан.набл.взрослых Пр.16- 23'!G25+'[13]Уточнение Пр.17-23  '!G25</f>
        <v>316</v>
      </c>
      <c r="H25" s="660">
        <f>'[13]Диспан.набл.взрослых Пр.16- 23'!H25+'[13]Уточнение Пр.17-23  '!H25</f>
        <v>82</v>
      </c>
      <c r="I25" s="660">
        <f>'[13]Диспан.набл.взрослых Пр.16- 23'!I25+'[13]Уточнение Пр.17-23  '!I25</f>
        <v>0</v>
      </c>
      <c r="J25" s="660">
        <f>'[13]Диспан.набл.взрослых Пр.16- 23'!J25+'[13]Уточнение Пр.17-23  '!J25</f>
        <v>0</v>
      </c>
      <c r="K25" s="660">
        <f>'[13]Диспан.набл.взрослых Пр.16- 23'!K25+'[13]Уточнение Пр.17-23  '!K25</f>
        <v>0</v>
      </c>
      <c r="L25" s="660">
        <f>'[13]Диспан.набл.взрослых Пр.16- 23'!L25+'[13]Уточнение Пр.17-23  '!L25</f>
        <v>0</v>
      </c>
      <c r="M25" s="660">
        <f>'[13]Диспан.набл.взрослых Пр.16- 23'!M25+'[13]Уточнение Пр.17-23  '!M25</f>
        <v>0</v>
      </c>
      <c r="N25" s="660">
        <f>'[13]Диспан.набл.взрослых Пр.16- 23'!N25+'[13]Уточнение Пр.17-23  '!N25</f>
        <v>0</v>
      </c>
      <c r="O25" s="660">
        <f>'[13]Диспан.набл.взрослых Пр.16- 23'!O25+'[13]Уточнение Пр.17-23  '!O25</f>
        <v>0</v>
      </c>
      <c r="P25" s="660">
        <f>'[13]Диспан.набл.взрослых Пр.16- 23'!P25+'[13]Уточнение Пр.17-23  '!P25</f>
        <v>0</v>
      </c>
      <c r="Q25" s="660">
        <f>'[13]Диспан.набл.взрослых Пр.16- 23'!Q25+'[13]Уточнение Пр.17-23  '!Q25</f>
        <v>3</v>
      </c>
      <c r="R25" s="660">
        <f>'[13]Диспан.набл.взрослых Пр.16- 23'!R25+'[13]Уточнение Пр.17-23  '!R25</f>
        <v>2</v>
      </c>
      <c r="S25" s="660">
        <f t="shared" si="4"/>
        <v>12692</v>
      </c>
      <c r="T25" s="659"/>
    </row>
    <row r="26" spans="1:20" x14ac:dyDescent="0.25">
      <c r="A26" s="662">
        <v>13</v>
      </c>
      <c r="B26" s="666" t="s">
        <v>40</v>
      </c>
      <c r="C26" s="664" t="s">
        <v>41</v>
      </c>
      <c r="D26" s="660">
        <f t="shared" si="3"/>
        <v>0</v>
      </c>
      <c r="E26" s="660">
        <f>'[13]Диспан.набл.взрослых Пр.16- 23'!E26+'[13]Уточнение Пр.17-23  '!E26</f>
        <v>0</v>
      </c>
      <c r="F26" s="660">
        <f>'[13]Диспан.набл.взрослых Пр.16- 23'!F26+'[13]Уточнение Пр.17-23  '!F26</f>
        <v>0</v>
      </c>
      <c r="G26" s="660">
        <f>'[13]Диспан.набл.взрослых Пр.16- 23'!G26+'[13]Уточнение Пр.17-23  '!G26</f>
        <v>0</v>
      </c>
      <c r="H26" s="660">
        <f>'[13]Диспан.набл.взрослых Пр.16- 23'!H26+'[13]Уточнение Пр.17-23  '!H26</f>
        <v>0</v>
      </c>
      <c r="I26" s="660">
        <f>'[13]Диспан.набл.взрослых Пр.16- 23'!I26+'[13]Уточнение Пр.17-23  '!I26</f>
        <v>0</v>
      </c>
      <c r="J26" s="660">
        <f>'[13]Диспан.набл.взрослых Пр.16- 23'!J26+'[13]Уточнение Пр.17-23  '!J26</f>
        <v>0</v>
      </c>
      <c r="K26" s="660">
        <f>'[13]Диспан.набл.взрослых Пр.16- 23'!K26+'[13]Уточнение Пр.17-23  '!K26</f>
        <v>0</v>
      </c>
      <c r="L26" s="660">
        <f>'[13]Диспан.набл.взрослых Пр.16- 23'!L26+'[13]Уточнение Пр.17-23  '!L26</f>
        <v>0</v>
      </c>
      <c r="M26" s="660">
        <f>'[13]Диспан.набл.взрослых Пр.16- 23'!M26+'[13]Уточнение Пр.17-23  '!M26</f>
        <v>0</v>
      </c>
      <c r="N26" s="660">
        <f>'[13]Диспан.набл.взрослых Пр.16- 23'!N26+'[13]Уточнение Пр.17-23  '!N26</f>
        <v>0</v>
      </c>
      <c r="O26" s="660">
        <f>'[13]Диспан.набл.взрослых Пр.16- 23'!O26+'[13]Уточнение Пр.17-23  '!O26</f>
        <v>0</v>
      </c>
      <c r="P26" s="660">
        <f>'[13]Диспан.набл.взрослых Пр.16- 23'!P26+'[13]Уточнение Пр.17-23  '!P26</f>
        <v>0</v>
      </c>
      <c r="Q26" s="660">
        <f>'[13]Диспан.набл.взрослых Пр.16- 23'!Q26+'[13]Уточнение Пр.17-23  '!Q26</f>
        <v>0</v>
      </c>
      <c r="R26" s="660">
        <f>'[13]Диспан.набл.взрослых Пр.16- 23'!R26+'[13]Уточнение Пр.17-23  '!R26</f>
        <v>0</v>
      </c>
      <c r="S26" s="660">
        <f t="shared" si="4"/>
        <v>0</v>
      </c>
      <c r="T26" s="659"/>
    </row>
    <row r="27" spans="1:20" x14ac:dyDescent="0.25">
      <c r="A27" s="662">
        <v>14</v>
      </c>
      <c r="B27" s="663" t="s">
        <v>42</v>
      </c>
      <c r="C27" s="434" t="s">
        <v>43</v>
      </c>
      <c r="D27" s="660">
        <f t="shared" si="3"/>
        <v>0</v>
      </c>
      <c r="E27" s="660">
        <f>'[13]Диспан.набл.взрослых Пр.16- 23'!E27+'[13]Уточнение Пр.17-23  '!E27</f>
        <v>0</v>
      </c>
      <c r="F27" s="660">
        <f>'[13]Диспан.набл.взрослых Пр.16- 23'!F27+'[13]Уточнение Пр.17-23  '!F27</f>
        <v>0</v>
      </c>
      <c r="G27" s="660">
        <f>'[13]Диспан.набл.взрослых Пр.16- 23'!G27+'[13]Уточнение Пр.17-23  '!G27</f>
        <v>0</v>
      </c>
      <c r="H27" s="660">
        <f>'[13]Диспан.набл.взрослых Пр.16- 23'!H27+'[13]Уточнение Пр.17-23  '!H27</f>
        <v>0</v>
      </c>
      <c r="I27" s="660">
        <f>'[13]Диспан.набл.взрослых Пр.16- 23'!I27+'[13]Уточнение Пр.17-23  '!I27</f>
        <v>0</v>
      </c>
      <c r="J27" s="660">
        <f>'[13]Диспан.набл.взрослых Пр.16- 23'!J27+'[13]Уточнение Пр.17-23  '!J27</f>
        <v>0</v>
      </c>
      <c r="K27" s="660">
        <f>'[13]Диспан.набл.взрослых Пр.16- 23'!K27+'[13]Уточнение Пр.17-23  '!K27</f>
        <v>0</v>
      </c>
      <c r="L27" s="660">
        <f>'[13]Диспан.набл.взрослых Пр.16- 23'!L27+'[13]Уточнение Пр.17-23  '!L27</f>
        <v>0</v>
      </c>
      <c r="M27" s="660">
        <f>'[13]Диспан.набл.взрослых Пр.16- 23'!M27+'[13]Уточнение Пр.17-23  '!M27</f>
        <v>0</v>
      </c>
      <c r="N27" s="660">
        <f>'[13]Диспан.набл.взрослых Пр.16- 23'!N27+'[13]Уточнение Пр.17-23  '!N27</f>
        <v>0</v>
      </c>
      <c r="O27" s="660">
        <f>'[13]Диспан.набл.взрослых Пр.16- 23'!O27+'[13]Уточнение Пр.17-23  '!O27</f>
        <v>0</v>
      </c>
      <c r="P27" s="660">
        <f>'[13]Диспан.набл.взрослых Пр.16- 23'!P27+'[13]Уточнение Пр.17-23  '!P27</f>
        <v>0</v>
      </c>
      <c r="Q27" s="660">
        <f>'[13]Диспан.набл.взрослых Пр.16- 23'!Q27+'[13]Уточнение Пр.17-23  '!Q27</f>
        <v>0</v>
      </c>
      <c r="R27" s="660">
        <f>'[13]Диспан.набл.взрослых Пр.16- 23'!R27+'[13]Уточнение Пр.17-23  '!R27</f>
        <v>0</v>
      </c>
      <c r="S27" s="660">
        <f t="shared" si="4"/>
        <v>0</v>
      </c>
      <c r="T27" s="659"/>
    </row>
    <row r="28" spans="1:20" x14ac:dyDescent="0.25">
      <c r="A28" s="662">
        <v>15</v>
      </c>
      <c r="B28" s="666" t="s">
        <v>44</v>
      </c>
      <c r="C28" s="434" t="s">
        <v>45</v>
      </c>
      <c r="D28" s="660">
        <f t="shared" si="3"/>
        <v>6357</v>
      </c>
      <c r="E28" s="660">
        <f>'[13]Диспан.набл.взрослых Пр.16- 23'!E28+'[13]Уточнение Пр.17-23  '!E28</f>
        <v>5931</v>
      </c>
      <c r="F28" s="660">
        <f>'[13]Диспан.набл.взрослых Пр.16- 23'!F28+'[13]Уточнение Пр.17-23  '!F28</f>
        <v>294</v>
      </c>
      <c r="G28" s="660">
        <f>'[13]Диспан.набл.взрослых Пр.16- 23'!G28+'[13]Уточнение Пр.17-23  '!G28</f>
        <v>74</v>
      </c>
      <c r="H28" s="660">
        <f>'[13]Диспан.набл.взрослых Пр.16- 23'!H28+'[13]Уточнение Пр.17-23  '!H28</f>
        <v>4</v>
      </c>
      <c r="I28" s="660">
        <f>'[13]Диспан.набл.взрослых Пр.16- 23'!I28+'[13]Уточнение Пр.17-23  '!I28</f>
        <v>0</v>
      </c>
      <c r="J28" s="660">
        <f>'[13]Диспан.набл.взрослых Пр.16- 23'!J28+'[13]Уточнение Пр.17-23  '!J28</f>
        <v>0</v>
      </c>
      <c r="K28" s="660">
        <f>'[13]Диспан.набл.взрослых Пр.16- 23'!K28+'[13]Уточнение Пр.17-23  '!K28</f>
        <v>0</v>
      </c>
      <c r="L28" s="660">
        <f>'[13]Диспан.набл.взрослых Пр.16- 23'!L28+'[13]Уточнение Пр.17-23  '!L28</f>
        <v>0</v>
      </c>
      <c r="M28" s="660">
        <f>'[13]Диспан.набл.взрослых Пр.16- 23'!M28+'[13]Уточнение Пр.17-23  '!M28</f>
        <v>1</v>
      </c>
      <c r="N28" s="660">
        <f>'[13]Диспан.набл.взрослых Пр.16- 23'!N28+'[13]Уточнение Пр.17-23  '!N28</f>
        <v>18</v>
      </c>
      <c r="O28" s="660">
        <f>'[13]Диспан.набл.взрослых Пр.16- 23'!O28+'[13]Уточнение Пр.17-23  '!O28</f>
        <v>1</v>
      </c>
      <c r="P28" s="660">
        <f>'[13]Диспан.набл.взрослых Пр.16- 23'!P28+'[13]Уточнение Пр.17-23  '!P28</f>
        <v>0</v>
      </c>
      <c r="Q28" s="660">
        <f>'[13]Диспан.набл.взрослых Пр.16- 23'!Q28+'[13]Уточнение Пр.17-23  '!Q28</f>
        <v>20</v>
      </c>
      <c r="R28" s="660">
        <f>'[13]Диспан.набл.взрослых Пр.16- 23'!R28+'[13]Уточнение Пр.17-23  '!R28</f>
        <v>14</v>
      </c>
      <c r="S28" s="660">
        <f t="shared" si="4"/>
        <v>5931</v>
      </c>
      <c r="T28" s="659"/>
    </row>
    <row r="29" spans="1:20" x14ac:dyDescent="0.25">
      <c r="A29" s="662">
        <v>16</v>
      </c>
      <c r="B29" s="666" t="s">
        <v>46</v>
      </c>
      <c r="C29" s="434" t="s">
        <v>47</v>
      </c>
      <c r="D29" s="660">
        <f t="shared" si="3"/>
        <v>6446</v>
      </c>
      <c r="E29" s="660">
        <f>'[13]Диспан.набл.взрослых Пр.16- 23'!E29+'[13]Уточнение Пр.17-23  '!E29</f>
        <v>5331</v>
      </c>
      <c r="F29" s="660">
        <f>'[13]Диспан.набл.взрослых Пр.16- 23'!F29+'[13]Уточнение Пр.17-23  '!F29</f>
        <v>757</v>
      </c>
      <c r="G29" s="660">
        <f>'[13]Диспан.набл.взрослых Пр.16- 23'!G29+'[13]Уточнение Пр.17-23  '!G29</f>
        <v>167</v>
      </c>
      <c r="H29" s="660">
        <f>'[13]Диспан.набл.взрослых Пр.16- 23'!H29+'[13]Уточнение Пр.17-23  '!H29</f>
        <v>94</v>
      </c>
      <c r="I29" s="660">
        <f>'[13]Диспан.набл.взрослых Пр.16- 23'!I29+'[13]Уточнение Пр.17-23  '!I29</f>
        <v>0</v>
      </c>
      <c r="J29" s="660">
        <f>'[13]Диспан.набл.взрослых Пр.16- 23'!J29+'[13]Уточнение Пр.17-23  '!J29</f>
        <v>0</v>
      </c>
      <c r="K29" s="660">
        <f>'[13]Диспан.набл.взрослых Пр.16- 23'!K29+'[13]Уточнение Пр.17-23  '!K29</f>
        <v>0</v>
      </c>
      <c r="L29" s="660">
        <f>'[13]Диспан.набл.взрослых Пр.16- 23'!L29+'[13]Уточнение Пр.17-23  '!L29</f>
        <v>0</v>
      </c>
      <c r="M29" s="660">
        <f>'[13]Диспан.набл.взрослых Пр.16- 23'!M29+'[13]Уточнение Пр.17-23  '!M29</f>
        <v>2</v>
      </c>
      <c r="N29" s="660">
        <f>'[13]Диспан.набл.взрослых Пр.16- 23'!N29+'[13]Уточнение Пр.17-23  '!N29</f>
        <v>83</v>
      </c>
      <c r="O29" s="660">
        <f>'[13]Диспан.набл.взрослых Пр.16- 23'!O29+'[13]Уточнение Пр.17-23  '!O29</f>
        <v>0</v>
      </c>
      <c r="P29" s="660">
        <f>'[13]Диспан.набл.взрослых Пр.16- 23'!P29+'[13]Уточнение Пр.17-23  '!P29</f>
        <v>1</v>
      </c>
      <c r="Q29" s="660">
        <f>'[13]Диспан.набл.взрослых Пр.16- 23'!Q29+'[13]Уточнение Пр.17-23  '!Q29</f>
        <v>9</v>
      </c>
      <c r="R29" s="660">
        <f>'[13]Диспан.набл.взрослых Пр.16- 23'!R29+'[13]Уточнение Пр.17-23  '!R29</f>
        <v>2</v>
      </c>
      <c r="S29" s="660">
        <f t="shared" si="4"/>
        <v>5331</v>
      </c>
      <c r="T29" s="659"/>
    </row>
    <row r="30" spans="1:20" x14ac:dyDescent="0.25">
      <c r="A30" s="662">
        <v>17</v>
      </c>
      <c r="B30" s="666" t="s">
        <v>48</v>
      </c>
      <c r="C30" s="434" t="s">
        <v>49</v>
      </c>
      <c r="D30" s="660">
        <f t="shared" si="3"/>
        <v>7622</v>
      </c>
      <c r="E30" s="660">
        <f>'[13]Диспан.набл.взрослых Пр.16- 23'!E30+'[13]Уточнение Пр.17-23  '!E30</f>
        <v>6903</v>
      </c>
      <c r="F30" s="660">
        <f>'[13]Диспан.набл.взрослых Пр.16- 23'!F30+'[13]Уточнение Пр.17-23  '!F30</f>
        <v>380</v>
      </c>
      <c r="G30" s="660">
        <f>'[13]Диспан.набл.взрослых Пр.16- 23'!G30+'[13]Уточнение Пр.17-23  '!G30</f>
        <v>179</v>
      </c>
      <c r="H30" s="660">
        <f>'[13]Диспан.набл.взрослых Пр.16- 23'!H30+'[13]Уточнение Пр.17-23  '!H30</f>
        <v>22</v>
      </c>
      <c r="I30" s="660">
        <f>'[13]Диспан.набл.взрослых Пр.16- 23'!I30+'[13]Уточнение Пр.17-23  '!I30</f>
        <v>0</v>
      </c>
      <c r="J30" s="660">
        <f>'[13]Диспан.набл.взрослых Пр.16- 23'!J30+'[13]Уточнение Пр.17-23  '!J30</f>
        <v>0</v>
      </c>
      <c r="K30" s="660">
        <f>'[13]Диспан.набл.взрослых Пр.16- 23'!K30+'[13]Уточнение Пр.17-23  '!K30</f>
        <v>0</v>
      </c>
      <c r="L30" s="660">
        <f>'[13]Диспан.набл.взрослых Пр.16- 23'!L30+'[13]Уточнение Пр.17-23  '!L30</f>
        <v>1</v>
      </c>
      <c r="M30" s="660">
        <f>'[13]Диспан.набл.взрослых Пр.16- 23'!M30+'[13]Уточнение Пр.17-23  '!M30</f>
        <v>1</v>
      </c>
      <c r="N30" s="660">
        <f>'[13]Диспан.набл.взрослых Пр.16- 23'!N30+'[13]Уточнение Пр.17-23  '!N30</f>
        <v>4</v>
      </c>
      <c r="O30" s="660">
        <f>'[13]Диспан.набл.взрослых Пр.16- 23'!O30+'[13]Уточнение Пр.17-23  '!O30</f>
        <v>0</v>
      </c>
      <c r="P30" s="660">
        <f>'[13]Диспан.набл.взрослых Пр.16- 23'!P30+'[13]Уточнение Пр.17-23  '!P30</f>
        <v>0</v>
      </c>
      <c r="Q30" s="660">
        <f>'[13]Диспан.набл.взрослых Пр.16- 23'!Q30+'[13]Уточнение Пр.17-23  '!Q30</f>
        <v>129</v>
      </c>
      <c r="R30" s="660">
        <f>'[13]Диспан.набл.взрослых Пр.16- 23'!R30+'[13]Уточнение Пр.17-23  '!R30</f>
        <v>3</v>
      </c>
      <c r="S30" s="660">
        <f t="shared" si="4"/>
        <v>6903</v>
      </c>
      <c r="T30" s="659"/>
    </row>
    <row r="31" spans="1:20" x14ac:dyDescent="0.25">
      <c r="A31" s="662">
        <v>18</v>
      </c>
      <c r="B31" s="666" t="s">
        <v>50</v>
      </c>
      <c r="C31" s="434" t="s">
        <v>51</v>
      </c>
      <c r="D31" s="660">
        <f t="shared" si="3"/>
        <v>13025</v>
      </c>
      <c r="E31" s="660">
        <f>'[13]Диспан.набл.взрослых Пр.16- 23'!E31+'[13]Уточнение Пр.17-23  '!E31</f>
        <v>12799</v>
      </c>
      <c r="F31" s="660">
        <f>'[13]Диспан.набл.взрослых Пр.16- 23'!F31+'[13]Уточнение Пр.17-23  '!F31</f>
        <v>41</v>
      </c>
      <c r="G31" s="660">
        <f>'[13]Диспан.набл.взрослых Пр.16- 23'!G31+'[13]Уточнение Пр.17-23  '!G31</f>
        <v>50</v>
      </c>
      <c r="H31" s="660">
        <f>'[13]Диспан.набл.взрослых Пр.16- 23'!H31+'[13]Уточнение Пр.17-23  '!H31</f>
        <v>62</v>
      </c>
      <c r="I31" s="660">
        <f>'[13]Диспан.набл.взрослых Пр.16- 23'!I31+'[13]Уточнение Пр.17-23  '!I31</f>
        <v>0</v>
      </c>
      <c r="J31" s="660">
        <f>'[13]Диспан.набл.взрослых Пр.16- 23'!J31+'[13]Уточнение Пр.17-23  '!J31</f>
        <v>0</v>
      </c>
      <c r="K31" s="660">
        <f>'[13]Диспан.набл.взрослых Пр.16- 23'!K31+'[13]Уточнение Пр.17-23  '!K31</f>
        <v>1</v>
      </c>
      <c r="L31" s="660">
        <f>'[13]Диспан.набл.взрослых Пр.16- 23'!L31+'[13]Уточнение Пр.17-23  '!L31</f>
        <v>2</v>
      </c>
      <c r="M31" s="660">
        <f>'[13]Диспан.набл.взрослых Пр.16- 23'!M31+'[13]Уточнение Пр.17-23  '!M31</f>
        <v>0</v>
      </c>
      <c r="N31" s="660">
        <f>'[13]Диспан.набл.взрослых Пр.16- 23'!N31+'[13]Уточнение Пр.17-23  '!N31</f>
        <v>3</v>
      </c>
      <c r="O31" s="660">
        <f>'[13]Диспан.набл.взрослых Пр.16- 23'!O31+'[13]Уточнение Пр.17-23  '!O31</f>
        <v>3</v>
      </c>
      <c r="P31" s="660">
        <f>'[13]Диспан.набл.взрослых Пр.16- 23'!P31+'[13]Уточнение Пр.17-23  '!P31</f>
        <v>6</v>
      </c>
      <c r="Q31" s="660">
        <f>'[13]Диспан.набл.взрослых Пр.16- 23'!Q31+'[13]Уточнение Пр.17-23  '!Q31</f>
        <v>40</v>
      </c>
      <c r="R31" s="660">
        <f>'[13]Диспан.набл.взрослых Пр.16- 23'!R31+'[13]Уточнение Пр.17-23  '!R31</f>
        <v>18</v>
      </c>
      <c r="S31" s="660">
        <f t="shared" si="4"/>
        <v>12799</v>
      </c>
      <c r="T31" s="659"/>
    </row>
    <row r="32" spans="1:20" x14ac:dyDescent="0.25">
      <c r="A32" s="662">
        <v>19</v>
      </c>
      <c r="B32" s="663" t="s">
        <v>52</v>
      </c>
      <c r="C32" s="664" t="s">
        <v>53</v>
      </c>
      <c r="D32" s="660">
        <f t="shared" si="3"/>
        <v>3339</v>
      </c>
      <c r="E32" s="660">
        <f>'[13]Диспан.набл.взрослых Пр.16- 23'!E32+'[13]Уточнение Пр.17-23  '!E32</f>
        <v>3220</v>
      </c>
      <c r="F32" s="660">
        <f>'[13]Диспан.набл.взрослых Пр.16- 23'!F32+'[13]Уточнение Пр.17-23  '!F32</f>
        <v>0</v>
      </c>
      <c r="G32" s="660">
        <f>'[13]Диспан.набл.взрослых Пр.16- 23'!G32+'[13]Уточнение Пр.17-23  '!G32</f>
        <v>9</v>
      </c>
      <c r="H32" s="660">
        <f>'[13]Диспан.набл.взрослых Пр.16- 23'!H32+'[13]Уточнение Пр.17-23  '!H32</f>
        <v>0</v>
      </c>
      <c r="I32" s="660">
        <f>'[13]Диспан.набл.взрослых Пр.16- 23'!I32+'[13]Уточнение Пр.17-23  '!I32</f>
        <v>0</v>
      </c>
      <c r="J32" s="660">
        <f>'[13]Диспан.набл.взрослых Пр.16- 23'!J32+'[13]Уточнение Пр.17-23  '!J32</f>
        <v>0</v>
      </c>
      <c r="K32" s="660">
        <f>'[13]Диспан.набл.взрослых Пр.16- 23'!K32+'[13]Уточнение Пр.17-23  '!K32</f>
        <v>0</v>
      </c>
      <c r="L32" s="660">
        <f>'[13]Диспан.набл.взрослых Пр.16- 23'!L32+'[13]Уточнение Пр.17-23  '!L32</f>
        <v>5</v>
      </c>
      <c r="M32" s="660">
        <f>'[13]Диспан.набл.взрослых Пр.16- 23'!M32+'[13]Уточнение Пр.17-23  '!M32</f>
        <v>0</v>
      </c>
      <c r="N32" s="660">
        <f>'[13]Диспан.набл.взрослых Пр.16- 23'!N32+'[13]Уточнение Пр.17-23  '!N32</f>
        <v>14</v>
      </c>
      <c r="O32" s="660">
        <f>'[13]Диспан.набл.взрослых Пр.16- 23'!O32+'[13]Уточнение Пр.17-23  '!O32</f>
        <v>0</v>
      </c>
      <c r="P32" s="660">
        <f>'[13]Диспан.набл.взрослых Пр.16- 23'!P32+'[13]Уточнение Пр.17-23  '!P32</f>
        <v>0</v>
      </c>
      <c r="Q32" s="660">
        <f>'[13]Диспан.набл.взрослых Пр.16- 23'!Q32+'[13]Уточнение Пр.17-23  '!Q32</f>
        <v>91</v>
      </c>
      <c r="R32" s="660">
        <f>'[13]Диспан.набл.взрослых Пр.16- 23'!R32+'[13]Уточнение Пр.17-23  '!R32</f>
        <v>0</v>
      </c>
      <c r="S32" s="660">
        <f t="shared" si="4"/>
        <v>3220</v>
      </c>
      <c r="T32" s="659"/>
    </row>
    <row r="33" spans="1:20" x14ac:dyDescent="0.25">
      <c r="A33" s="662">
        <v>20</v>
      </c>
      <c r="B33" s="663" t="s">
        <v>54</v>
      </c>
      <c r="C33" s="664" t="s">
        <v>55</v>
      </c>
      <c r="D33" s="660">
        <f t="shared" si="3"/>
        <v>4550</v>
      </c>
      <c r="E33" s="660">
        <f>'[13]Диспан.набл.взрослых Пр.16- 23'!E33+'[13]Уточнение Пр.17-23  '!E33</f>
        <v>4406</v>
      </c>
      <c r="F33" s="660">
        <f>'[13]Диспан.набл.взрослых Пр.16- 23'!F33+'[13]Уточнение Пр.17-23  '!F33</f>
        <v>0</v>
      </c>
      <c r="G33" s="660">
        <f>'[13]Диспан.набл.взрослых Пр.16- 23'!G33+'[13]Уточнение Пр.17-23  '!G33</f>
        <v>93</v>
      </c>
      <c r="H33" s="660">
        <f>'[13]Диспан.набл.взрослых Пр.16- 23'!H33+'[13]Уточнение Пр.17-23  '!H33</f>
        <v>2</v>
      </c>
      <c r="I33" s="660">
        <f>'[13]Диспан.набл.взрослых Пр.16- 23'!I33+'[13]Уточнение Пр.17-23  '!I33</f>
        <v>0</v>
      </c>
      <c r="J33" s="660">
        <f>'[13]Диспан.набл.взрослых Пр.16- 23'!J33+'[13]Уточнение Пр.17-23  '!J33</f>
        <v>0</v>
      </c>
      <c r="K33" s="660">
        <f>'[13]Диспан.набл.взрослых Пр.16- 23'!K33+'[13]Уточнение Пр.17-23  '!K33</f>
        <v>0</v>
      </c>
      <c r="L33" s="660">
        <f>'[13]Диспан.набл.взрослых Пр.16- 23'!L33+'[13]Уточнение Пр.17-23  '!L33</f>
        <v>0</v>
      </c>
      <c r="M33" s="660">
        <f>'[13]Диспан.набл.взрослых Пр.16- 23'!M33+'[13]Уточнение Пр.17-23  '!M33</f>
        <v>0</v>
      </c>
      <c r="N33" s="660">
        <f>'[13]Диспан.набл.взрослых Пр.16- 23'!N33+'[13]Уточнение Пр.17-23  '!N33</f>
        <v>4</v>
      </c>
      <c r="O33" s="660">
        <f>'[13]Диспан.набл.взрослых Пр.16- 23'!O33+'[13]Уточнение Пр.17-23  '!O33</f>
        <v>0</v>
      </c>
      <c r="P33" s="660">
        <f>'[13]Диспан.набл.взрослых Пр.16- 23'!P33+'[13]Уточнение Пр.17-23  '!P33</f>
        <v>4</v>
      </c>
      <c r="Q33" s="660">
        <f>'[13]Диспан.набл.взрослых Пр.16- 23'!Q33+'[13]Уточнение Пр.17-23  '!Q33</f>
        <v>41</v>
      </c>
      <c r="R33" s="660">
        <f>'[13]Диспан.набл.взрослых Пр.16- 23'!R33+'[13]Уточнение Пр.17-23  '!R33</f>
        <v>0</v>
      </c>
      <c r="S33" s="660">
        <f t="shared" si="4"/>
        <v>4406</v>
      </c>
      <c r="T33" s="659"/>
    </row>
    <row r="34" spans="1:20" x14ac:dyDescent="0.25">
      <c r="A34" s="662">
        <v>21</v>
      </c>
      <c r="B34" s="663" t="s">
        <v>56</v>
      </c>
      <c r="C34" s="664" t="s">
        <v>57</v>
      </c>
      <c r="D34" s="660">
        <f t="shared" si="3"/>
        <v>17600</v>
      </c>
      <c r="E34" s="660">
        <f>'[13]Диспан.набл.взрослых Пр.16- 23'!E34+'[13]Уточнение Пр.17-23  '!E34</f>
        <v>16901</v>
      </c>
      <c r="F34" s="660">
        <f>'[13]Диспан.набл.взрослых Пр.16- 23'!F34+'[13]Уточнение Пр.17-23  '!F34</f>
        <v>525</v>
      </c>
      <c r="G34" s="660">
        <f>'[13]Диспан.набл.взрослых Пр.16- 23'!G34+'[13]Уточнение Пр.17-23  '!G34</f>
        <v>0</v>
      </c>
      <c r="H34" s="660">
        <f>'[13]Диспан.набл.взрослых Пр.16- 23'!H34+'[13]Уточнение Пр.17-23  '!H34</f>
        <v>40</v>
      </c>
      <c r="I34" s="660">
        <f>'[13]Диспан.набл.взрослых Пр.16- 23'!I34+'[13]Уточнение Пр.17-23  '!I34</f>
        <v>0</v>
      </c>
      <c r="J34" s="660">
        <f>'[13]Диспан.набл.взрослых Пр.16- 23'!J34+'[13]Уточнение Пр.17-23  '!J34</f>
        <v>0</v>
      </c>
      <c r="K34" s="660">
        <f>'[13]Диспан.набл.взрослых Пр.16- 23'!K34+'[13]Уточнение Пр.17-23  '!K34</f>
        <v>2</v>
      </c>
      <c r="L34" s="660">
        <f>'[13]Диспан.набл.взрослых Пр.16- 23'!L34+'[13]Уточнение Пр.17-23  '!L34</f>
        <v>0</v>
      </c>
      <c r="M34" s="660">
        <f>'[13]Диспан.набл.взрослых Пр.16- 23'!M34+'[13]Уточнение Пр.17-23  '!M34</f>
        <v>0</v>
      </c>
      <c r="N34" s="660">
        <f>'[13]Диспан.набл.взрослых Пр.16- 23'!N34+'[13]Уточнение Пр.17-23  '!N34</f>
        <v>35</v>
      </c>
      <c r="O34" s="660">
        <f>'[13]Диспан.набл.взрослых Пр.16- 23'!O34+'[13]Уточнение Пр.17-23  '!O34</f>
        <v>1</v>
      </c>
      <c r="P34" s="660">
        <f>'[13]Диспан.набл.взрослых Пр.16- 23'!P34+'[13]Уточнение Пр.17-23  '!P34</f>
        <v>1</v>
      </c>
      <c r="Q34" s="660">
        <f>'[13]Диспан.набл.взрослых Пр.16- 23'!Q34+'[13]Уточнение Пр.17-23  '!Q34</f>
        <v>86</v>
      </c>
      <c r="R34" s="660">
        <f>'[13]Диспан.набл.взрослых Пр.16- 23'!R34+'[13]Уточнение Пр.17-23  '!R34</f>
        <v>9</v>
      </c>
      <c r="S34" s="660">
        <f t="shared" si="4"/>
        <v>16901</v>
      </c>
      <c r="T34" s="659"/>
    </row>
    <row r="35" spans="1:20" x14ac:dyDescent="0.25">
      <c r="A35" s="662">
        <v>22</v>
      </c>
      <c r="B35" s="663" t="s">
        <v>58</v>
      </c>
      <c r="C35" s="664" t="s">
        <v>59</v>
      </c>
      <c r="D35" s="660">
        <f t="shared" si="3"/>
        <v>17702</v>
      </c>
      <c r="E35" s="660">
        <f>'[13]Диспан.набл.взрослых Пр.16- 23'!E35+'[13]Уточнение Пр.17-23  '!E35</f>
        <v>16049</v>
      </c>
      <c r="F35" s="660">
        <f>'[13]Диспан.набл.взрослых Пр.16- 23'!F35+'[13]Уточнение Пр.17-23  '!F35</f>
        <v>1481</v>
      </c>
      <c r="G35" s="660">
        <f>'[13]Диспан.набл.взрослых Пр.16- 23'!G35+'[13]Уточнение Пр.17-23  '!G35</f>
        <v>117</v>
      </c>
      <c r="H35" s="660">
        <f>'[13]Диспан.набл.взрослых Пр.16- 23'!H35+'[13]Уточнение Пр.17-23  '!H35</f>
        <v>24</v>
      </c>
      <c r="I35" s="660">
        <f>'[13]Диспан.набл.взрослых Пр.16- 23'!I35+'[13]Уточнение Пр.17-23  '!I35</f>
        <v>0</v>
      </c>
      <c r="J35" s="660">
        <f>'[13]Диспан.набл.взрослых Пр.16- 23'!J35+'[13]Уточнение Пр.17-23  '!J35</f>
        <v>0</v>
      </c>
      <c r="K35" s="660">
        <f>'[13]Диспан.набл.взрослых Пр.16- 23'!K35+'[13]Уточнение Пр.17-23  '!K35</f>
        <v>0</v>
      </c>
      <c r="L35" s="660">
        <f>'[13]Диспан.набл.взрослых Пр.16- 23'!L35+'[13]Уточнение Пр.17-23  '!L35</f>
        <v>0</v>
      </c>
      <c r="M35" s="660">
        <f>'[13]Диспан.набл.взрослых Пр.16- 23'!M35+'[13]Уточнение Пр.17-23  '!M35</f>
        <v>2</v>
      </c>
      <c r="N35" s="660">
        <f>'[13]Диспан.набл.взрослых Пр.16- 23'!N35+'[13]Уточнение Пр.17-23  '!N35</f>
        <v>1</v>
      </c>
      <c r="O35" s="660">
        <f>'[13]Диспан.набл.взрослых Пр.16- 23'!O35+'[13]Уточнение Пр.17-23  '!O35</f>
        <v>0</v>
      </c>
      <c r="P35" s="660">
        <f>'[13]Диспан.набл.взрослых Пр.16- 23'!P35+'[13]Уточнение Пр.17-23  '!P35</f>
        <v>5</v>
      </c>
      <c r="Q35" s="660">
        <f>'[13]Диспан.набл.взрослых Пр.16- 23'!Q35+'[13]Уточнение Пр.17-23  '!Q35</f>
        <v>22</v>
      </c>
      <c r="R35" s="660">
        <f>'[13]Диспан.набл.взрослых Пр.16- 23'!R35+'[13]Уточнение Пр.17-23  '!R35</f>
        <v>1</v>
      </c>
      <c r="S35" s="660">
        <f t="shared" si="4"/>
        <v>16049</v>
      </c>
      <c r="T35" s="659"/>
    </row>
    <row r="36" spans="1:20" x14ac:dyDescent="0.25">
      <c r="A36" s="662">
        <v>23</v>
      </c>
      <c r="B36" s="666" t="s">
        <v>60</v>
      </c>
      <c r="C36" s="434" t="s">
        <v>61</v>
      </c>
      <c r="D36" s="660">
        <f t="shared" si="3"/>
        <v>2092</v>
      </c>
      <c r="E36" s="660">
        <f>'[13]Диспан.набл.взрослых Пр.16- 23'!E36+'[13]Уточнение Пр.17-23  '!E36</f>
        <v>1984</v>
      </c>
      <c r="F36" s="660">
        <f>'[13]Диспан.набл.взрослых Пр.16- 23'!F36+'[13]Уточнение Пр.17-23  '!F36</f>
        <v>0</v>
      </c>
      <c r="G36" s="660">
        <f>'[13]Диспан.набл.взрослых Пр.16- 23'!G36+'[13]Уточнение Пр.17-23  '!G36</f>
        <v>45</v>
      </c>
      <c r="H36" s="660">
        <f>'[13]Диспан.набл.взрослых Пр.16- 23'!H36+'[13]Уточнение Пр.17-23  '!H36</f>
        <v>32</v>
      </c>
      <c r="I36" s="660">
        <f>'[13]Диспан.набл.взрослых Пр.16- 23'!I36+'[13]Уточнение Пр.17-23  '!I36</f>
        <v>0</v>
      </c>
      <c r="J36" s="660">
        <f>'[13]Диспан.набл.взрослых Пр.16- 23'!J36+'[13]Уточнение Пр.17-23  '!J36</f>
        <v>1</v>
      </c>
      <c r="K36" s="660">
        <f>'[13]Диспан.набл.взрослых Пр.16- 23'!K36+'[13]Уточнение Пр.17-23  '!K36</f>
        <v>0</v>
      </c>
      <c r="L36" s="660">
        <f>'[13]Диспан.набл.взрослых Пр.16- 23'!L36+'[13]Уточнение Пр.17-23  '!L36</f>
        <v>0</v>
      </c>
      <c r="M36" s="660">
        <f>'[13]Диспан.набл.взрослых Пр.16- 23'!M36+'[13]Уточнение Пр.17-23  '!M36</f>
        <v>4</v>
      </c>
      <c r="N36" s="660">
        <f>'[13]Диспан.набл.взрослых Пр.16- 23'!N36+'[13]Уточнение Пр.17-23  '!N36</f>
        <v>13</v>
      </c>
      <c r="O36" s="660">
        <f>'[13]Диспан.набл.взрослых Пр.16- 23'!O36+'[13]Уточнение Пр.17-23  '!O36</f>
        <v>4</v>
      </c>
      <c r="P36" s="660">
        <f>'[13]Диспан.набл.взрослых Пр.16- 23'!P36+'[13]Уточнение Пр.17-23  '!P36</f>
        <v>0</v>
      </c>
      <c r="Q36" s="660">
        <f>'[13]Диспан.набл.взрослых Пр.16- 23'!Q36+'[13]Уточнение Пр.17-23  '!Q36</f>
        <v>9</v>
      </c>
      <c r="R36" s="660">
        <f>'[13]Диспан.набл.взрослых Пр.16- 23'!R36+'[13]Уточнение Пр.17-23  '!R36</f>
        <v>0</v>
      </c>
      <c r="S36" s="660">
        <f t="shared" si="4"/>
        <v>1984</v>
      </c>
      <c r="T36" s="659"/>
    </row>
    <row r="37" spans="1:20" x14ac:dyDescent="0.25">
      <c r="A37" s="662">
        <v>24</v>
      </c>
      <c r="B37" s="666" t="s">
        <v>62</v>
      </c>
      <c r="C37" s="434" t="s">
        <v>63</v>
      </c>
      <c r="D37" s="660">
        <f t="shared" si="3"/>
        <v>0</v>
      </c>
      <c r="E37" s="660">
        <f>'[13]Диспан.набл.взрослых Пр.16- 23'!E37+'[13]Уточнение Пр.17-23  '!E37</f>
        <v>0</v>
      </c>
      <c r="F37" s="660">
        <f>'[13]Диспан.набл.взрослых Пр.16- 23'!F37+'[13]Уточнение Пр.17-23  '!F37</f>
        <v>0</v>
      </c>
      <c r="G37" s="660">
        <f>'[13]Диспан.набл.взрослых Пр.16- 23'!G37+'[13]Уточнение Пр.17-23  '!G37</f>
        <v>0</v>
      </c>
      <c r="H37" s="660">
        <f>'[13]Диспан.набл.взрослых Пр.16- 23'!H37+'[13]Уточнение Пр.17-23  '!H37</f>
        <v>0</v>
      </c>
      <c r="I37" s="660">
        <f>'[13]Диспан.набл.взрослых Пр.16- 23'!I37+'[13]Уточнение Пр.17-23  '!I37</f>
        <v>0</v>
      </c>
      <c r="J37" s="660">
        <f>'[13]Диспан.набл.взрослых Пр.16- 23'!J37+'[13]Уточнение Пр.17-23  '!J37</f>
        <v>0</v>
      </c>
      <c r="K37" s="660">
        <f>'[13]Диспан.набл.взрослых Пр.16- 23'!K37+'[13]Уточнение Пр.17-23  '!K37</f>
        <v>0</v>
      </c>
      <c r="L37" s="660">
        <f>'[13]Диспан.набл.взрослых Пр.16- 23'!L37+'[13]Уточнение Пр.17-23  '!L37</f>
        <v>0</v>
      </c>
      <c r="M37" s="660">
        <f>'[13]Диспан.набл.взрослых Пр.16- 23'!M37+'[13]Уточнение Пр.17-23  '!M37</f>
        <v>0</v>
      </c>
      <c r="N37" s="660">
        <f>'[13]Диспан.набл.взрослых Пр.16- 23'!N37+'[13]Уточнение Пр.17-23  '!N37</f>
        <v>0</v>
      </c>
      <c r="O37" s="660">
        <f>'[13]Диспан.набл.взрослых Пр.16- 23'!O37+'[13]Уточнение Пр.17-23  '!O37</f>
        <v>0</v>
      </c>
      <c r="P37" s="660">
        <f>'[13]Диспан.набл.взрослых Пр.16- 23'!P37+'[13]Уточнение Пр.17-23  '!P37</f>
        <v>0</v>
      </c>
      <c r="Q37" s="660">
        <f>'[13]Диспан.набл.взрослых Пр.16- 23'!Q37+'[13]Уточнение Пр.17-23  '!Q37</f>
        <v>0</v>
      </c>
      <c r="R37" s="660">
        <f>'[13]Диспан.набл.взрослых Пр.16- 23'!R37+'[13]Уточнение Пр.17-23  '!R37</f>
        <v>0</v>
      </c>
      <c r="S37" s="660">
        <f t="shared" si="4"/>
        <v>0</v>
      </c>
      <c r="T37" s="659"/>
    </row>
    <row r="38" spans="1:20" ht="24" x14ac:dyDescent="0.25">
      <c r="A38" s="662">
        <v>25</v>
      </c>
      <c r="B38" s="666" t="s">
        <v>64</v>
      </c>
      <c r="C38" s="434" t="s">
        <v>65</v>
      </c>
      <c r="D38" s="660">
        <f t="shared" si="3"/>
        <v>0</v>
      </c>
      <c r="E38" s="660">
        <f>'[13]Диспан.набл.взрослых Пр.16- 23'!E38+'[13]Уточнение Пр.17-23  '!E38</f>
        <v>0</v>
      </c>
      <c r="F38" s="660">
        <f>'[13]Диспан.набл.взрослых Пр.16- 23'!F38+'[13]Уточнение Пр.17-23  '!F38</f>
        <v>0</v>
      </c>
      <c r="G38" s="660">
        <f>'[13]Диспан.набл.взрослых Пр.16- 23'!G38+'[13]Уточнение Пр.17-23  '!G38</f>
        <v>0</v>
      </c>
      <c r="H38" s="660">
        <f>'[13]Диспан.набл.взрослых Пр.16- 23'!H38+'[13]Уточнение Пр.17-23  '!H38</f>
        <v>0</v>
      </c>
      <c r="I38" s="660">
        <f>'[13]Диспан.набл.взрослых Пр.16- 23'!I38+'[13]Уточнение Пр.17-23  '!I38</f>
        <v>0</v>
      </c>
      <c r="J38" s="660">
        <f>'[13]Диспан.набл.взрослых Пр.16- 23'!J38+'[13]Уточнение Пр.17-23  '!J38</f>
        <v>0</v>
      </c>
      <c r="K38" s="660">
        <f>'[13]Диспан.набл.взрослых Пр.16- 23'!K38+'[13]Уточнение Пр.17-23  '!K38</f>
        <v>0</v>
      </c>
      <c r="L38" s="660">
        <f>'[13]Диспан.набл.взрослых Пр.16- 23'!L38+'[13]Уточнение Пр.17-23  '!L38</f>
        <v>0</v>
      </c>
      <c r="M38" s="660">
        <f>'[13]Диспан.набл.взрослых Пр.16- 23'!M38+'[13]Уточнение Пр.17-23  '!M38</f>
        <v>0</v>
      </c>
      <c r="N38" s="660">
        <f>'[13]Диспан.набл.взрослых Пр.16- 23'!N38+'[13]Уточнение Пр.17-23  '!N38</f>
        <v>0</v>
      </c>
      <c r="O38" s="660">
        <f>'[13]Диспан.набл.взрослых Пр.16- 23'!O38+'[13]Уточнение Пр.17-23  '!O38</f>
        <v>0</v>
      </c>
      <c r="P38" s="660">
        <f>'[13]Диспан.набл.взрослых Пр.16- 23'!P38+'[13]Уточнение Пр.17-23  '!P38</f>
        <v>0</v>
      </c>
      <c r="Q38" s="660">
        <f>'[13]Диспан.набл.взрослых Пр.16- 23'!Q38+'[13]Уточнение Пр.17-23  '!Q38</f>
        <v>0</v>
      </c>
      <c r="R38" s="660">
        <f>'[13]Диспан.набл.взрослых Пр.16- 23'!R38+'[13]Уточнение Пр.17-23  '!R38</f>
        <v>0</v>
      </c>
      <c r="S38" s="660">
        <f t="shared" si="4"/>
        <v>0</v>
      </c>
      <c r="T38" s="659"/>
    </row>
    <row r="39" spans="1:20" ht="14.25" customHeight="1" x14ac:dyDescent="0.25">
      <c r="A39" s="662">
        <v>26</v>
      </c>
      <c r="B39" s="663" t="s">
        <v>66</v>
      </c>
      <c r="C39" s="1" t="s">
        <v>67</v>
      </c>
      <c r="D39" s="660">
        <f t="shared" si="3"/>
        <v>43837</v>
      </c>
      <c r="E39" s="660">
        <f>'[13]Диспан.набл.взрослых Пр.16- 23'!E39+'[13]Уточнение Пр.17-23  '!E39</f>
        <v>39091</v>
      </c>
      <c r="F39" s="660">
        <f>'[13]Диспан.набл.взрослых Пр.16- 23'!F39+'[13]Уточнение Пр.17-23  '!F39</f>
        <v>2465</v>
      </c>
      <c r="G39" s="660">
        <f>'[13]Диспан.набл.взрослых Пр.16- 23'!G39+'[13]Уточнение Пр.17-23  '!G39</f>
        <v>975</v>
      </c>
      <c r="H39" s="660">
        <f>'[13]Диспан.набл.взрослых Пр.16- 23'!H39+'[13]Уточнение Пр.17-23  '!H39</f>
        <v>1145</v>
      </c>
      <c r="I39" s="660">
        <f>'[13]Диспан.набл.взрослых Пр.16- 23'!I39+'[13]Уточнение Пр.17-23  '!I39</f>
        <v>0</v>
      </c>
      <c r="J39" s="660">
        <f>'[13]Диспан.набл.взрослых Пр.16- 23'!J39+'[13]Уточнение Пр.17-23  '!J39</f>
        <v>1</v>
      </c>
      <c r="K39" s="660">
        <f>'[13]Диспан.набл.взрослых Пр.16- 23'!K39+'[13]Уточнение Пр.17-23  '!K39</f>
        <v>4</v>
      </c>
      <c r="L39" s="660">
        <f>'[13]Диспан.набл.взрослых Пр.16- 23'!L39+'[13]Уточнение Пр.17-23  '!L39</f>
        <v>17</v>
      </c>
      <c r="M39" s="660">
        <f>'[13]Диспан.набл.взрослых Пр.16- 23'!M39+'[13]Уточнение Пр.17-23  '!M39</f>
        <v>4</v>
      </c>
      <c r="N39" s="660">
        <f>'[13]Диспан.набл.взрослых Пр.16- 23'!N39+'[13]Уточнение Пр.17-23  '!N39</f>
        <v>36</v>
      </c>
      <c r="O39" s="660">
        <f>'[13]Диспан.набл.взрослых Пр.16- 23'!O39+'[13]Уточнение Пр.17-23  '!O39</f>
        <v>6</v>
      </c>
      <c r="P39" s="660">
        <f>'[13]Диспан.набл.взрослых Пр.16- 23'!P39+'[13]Уточнение Пр.17-23  '!P39</f>
        <v>5</v>
      </c>
      <c r="Q39" s="660">
        <f>'[13]Диспан.набл.взрослых Пр.16- 23'!Q39+'[13]Уточнение Пр.17-23  '!Q39</f>
        <v>8</v>
      </c>
      <c r="R39" s="660">
        <f>'[13]Диспан.набл.взрослых Пр.16- 23'!R39+'[13]Уточнение Пр.17-23  '!R39</f>
        <v>80</v>
      </c>
      <c r="S39" s="660">
        <f t="shared" si="4"/>
        <v>39091</v>
      </c>
      <c r="T39" s="659"/>
    </row>
    <row r="40" spans="1:20" x14ac:dyDescent="0.25">
      <c r="A40" s="662">
        <v>27</v>
      </c>
      <c r="B40" s="666" t="s">
        <v>68</v>
      </c>
      <c r="C40" s="434" t="s">
        <v>69</v>
      </c>
      <c r="D40" s="660">
        <f t="shared" si="3"/>
        <v>11602</v>
      </c>
      <c r="E40" s="660">
        <f>'[13]Диспан.набл.взрослых Пр.16- 23'!E40+'[13]Уточнение Пр.17-23  '!E40</f>
        <v>10821</v>
      </c>
      <c r="F40" s="660">
        <f>'[13]Диспан.набл.взрослых Пр.16- 23'!F40+'[13]Уточнение Пр.17-23  '!F40</f>
        <v>458</v>
      </c>
      <c r="G40" s="660">
        <f>'[13]Диспан.набл.взрослых Пр.16- 23'!G40+'[13]Уточнение Пр.17-23  '!G40</f>
        <v>0</v>
      </c>
      <c r="H40" s="660">
        <f>'[13]Диспан.набл.взрослых Пр.16- 23'!H40+'[13]Уточнение Пр.17-23  '!H40</f>
        <v>185</v>
      </c>
      <c r="I40" s="660">
        <f>'[13]Диспан.набл.взрослых Пр.16- 23'!I40+'[13]Уточнение Пр.17-23  '!I40</f>
        <v>0</v>
      </c>
      <c r="J40" s="660">
        <f>'[13]Диспан.набл.взрослых Пр.16- 23'!J40+'[13]Уточнение Пр.17-23  '!J40</f>
        <v>0</v>
      </c>
      <c r="K40" s="660">
        <f>'[13]Диспан.набл.взрослых Пр.16- 23'!K40+'[13]Уточнение Пр.17-23  '!K40</f>
        <v>13</v>
      </c>
      <c r="L40" s="660">
        <f>'[13]Диспан.набл.взрослых Пр.16- 23'!L40+'[13]Уточнение Пр.17-23  '!L40</f>
        <v>0</v>
      </c>
      <c r="M40" s="660">
        <f>'[13]Диспан.набл.взрослых Пр.16- 23'!M40+'[13]Уточнение Пр.17-23  '!M40</f>
        <v>3</v>
      </c>
      <c r="N40" s="660">
        <f>'[13]Диспан.набл.взрослых Пр.16- 23'!N40+'[13]Уточнение Пр.17-23  '!N40</f>
        <v>63</v>
      </c>
      <c r="O40" s="660">
        <f>'[13]Диспан.набл.взрослых Пр.16- 23'!O40+'[13]Уточнение Пр.17-23  '!O40</f>
        <v>0</v>
      </c>
      <c r="P40" s="660">
        <f>'[13]Диспан.набл.взрослых Пр.16- 23'!P40+'[13]Уточнение Пр.17-23  '!P40</f>
        <v>1</v>
      </c>
      <c r="Q40" s="660">
        <f>'[13]Диспан.набл.взрослых Пр.16- 23'!Q40+'[13]Уточнение Пр.17-23  '!Q40</f>
        <v>13</v>
      </c>
      <c r="R40" s="660">
        <f>'[13]Диспан.набл.взрослых Пр.16- 23'!R40+'[13]Уточнение Пр.17-23  '!R40</f>
        <v>45</v>
      </c>
      <c r="S40" s="660">
        <f t="shared" si="4"/>
        <v>10821</v>
      </c>
      <c r="T40" s="659"/>
    </row>
    <row r="41" spans="1:20" x14ac:dyDescent="0.25">
      <c r="A41" s="662">
        <v>28</v>
      </c>
      <c r="B41" s="666" t="s">
        <v>70</v>
      </c>
      <c r="C41" s="434" t="s">
        <v>71</v>
      </c>
      <c r="D41" s="660">
        <f t="shared" si="3"/>
        <v>0</v>
      </c>
      <c r="E41" s="660">
        <f>'[13]Диспан.набл.взрослых Пр.16- 23'!E41+'[13]Уточнение Пр.17-23  '!E41</f>
        <v>0</v>
      </c>
      <c r="F41" s="660">
        <f>'[13]Диспан.набл.взрослых Пр.16- 23'!F41+'[13]Уточнение Пр.17-23  '!F41</f>
        <v>0</v>
      </c>
      <c r="G41" s="660">
        <f>'[13]Диспан.набл.взрослых Пр.16- 23'!G41+'[13]Уточнение Пр.17-23  '!G41</f>
        <v>0</v>
      </c>
      <c r="H41" s="660">
        <f>'[13]Диспан.набл.взрослых Пр.16- 23'!H41+'[13]Уточнение Пр.17-23  '!H41</f>
        <v>0</v>
      </c>
      <c r="I41" s="660">
        <f>'[13]Диспан.набл.взрослых Пр.16- 23'!I41+'[13]Уточнение Пр.17-23  '!I41</f>
        <v>0</v>
      </c>
      <c r="J41" s="660">
        <f>'[13]Диспан.набл.взрослых Пр.16- 23'!J41+'[13]Уточнение Пр.17-23  '!J41</f>
        <v>0</v>
      </c>
      <c r="K41" s="660">
        <f>'[13]Диспан.набл.взрослых Пр.16- 23'!K41+'[13]Уточнение Пр.17-23  '!K41</f>
        <v>0</v>
      </c>
      <c r="L41" s="660">
        <f>'[13]Диспан.набл.взрослых Пр.16- 23'!L41+'[13]Уточнение Пр.17-23  '!L41</f>
        <v>0</v>
      </c>
      <c r="M41" s="660">
        <f>'[13]Диспан.набл.взрослых Пр.16- 23'!M41+'[13]Уточнение Пр.17-23  '!M41</f>
        <v>0</v>
      </c>
      <c r="N41" s="660">
        <f>'[13]Диспан.набл.взрослых Пр.16- 23'!N41+'[13]Уточнение Пр.17-23  '!N41</f>
        <v>0</v>
      </c>
      <c r="O41" s="660">
        <f>'[13]Диспан.набл.взрослых Пр.16- 23'!O41+'[13]Уточнение Пр.17-23  '!O41</f>
        <v>0</v>
      </c>
      <c r="P41" s="660">
        <f>'[13]Диспан.набл.взрослых Пр.16- 23'!P41+'[13]Уточнение Пр.17-23  '!P41</f>
        <v>0</v>
      </c>
      <c r="Q41" s="660">
        <f>'[13]Диспан.набл.взрослых Пр.16- 23'!Q41+'[13]Уточнение Пр.17-23  '!Q41</f>
        <v>0</v>
      </c>
      <c r="R41" s="660">
        <f>'[13]Диспан.набл.взрослых Пр.16- 23'!R41+'[13]Уточнение Пр.17-23  '!R41</f>
        <v>0</v>
      </c>
      <c r="S41" s="660">
        <f t="shared" si="4"/>
        <v>0</v>
      </c>
      <c r="T41" s="659"/>
    </row>
    <row r="42" spans="1:20" x14ac:dyDescent="0.25">
      <c r="A42" s="662">
        <v>29</v>
      </c>
      <c r="B42" s="665" t="s">
        <v>72</v>
      </c>
      <c r="C42" s="1" t="s">
        <v>73</v>
      </c>
      <c r="D42" s="660">
        <f t="shared" si="3"/>
        <v>0</v>
      </c>
      <c r="E42" s="660">
        <f>'[13]Диспан.набл.взрослых Пр.16- 23'!E42+'[13]Уточнение Пр.17-23  '!E42</f>
        <v>0</v>
      </c>
      <c r="F42" s="660">
        <f>'[13]Диспан.набл.взрослых Пр.16- 23'!F42+'[13]Уточнение Пр.17-23  '!F42</f>
        <v>0</v>
      </c>
      <c r="G42" s="660">
        <f>'[13]Диспан.набл.взрослых Пр.16- 23'!G42+'[13]Уточнение Пр.17-23  '!G42</f>
        <v>0</v>
      </c>
      <c r="H42" s="660">
        <f>'[13]Диспан.набл.взрослых Пр.16- 23'!H42+'[13]Уточнение Пр.17-23  '!H42</f>
        <v>0</v>
      </c>
      <c r="I42" s="660">
        <f>'[13]Диспан.набл.взрослых Пр.16- 23'!I42+'[13]Уточнение Пр.17-23  '!I42</f>
        <v>0</v>
      </c>
      <c r="J42" s="660">
        <f>'[13]Диспан.набл.взрослых Пр.16- 23'!J42+'[13]Уточнение Пр.17-23  '!J42</f>
        <v>0</v>
      </c>
      <c r="K42" s="660">
        <f>'[13]Диспан.набл.взрослых Пр.16- 23'!K42+'[13]Уточнение Пр.17-23  '!K42</f>
        <v>0</v>
      </c>
      <c r="L42" s="660">
        <f>'[13]Диспан.набл.взрослых Пр.16- 23'!L42+'[13]Уточнение Пр.17-23  '!L42</f>
        <v>0</v>
      </c>
      <c r="M42" s="660">
        <f>'[13]Диспан.набл.взрослых Пр.16- 23'!M42+'[13]Уточнение Пр.17-23  '!M42</f>
        <v>0</v>
      </c>
      <c r="N42" s="660">
        <f>'[13]Диспан.набл.взрослых Пр.16- 23'!N42+'[13]Уточнение Пр.17-23  '!N42</f>
        <v>0</v>
      </c>
      <c r="O42" s="660">
        <f>'[13]Диспан.набл.взрослых Пр.16- 23'!O42+'[13]Уточнение Пр.17-23  '!O42</f>
        <v>0</v>
      </c>
      <c r="P42" s="660">
        <f>'[13]Диспан.набл.взрослых Пр.16- 23'!P42+'[13]Уточнение Пр.17-23  '!P42</f>
        <v>0</v>
      </c>
      <c r="Q42" s="660">
        <f>'[13]Диспан.набл.взрослых Пр.16- 23'!Q42+'[13]Уточнение Пр.17-23  '!Q42</f>
        <v>0</v>
      </c>
      <c r="R42" s="660">
        <f>'[13]Диспан.набл.взрослых Пр.16- 23'!R42+'[13]Уточнение Пр.17-23  '!R42</f>
        <v>0</v>
      </c>
      <c r="S42" s="660">
        <f t="shared" si="4"/>
        <v>0</v>
      </c>
      <c r="T42" s="659"/>
    </row>
    <row r="43" spans="1:20" ht="24" x14ac:dyDescent="0.25">
      <c r="A43" s="662">
        <v>30</v>
      </c>
      <c r="B43" s="663" t="s">
        <v>74</v>
      </c>
      <c r="C43" s="664" t="s">
        <v>377</v>
      </c>
      <c r="D43" s="660">
        <f t="shared" si="3"/>
        <v>0</v>
      </c>
      <c r="E43" s="660">
        <f>'[13]Диспан.набл.взрослых Пр.16- 23'!E43+'[13]Уточнение Пр.17-23  '!E43</f>
        <v>0</v>
      </c>
      <c r="F43" s="660">
        <f>'[13]Диспан.набл.взрослых Пр.16- 23'!F43+'[13]Уточнение Пр.17-23  '!F43</f>
        <v>0</v>
      </c>
      <c r="G43" s="660">
        <f>'[13]Диспан.набл.взрослых Пр.16- 23'!G43+'[13]Уточнение Пр.17-23  '!G43</f>
        <v>0</v>
      </c>
      <c r="H43" s="660">
        <f>'[13]Диспан.набл.взрослых Пр.16- 23'!H43+'[13]Уточнение Пр.17-23  '!H43</f>
        <v>0</v>
      </c>
      <c r="I43" s="660">
        <f>'[13]Диспан.набл.взрослых Пр.16- 23'!I43+'[13]Уточнение Пр.17-23  '!I43</f>
        <v>0</v>
      </c>
      <c r="J43" s="660">
        <f>'[13]Диспан.набл.взрослых Пр.16- 23'!J43+'[13]Уточнение Пр.17-23  '!J43</f>
        <v>0</v>
      </c>
      <c r="K43" s="660">
        <f>'[13]Диспан.набл.взрослых Пр.16- 23'!K43+'[13]Уточнение Пр.17-23  '!K43</f>
        <v>0</v>
      </c>
      <c r="L43" s="660">
        <f>'[13]Диспан.набл.взрослых Пр.16- 23'!L43+'[13]Уточнение Пр.17-23  '!L43</f>
        <v>0</v>
      </c>
      <c r="M43" s="660">
        <f>'[13]Диспан.набл.взрослых Пр.16- 23'!M43+'[13]Уточнение Пр.17-23  '!M43</f>
        <v>0</v>
      </c>
      <c r="N43" s="660">
        <f>'[13]Диспан.набл.взрослых Пр.16- 23'!N43+'[13]Уточнение Пр.17-23  '!N43</f>
        <v>0</v>
      </c>
      <c r="O43" s="660">
        <f>'[13]Диспан.набл.взрослых Пр.16- 23'!O43+'[13]Уточнение Пр.17-23  '!O43</f>
        <v>0</v>
      </c>
      <c r="P43" s="660">
        <f>'[13]Диспан.набл.взрослых Пр.16- 23'!P43+'[13]Уточнение Пр.17-23  '!P43</f>
        <v>0</v>
      </c>
      <c r="Q43" s="660">
        <f>'[13]Диспан.набл.взрослых Пр.16- 23'!Q43+'[13]Уточнение Пр.17-23  '!Q43</f>
        <v>0</v>
      </c>
      <c r="R43" s="660">
        <f>'[13]Диспан.набл.взрослых Пр.16- 23'!R43+'[13]Уточнение Пр.17-23  '!R43</f>
        <v>0</v>
      </c>
      <c r="S43" s="660">
        <f t="shared" si="4"/>
        <v>0</v>
      </c>
      <c r="T43" s="659"/>
    </row>
    <row r="44" spans="1:20" x14ac:dyDescent="0.25">
      <c r="A44" s="662">
        <v>31</v>
      </c>
      <c r="B44" s="666" t="s">
        <v>75</v>
      </c>
      <c r="C44" s="434" t="s">
        <v>76</v>
      </c>
      <c r="D44" s="660">
        <f t="shared" si="3"/>
        <v>156</v>
      </c>
      <c r="E44" s="660">
        <f>'[13]Диспан.набл.взрослых Пр.16- 23'!E44+'[13]Уточнение Пр.17-23  '!E44</f>
        <v>2</v>
      </c>
      <c r="F44" s="660">
        <f>'[13]Диспан.набл.взрослых Пр.16- 23'!F44+'[13]Уточнение Пр.17-23  '!F44</f>
        <v>85</v>
      </c>
      <c r="G44" s="660">
        <f>'[13]Диспан.набл.взрослых Пр.16- 23'!G44+'[13]Уточнение Пр.17-23  '!G44</f>
        <v>3</v>
      </c>
      <c r="H44" s="660">
        <f>'[13]Диспан.набл.взрослых Пр.16- 23'!H44+'[13]Уточнение Пр.17-23  '!H44</f>
        <v>11</v>
      </c>
      <c r="I44" s="660">
        <f>'[13]Диспан.набл.взрослых Пр.16- 23'!I44+'[13]Уточнение Пр.17-23  '!I44</f>
        <v>0</v>
      </c>
      <c r="J44" s="660">
        <f>'[13]Диспан.набл.взрослых Пр.16- 23'!J44+'[13]Уточнение Пр.17-23  '!J44</f>
        <v>0</v>
      </c>
      <c r="K44" s="660">
        <f>'[13]Диспан.набл.взрослых Пр.16- 23'!K44+'[13]Уточнение Пр.17-23  '!K44</f>
        <v>0</v>
      </c>
      <c r="L44" s="660">
        <f>'[13]Диспан.набл.взрослых Пр.16- 23'!L44+'[13]Уточнение Пр.17-23  '!L44</f>
        <v>0</v>
      </c>
      <c r="M44" s="660">
        <f>'[13]Диспан.набл.взрослых Пр.16- 23'!M44+'[13]Уточнение Пр.17-23  '!M44</f>
        <v>1</v>
      </c>
      <c r="N44" s="660">
        <f>'[13]Диспан.набл.взрослых Пр.16- 23'!N44+'[13]Уточнение Пр.17-23  '!N44</f>
        <v>4</v>
      </c>
      <c r="O44" s="660">
        <f>'[13]Диспан.набл.взрослых Пр.16- 23'!O44+'[13]Уточнение Пр.17-23  '!O44</f>
        <v>0</v>
      </c>
      <c r="P44" s="660">
        <f>'[13]Диспан.набл.взрослых Пр.16- 23'!P44+'[13]Уточнение Пр.17-23  '!P44</f>
        <v>0</v>
      </c>
      <c r="Q44" s="660">
        <f>'[13]Диспан.набл.взрослых Пр.16- 23'!Q44+'[13]Уточнение Пр.17-23  '!Q44</f>
        <v>50</v>
      </c>
      <c r="R44" s="660">
        <f>'[13]Диспан.набл.взрослых Пр.16- 23'!R44+'[13]Уточнение Пр.17-23  '!R44</f>
        <v>0</v>
      </c>
      <c r="S44" s="660">
        <f t="shared" si="4"/>
        <v>2</v>
      </c>
      <c r="T44" s="659"/>
    </row>
    <row r="45" spans="1:20" x14ac:dyDescent="0.25">
      <c r="A45" s="662">
        <v>32</v>
      </c>
      <c r="B45" s="665" t="s">
        <v>77</v>
      </c>
      <c r="C45" s="664" t="s">
        <v>78</v>
      </c>
      <c r="D45" s="660">
        <f t="shared" si="3"/>
        <v>18204</v>
      </c>
      <c r="E45" s="660">
        <f>'[13]Диспан.набл.взрослых Пр.16- 23'!E45+'[13]Уточнение Пр.17-23  '!E45</f>
        <v>16961</v>
      </c>
      <c r="F45" s="660">
        <f>'[13]Диспан.набл.взрослых Пр.16- 23'!F45+'[13]Уточнение Пр.17-23  '!F45</f>
        <v>556</v>
      </c>
      <c r="G45" s="660">
        <f>'[13]Диспан.набл.взрослых Пр.16- 23'!G45+'[13]Уточнение Пр.17-23  '!G45</f>
        <v>418</v>
      </c>
      <c r="H45" s="660">
        <f>'[13]Диспан.набл.взрослых Пр.16- 23'!H45+'[13]Уточнение Пр.17-23  '!H45</f>
        <v>254</v>
      </c>
      <c r="I45" s="660">
        <f>'[13]Диспан.набл.взрослых Пр.16- 23'!I45+'[13]Уточнение Пр.17-23  '!I45</f>
        <v>0</v>
      </c>
      <c r="J45" s="660">
        <f>'[13]Диспан.набл.взрослых Пр.16- 23'!J45+'[13]Уточнение Пр.17-23  '!J45</f>
        <v>0</v>
      </c>
      <c r="K45" s="660">
        <f>'[13]Диспан.набл.взрослых Пр.16- 23'!K45+'[13]Уточнение Пр.17-23  '!K45</f>
        <v>0</v>
      </c>
      <c r="L45" s="660">
        <f>'[13]Диспан.набл.взрослых Пр.16- 23'!L45+'[13]Уточнение Пр.17-23  '!L45</f>
        <v>0</v>
      </c>
      <c r="M45" s="660">
        <f>'[13]Диспан.набл.взрослых Пр.16- 23'!M45+'[13]Уточнение Пр.17-23  '!M45</f>
        <v>0</v>
      </c>
      <c r="N45" s="660">
        <f>'[13]Диспан.набл.взрослых Пр.16- 23'!N45+'[13]Уточнение Пр.17-23  '!N45</f>
        <v>4</v>
      </c>
      <c r="O45" s="660">
        <f>'[13]Диспан.набл.взрослых Пр.16- 23'!O45+'[13]Уточнение Пр.17-23  '!O45</f>
        <v>6</v>
      </c>
      <c r="P45" s="660">
        <f>'[13]Диспан.набл.взрослых Пр.16- 23'!P45+'[13]Уточнение Пр.17-23  '!P45</f>
        <v>2</v>
      </c>
      <c r="Q45" s="660">
        <f>'[13]Диспан.набл.взрослых Пр.16- 23'!Q45+'[13]Уточнение Пр.17-23  '!Q45</f>
        <v>3</v>
      </c>
      <c r="R45" s="660">
        <f>'[13]Диспан.набл.взрослых Пр.16- 23'!R45+'[13]Уточнение Пр.17-23  '!R45</f>
        <v>0</v>
      </c>
      <c r="S45" s="660">
        <f t="shared" si="4"/>
        <v>16961</v>
      </c>
      <c r="T45" s="659"/>
    </row>
    <row r="46" spans="1:20" x14ac:dyDescent="0.25">
      <c r="A46" s="662">
        <v>33</v>
      </c>
      <c r="B46" s="667" t="s">
        <v>79</v>
      </c>
      <c r="C46" s="1" t="s">
        <v>80</v>
      </c>
      <c r="D46" s="660">
        <f t="shared" si="3"/>
        <v>26101</v>
      </c>
      <c r="E46" s="660">
        <f>'[13]Диспан.набл.взрослых Пр.16- 23'!E46+'[13]Уточнение Пр.17-23  '!E46</f>
        <v>24034</v>
      </c>
      <c r="F46" s="660">
        <f>'[13]Диспан.набл.взрослых Пр.16- 23'!F46+'[13]Уточнение Пр.17-23  '!F46</f>
        <v>920</v>
      </c>
      <c r="G46" s="660">
        <f>'[13]Диспан.набл.взрослых Пр.16- 23'!G46+'[13]Уточнение Пр.17-23  '!G46</f>
        <v>625</v>
      </c>
      <c r="H46" s="660">
        <f>'[13]Диспан.набл.взрослых Пр.16- 23'!H46+'[13]Уточнение Пр.17-23  '!H46</f>
        <v>41</v>
      </c>
      <c r="I46" s="660">
        <f>'[13]Диспан.набл.взрослых Пр.16- 23'!I46+'[13]Уточнение Пр.17-23  '!I46</f>
        <v>1</v>
      </c>
      <c r="J46" s="660">
        <f>'[13]Диспан.набл.взрослых Пр.16- 23'!J46+'[13]Уточнение Пр.17-23  '!J46</f>
        <v>0</v>
      </c>
      <c r="K46" s="660">
        <f>'[13]Диспан.набл.взрослых Пр.16- 23'!K46+'[13]Уточнение Пр.17-23  '!K46</f>
        <v>1</v>
      </c>
      <c r="L46" s="660">
        <f>'[13]Диспан.набл.взрослых Пр.16- 23'!L46+'[13]Уточнение Пр.17-23  '!L46</f>
        <v>5</v>
      </c>
      <c r="M46" s="660">
        <f>'[13]Диспан.набл.взрослых Пр.16- 23'!M46+'[13]Уточнение Пр.17-23  '!M46</f>
        <v>0</v>
      </c>
      <c r="N46" s="660">
        <f>'[13]Диспан.набл.взрослых Пр.16- 23'!N46+'[13]Уточнение Пр.17-23  '!N46</f>
        <v>30</v>
      </c>
      <c r="O46" s="660">
        <f>'[13]Диспан.набл.взрослых Пр.16- 23'!O46+'[13]Уточнение Пр.17-23  '!O46</f>
        <v>0</v>
      </c>
      <c r="P46" s="660">
        <f>'[13]Диспан.набл.взрослых Пр.16- 23'!P46+'[13]Уточнение Пр.17-23  '!P46</f>
        <v>0</v>
      </c>
      <c r="Q46" s="660">
        <f>'[13]Диспан.набл.взрослых Пр.16- 23'!Q46+'[13]Уточнение Пр.17-23  '!Q46</f>
        <v>426</v>
      </c>
      <c r="R46" s="660">
        <f>'[13]Диспан.набл.взрослых Пр.16- 23'!R46+'[13]Уточнение Пр.17-23  '!R46</f>
        <v>18</v>
      </c>
      <c r="S46" s="660">
        <f t="shared" si="4"/>
        <v>24034</v>
      </c>
      <c r="T46" s="659"/>
    </row>
    <row r="47" spans="1:20" x14ac:dyDescent="0.25">
      <c r="A47" s="662">
        <v>34</v>
      </c>
      <c r="B47" s="665" t="s">
        <v>81</v>
      </c>
      <c r="C47" s="664" t="s">
        <v>82</v>
      </c>
      <c r="D47" s="660">
        <f t="shared" si="3"/>
        <v>4276</v>
      </c>
      <c r="E47" s="660">
        <f>'[13]Диспан.набл.взрослых Пр.16- 23'!E47+'[13]Уточнение Пр.17-23  '!E47</f>
        <v>3024</v>
      </c>
      <c r="F47" s="660">
        <f>'[13]Диспан.набл.взрослых Пр.16- 23'!F47+'[13]Уточнение Пр.17-23  '!F47</f>
        <v>1186</v>
      </c>
      <c r="G47" s="660">
        <f>'[13]Диспан.набл.взрослых Пр.16- 23'!G47+'[13]Уточнение Пр.17-23  '!G47</f>
        <v>8</v>
      </c>
      <c r="H47" s="660">
        <f>'[13]Диспан.набл.взрослых Пр.16- 23'!H47+'[13]Уточнение Пр.17-23  '!H47</f>
        <v>37</v>
      </c>
      <c r="I47" s="660">
        <f>'[13]Диспан.набл.взрослых Пр.16- 23'!I47+'[13]Уточнение Пр.17-23  '!I47</f>
        <v>0</v>
      </c>
      <c r="J47" s="660">
        <f>'[13]Диспан.набл.взрослых Пр.16- 23'!J47+'[13]Уточнение Пр.17-23  '!J47</f>
        <v>0</v>
      </c>
      <c r="K47" s="660">
        <f>'[13]Диспан.набл.взрослых Пр.16- 23'!K47+'[13]Уточнение Пр.17-23  '!K47</f>
        <v>0</v>
      </c>
      <c r="L47" s="660">
        <f>'[13]Диспан.набл.взрослых Пр.16- 23'!L47+'[13]Уточнение Пр.17-23  '!L47</f>
        <v>0</v>
      </c>
      <c r="M47" s="660">
        <f>'[13]Диспан.набл.взрослых Пр.16- 23'!M47+'[13]Уточнение Пр.17-23  '!M47</f>
        <v>0</v>
      </c>
      <c r="N47" s="660">
        <f>'[13]Диспан.набл.взрослых Пр.16- 23'!N47+'[13]Уточнение Пр.17-23  '!N47</f>
        <v>0</v>
      </c>
      <c r="O47" s="660">
        <f>'[13]Диспан.набл.взрослых Пр.16- 23'!O47+'[13]Уточнение Пр.17-23  '!O47</f>
        <v>0</v>
      </c>
      <c r="P47" s="660">
        <f>'[13]Диспан.набл.взрослых Пр.16- 23'!P47+'[13]Уточнение Пр.17-23  '!P47</f>
        <v>0</v>
      </c>
      <c r="Q47" s="660">
        <f>'[13]Диспан.набл.взрослых Пр.16- 23'!Q47+'[13]Уточнение Пр.17-23  '!Q47</f>
        <v>21</v>
      </c>
      <c r="R47" s="660">
        <f>'[13]Диспан.набл.взрослых Пр.16- 23'!R47+'[13]Уточнение Пр.17-23  '!R47</f>
        <v>0</v>
      </c>
      <c r="S47" s="660">
        <f t="shared" si="4"/>
        <v>3024</v>
      </c>
      <c r="T47" s="659"/>
    </row>
    <row r="48" spans="1:20" x14ac:dyDescent="0.25">
      <c r="A48" s="662">
        <v>35</v>
      </c>
      <c r="B48" s="666" t="s">
        <v>83</v>
      </c>
      <c r="C48" s="434" t="s">
        <v>84</v>
      </c>
      <c r="D48" s="660">
        <f t="shared" si="3"/>
        <v>16198</v>
      </c>
      <c r="E48" s="660">
        <f>'[13]Диспан.набл.взрослых Пр.16- 23'!E48+'[13]Уточнение Пр.17-23  '!E48</f>
        <v>15130</v>
      </c>
      <c r="F48" s="660">
        <f>'[13]Диспан.набл.взрослых Пр.16- 23'!F48+'[13]Уточнение Пр.17-23  '!F48</f>
        <v>253</v>
      </c>
      <c r="G48" s="660">
        <f>'[13]Диспан.набл.взрослых Пр.16- 23'!G48+'[13]Уточнение Пр.17-23  '!G48</f>
        <v>443</v>
      </c>
      <c r="H48" s="660">
        <f>'[13]Диспан.набл.взрослых Пр.16- 23'!H48+'[13]Уточнение Пр.17-23  '!H48</f>
        <v>51</v>
      </c>
      <c r="I48" s="660">
        <f>'[13]Диспан.набл.взрослых Пр.16- 23'!I48+'[13]Уточнение Пр.17-23  '!I48</f>
        <v>0</v>
      </c>
      <c r="J48" s="660">
        <f>'[13]Диспан.набл.взрослых Пр.16- 23'!J48+'[13]Уточнение Пр.17-23  '!J48</f>
        <v>1</v>
      </c>
      <c r="K48" s="660">
        <f>'[13]Диспан.набл.взрослых Пр.16- 23'!K48+'[13]Уточнение Пр.17-23  '!K48</f>
        <v>20</v>
      </c>
      <c r="L48" s="660">
        <f>'[13]Диспан.набл.взрослых Пр.16- 23'!L48+'[13]Уточнение Пр.17-23  '!L48</f>
        <v>8</v>
      </c>
      <c r="M48" s="660">
        <f>'[13]Диспан.набл.взрослых Пр.16- 23'!M48+'[13]Уточнение Пр.17-23  '!M48</f>
        <v>1</v>
      </c>
      <c r="N48" s="660">
        <f>'[13]Диспан.набл.взрослых Пр.16- 23'!N48+'[13]Уточнение Пр.17-23  '!N48</f>
        <v>13</v>
      </c>
      <c r="O48" s="660">
        <f>'[13]Диспан.набл.взрослых Пр.16- 23'!O48+'[13]Уточнение Пр.17-23  '!O48</f>
        <v>3</v>
      </c>
      <c r="P48" s="660">
        <f>'[13]Диспан.набл.взрослых Пр.16- 23'!P48+'[13]Уточнение Пр.17-23  '!P48</f>
        <v>0</v>
      </c>
      <c r="Q48" s="660">
        <f>'[13]Диспан.набл.взрослых Пр.16- 23'!Q48+'[13]Уточнение Пр.17-23  '!Q48</f>
        <v>217</v>
      </c>
      <c r="R48" s="660">
        <f>'[13]Диспан.набл.взрослых Пр.16- 23'!R48+'[13]Уточнение Пр.17-23  '!R48</f>
        <v>58</v>
      </c>
      <c r="S48" s="660">
        <f t="shared" si="4"/>
        <v>15130</v>
      </c>
      <c r="T48" s="659"/>
    </row>
    <row r="49" spans="1:20" x14ac:dyDescent="0.25">
      <c r="A49" s="662">
        <v>36</v>
      </c>
      <c r="B49" s="665" t="s">
        <v>85</v>
      </c>
      <c r="C49" s="664" t="s">
        <v>86</v>
      </c>
      <c r="D49" s="660">
        <f t="shared" si="3"/>
        <v>6751</v>
      </c>
      <c r="E49" s="660">
        <f>'[13]Диспан.набл.взрослых Пр.16- 23'!E49+'[13]Уточнение Пр.17-23  '!E49</f>
        <v>6259</v>
      </c>
      <c r="F49" s="660">
        <f>'[13]Диспан.набл.взрослых Пр.16- 23'!F49+'[13]Уточнение Пр.17-23  '!F49</f>
        <v>242</v>
      </c>
      <c r="G49" s="660">
        <f>'[13]Диспан.набл.взрослых Пр.16- 23'!G49+'[13]Уточнение Пр.17-23  '!G49</f>
        <v>130</v>
      </c>
      <c r="H49" s="660">
        <f>'[13]Диспан.набл.взрослых Пр.16- 23'!H49+'[13]Уточнение Пр.17-23  '!H49</f>
        <v>78</v>
      </c>
      <c r="I49" s="660">
        <f>'[13]Диспан.набл.взрослых Пр.16- 23'!I49+'[13]Уточнение Пр.17-23  '!I49</f>
        <v>0</v>
      </c>
      <c r="J49" s="660">
        <f>'[13]Диспан.набл.взрослых Пр.16- 23'!J49+'[13]Уточнение Пр.17-23  '!J49</f>
        <v>0</v>
      </c>
      <c r="K49" s="660">
        <f>'[13]Диспан.набл.взрослых Пр.16- 23'!K49+'[13]Уточнение Пр.17-23  '!K49</f>
        <v>3</v>
      </c>
      <c r="L49" s="660">
        <f>'[13]Диспан.набл.взрослых Пр.16- 23'!L49+'[13]Уточнение Пр.17-23  '!L49</f>
        <v>2</v>
      </c>
      <c r="M49" s="660">
        <f>'[13]Диспан.набл.взрослых Пр.16- 23'!M49+'[13]Уточнение Пр.17-23  '!M49</f>
        <v>2</v>
      </c>
      <c r="N49" s="660">
        <f>'[13]Диспан.набл.взрослых Пр.16- 23'!N49+'[13]Уточнение Пр.17-23  '!N49</f>
        <v>27</v>
      </c>
      <c r="O49" s="660">
        <f>'[13]Диспан.набл.взрослых Пр.16- 23'!O49+'[13]Уточнение Пр.17-23  '!O49</f>
        <v>1</v>
      </c>
      <c r="P49" s="660">
        <f>'[13]Диспан.набл.взрослых Пр.16- 23'!P49+'[13]Уточнение Пр.17-23  '!P49</f>
        <v>0</v>
      </c>
      <c r="Q49" s="660">
        <f>'[13]Диспан.набл.взрослых Пр.16- 23'!Q49+'[13]Уточнение Пр.17-23  '!Q49</f>
        <v>7</v>
      </c>
      <c r="R49" s="660">
        <f>'[13]Диспан.набл.взрослых Пр.16- 23'!R49+'[13]Уточнение Пр.17-23  '!R49</f>
        <v>0</v>
      </c>
      <c r="S49" s="660">
        <f t="shared" si="4"/>
        <v>6259</v>
      </c>
      <c r="T49" s="659"/>
    </row>
    <row r="50" spans="1:20" x14ac:dyDescent="0.25">
      <c r="A50" s="662">
        <v>37</v>
      </c>
      <c r="B50" s="663" t="s">
        <v>87</v>
      </c>
      <c r="C50" s="664" t="s">
        <v>88</v>
      </c>
      <c r="D50" s="660">
        <f t="shared" si="3"/>
        <v>30682</v>
      </c>
      <c r="E50" s="660">
        <f>'[13]Диспан.набл.взрослых Пр.16- 23'!E50+'[13]Уточнение Пр.17-23  '!E50</f>
        <v>26192</v>
      </c>
      <c r="F50" s="660">
        <f>'[13]Диспан.набл.взрослых Пр.16- 23'!F50+'[13]Уточнение Пр.17-23  '!F50</f>
        <v>3487</v>
      </c>
      <c r="G50" s="660">
        <f>'[13]Диспан.набл.взрослых Пр.16- 23'!G50+'[13]Уточнение Пр.17-23  '!G50</f>
        <v>594</v>
      </c>
      <c r="H50" s="660">
        <f>'[13]Диспан.набл.взрослых Пр.16- 23'!H50+'[13]Уточнение Пр.17-23  '!H50</f>
        <v>336</v>
      </c>
      <c r="I50" s="660">
        <f>'[13]Диспан.набл.взрослых Пр.16- 23'!I50+'[13]Уточнение Пр.17-23  '!I50</f>
        <v>0</v>
      </c>
      <c r="J50" s="660">
        <f>'[13]Диспан.набл.взрослых Пр.16- 23'!J50+'[13]Уточнение Пр.17-23  '!J50</f>
        <v>2</v>
      </c>
      <c r="K50" s="660">
        <f>'[13]Диспан.набл.взрослых Пр.16- 23'!K50+'[13]Уточнение Пр.17-23  '!K50</f>
        <v>21</v>
      </c>
      <c r="L50" s="660">
        <f>'[13]Диспан.набл.взрослых Пр.16- 23'!L50+'[13]Уточнение Пр.17-23  '!L50</f>
        <v>5</v>
      </c>
      <c r="M50" s="660">
        <f>'[13]Диспан.набл.взрослых Пр.16- 23'!M50+'[13]Уточнение Пр.17-23  '!M50</f>
        <v>2</v>
      </c>
      <c r="N50" s="660">
        <f>'[13]Диспан.набл.взрослых Пр.16- 23'!N50+'[13]Уточнение Пр.17-23  '!N50</f>
        <v>2</v>
      </c>
      <c r="O50" s="660">
        <f>'[13]Диспан.набл.взрослых Пр.16- 23'!O50+'[13]Уточнение Пр.17-23  '!O50</f>
        <v>2</v>
      </c>
      <c r="P50" s="660">
        <f>'[13]Диспан.набл.взрослых Пр.16- 23'!P50+'[13]Уточнение Пр.17-23  '!P50</f>
        <v>0</v>
      </c>
      <c r="Q50" s="660">
        <f>'[13]Диспан.набл.взрослых Пр.16- 23'!Q50+'[13]Уточнение Пр.17-23  '!Q50</f>
        <v>31</v>
      </c>
      <c r="R50" s="660">
        <f>'[13]Диспан.набл.взрослых Пр.16- 23'!R50+'[13]Уточнение Пр.17-23  '!R50</f>
        <v>8</v>
      </c>
      <c r="S50" s="660">
        <f t="shared" si="4"/>
        <v>26192</v>
      </c>
      <c r="T50" s="659"/>
    </row>
    <row r="51" spans="1:20" x14ac:dyDescent="0.25">
      <c r="A51" s="662">
        <v>38</v>
      </c>
      <c r="B51" s="668" t="s">
        <v>89</v>
      </c>
      <c r="C51" s="669" t="s">
        <v>90</v>
      </c>
      <c r="D51" s="660">
        <f t="shared" si="3"/>
        <v>6892</v>
      </c>
      <c r="E51" s="660">
        <f>'[13]Диспан.набл.взрослых Пр.16- 23'!E51+'[13]Уточнение Пр.17-23  '!E51</f>
        <v>6400</v>
      </c>
      <c r="F51" s="660">
        <f>'[13]Диспан.набл.взрослых Пр.16- 23'!F51+'[13]Уточнение Пр.17-23  '!F51</f>
        <v>433</v>
      </c>
      <c r="G51" s="660">
        <f>'[13]Диспан.набл.взрослых Пр.16- 23'!G51+'[13]Уточнение Пр.17-23  '!G51</f>
        <v>0</v>
      </c>
      <c r="H51" s="660">
        <f>'[13]Диспан.набл.взрослых Пр.16- 23'!H51+'[13]Уточнение Пр.17-23  '!H51</f>
        <v>39</v>
      </c>
      <c r="I51" s="660">
        <f>'[13]Диспан.набл.взрослых Пр.16- 23'!I51+'[13]Уточнение Пр.17-23  '!I51</f>
        <v>0</v>
      </c>
      <c r="J51" s="660">
        <f>'[13]Диспан.набл.взрослых Пр.16- 23'!J51+'[13]Уточнение Пр.17-23  '!J51</f>
        <v>0</v>
      </c>
      <c r="K51" s="660">
        <f>'[13]Диспан.набл.взрослых Пр.16- 23'!K51+'[13]Уточнение Пр.17-23  '!K51</f>
        <v>13</v>
      </c>
      <c r="L51" s="660">
        <f>'[13]Диспан.набл.взрослых Пр.16- 23'!L51+'[13]Уточнение Пр.17-23  '!L51</f>
        <v>2</v>
      </c>
      <c r="M51" s="660">
        <f>'[13]Диспан.набл.взрослых Пр.16- 23'!M51+'[13]Уточнение Пр.17-23  '!M51</f>
        <v>3</v>
      </c>
      <c r="N51" s="660">
        <f>'[13]Диспан.набл.взрослых Пр.16- 23'!N51+'[13]Уточнение Пр.17-23  '!N51</f>
        <v>0</v>
      </c>
      <c r="O51" s="660">
        <f>'[13]Диспан.набл.взрослых Пр.16- 23'!O51+'[13]Уточнение Пр.17-23  '!O51</f>
        <v>0</v>
      </c>
      <c r="P51" s="660">
        <f>'[13]Диспан.набл.взрослых Пр.16- 23'!P51+'[13]Уточнение Пр.17-23  '!P51</f>
        <v>0</v>
      </c>
      <c r="Q51" s="660">
        <f>'[13]Диспан.набл.взрослых Пр.16- 23'!Q51+'[13]Уточнение Пр.17-23  '!Q51</f>
        <v>0</v>
      </c>
      <c r="R51" s="660">
        <f>'[13]Диспан.набл.взрослых Пр.16- 23'!R51+'[13]Уточнение Пр.17-23  '!R51</f>
        <v>2</v>
      </c>
      <c r="S51" s="660">
        <f t="shared" si="4"/>
        <v>6400</v>
      </c>
      <c r="T51" s="659"/>
    </row>
    <row r="52" spans="1:20" x14ac:dyDescent="0.25">
      <c r="A52" s="662">
        <v>39</v>
      </c>
      <c r="B52" s="663" t="s">
        <v>91</v>
      </c>
      <c r="C52" s="664" t="s">
        <v>92</v>
      </c>
      <c r="D52" s="660">
        <f t="shared" si="3"/>
        <v>7075</v>
      </c>
      <c r="E52" s="660">
        <f>'[13]Диспан.набл.взрослых Пр.16- 23'!E52+'[13]Уточнение Пр.17-23  '!E52</f>
        <v>6886</v>
      </c>
      <c r="F52" s="660">
        <f>'[13]Диспан.набл.взрослых Пр.16- 23'!F52+'[13]Уточнение Пр.17-23  '!F52</f>
        <v>133</v>
      </c>
      <c r="G52" s="660">
        <f>'[13]Диспан.набл.взрослых Пр.16- 23'!G52+'[13]Уточнение Пр.17-23  '!G52</f>
        <v>8</v>
      </c>
      <c r="H52" s="660">
        <f>'[13]Диспан.набл.взрослых Пр.16- 23'!H52+'[13]Уточнение Пр.17-23  '!H52</f>
        <v>0</v>
      </c>
      <c r="I52" s="660">
        <f>'[13]Диспан.набл.взрослых Пр.16- 23'!I52+'[13]Уточнение Пр.17-23  '!I52</f>
        <v>0</v>
      </c>
      <c r="J52" s="660">
        <f>'[13]Диспан.набл.взрослых Пр.16- 23'!J52+'[13]Уточнение Пр.17-23  '!J52</f>
        <v>0</v>
      </c>
      <c r="K52" s="660">
        <f>'[13]Диспан.набл.взрослых Пр.16- 23'!K52+'[13]Уточнение Пр.17-23  '!K52</f>
        <v>0</v>
      </c>
      <c r="L52" s="660">
        <f>'[13]Диспан.набл.взрослых Пр.16- 23'!L52+'[13]Уточнение Пр.17-23  '!L52</f>
        <v>0</v>
      </c>
      <c r="M52" s="660">
        <f>'[13]Диспан.набл.взрослых Пр.16- 23'!M52+'[13]Уточнение Пр.17-23  '!M52</f>
        <v>0</v>
      </c>
      <c r="N52" s="660">
        <f>'[13]Диспан.набл.взрослых Пр.16- 23'!N52+'[13]Уточнение Пр.17-23  '!N52</f>
        <v>6</v>
      </c>
      <c r="O52" s="660">
        <f>'[13]Диспан.набл.взрослых Пр.16- 23'!O52+'[13]Уточнение Пр.17-23  '!O52</f>
        <v>0</v>
      </c>
      <c r="P52" s="660">
        <f>'[13]Диспан.набл.взрослых Пр.16- 23'!P52+'[13]Уточнение Пр.17-23  '!P52</f>
        <v>0</v>
      </c>
      <c r="Q52" s="660">
        <f>'[13]Диспан.набл.взрослых Пр.16- 23'!Q52+'[13]Уточнение Пр.17-23  '!Q52</f>
        <v>42</v>
      </c>
      <c r="R52" s="660">
        <f>'[13]Диспан.набл.взрослых Пр.16- 23'!R52+'[13]Уточнение Пр.17-23  '!R52</f>
        <v>0</v>
      </c>
      <c r="S52" s="660">
        <f t="shared" si="4"/>
        <v>6886</v>
      </c>
      <c r="T52" s="659"/>
    </row>
    <row r="53" spans="1:20" x14ac:dyDescent="0.25">
      <c r="A53" s="662">
        <v>40</v>
      </c>
      <c r="B53" s="667" t="s">
        <v>93</v>
      </c>
      <c r="C53" s="1" t="s">
        <v>94</v>
      </c>
      <c r="D53" s="660">
        <f t="shared" si="3"/>
        <v>11151</v>
      </c>
      <c r="E53" s="660">
        <f>'[13]Диспан.набл.взрослых Пр.16- 23'!E53+'[13]Уточнение Пр.17-23  '!E53</f>
        <v>9771</v>
      </c>
      <c r="F53" s="660">
        <f>'[13]Диспан.набл.взрослых Пр.16- 23'!F53+'[13]Уточнение Пр.17-23  '!F53</f>
        <v>736</v>
      </c>
      <c r="G53" s="660">
        <f>'[13]Диспан.набл.взрослых Пр.16- 23'!G53+'[13]Уточнение Пр.17-23  '!G53</f>
        <v>141</v>
      </c>
      <c r="H53" s="660">
        <f>'[13]Диспан.набл.взрослых Пр.16- 23'!H53+'[13]Уточнение Пр.17-23  '!H53</f>
        <v>384</v>
      </c>
      <c r="I53" s="660">
        <f>'[13]Диспан.набл.взрослых Пр.16- 23'!I53+'[13]Уточнение Пр.17-23  '!I53</f>
        <v>0</v>
      </c>
      <c r="J53" s="660">
        <f>'[13]Диспан.набл.взрослых Пр.16- 23'!J53+'[13]Уточнение Пр.17-23  '!J53</f>
        <v>0</v>
      </c>
      <c r="K53" s="660">
        <f>'[13]Диспан.набл.взрослых Пр.16- 23'!K53+'[13]Уточнение Пр.17-23  '!K53</f>
        <v>0</v>
      </c>
      <c r="L53" s="660">
        <f>'[13]Диспан.набл.взрослых Пр.16- 23'!L53+'[13]Уточнение Пр.17-23  '!L53</f>
        <v>0</v>
      </c>
      <c r="M53" s="660">
        <f>'[13]Диспан.набл.взрослых Пр.16- 23'!M53+'[13]Уточнение Пр.17-23  '!M53</f>
        <v>2</v>
      </c>
      <c r="N53" s="660">
        <f>'[13]Диспан.набл.взрослых Пр.16- 23'!N53+'[13]Уточнение Пр.17-23  '!N53</f>
        <v>77</v>
      </c>
      <c r="O53" s="660">
        <f>'[13]Диспан.набл.взрослых Пр.16- 23'!O53+'[13]Уточнение Пр.17-23  '!O53</f>
        <v>7</v>
      </c>
      <c r="P53" s="660">
        <f>'[13]Диспан.набл.взрослых Пр.16- 23'!P53+'[13]Уточнение Пр.17-23  '!P53</f>
        <v>0</v>
      </c>
      <c r="Q53" s="660">
        <f>'[13]Диспан.набл.взрослых Пр.16- 23'!Q53+'[13]Уточнение Пр.17-23  '!Q53</f>
        <v>33</v>
      </c>
      <c r="R53" s="660">
        <f>'[13]Диспан.набл.взрослых Пр.16- 23'!R53+'[13]Уточнение Пр.17-23  '!R53</f>
        <v>0</v>
      </c>
      <c r="S53" s="660">
        <f t="shared" si="4"/>
        <v>9771</v>
      </c>
      <c r="T53" s="659"/>
    </row>
    <row r="54" spans="1:20" x14ac:dyDescent="0.25">
      <c r="A54" s="662">
        <v>41</v>
      </c>
      <c r="B54" s="666" t="s">
        <v>95</v>
      </c>
      <c r="C54" s="434" t="s">
        <v>96</v>
      </c>
      <c r="D54" s="660">
        <f t="shared" si="3"/>
        <v>4778</v>
      </c>
      <c r="E54" s="660">
        <f>'[13]Диспан.набл.взрослых Пр.16- 23'!E54+'[13]Уточнение Пр.17-23  '!E54</f>
        <v>4575</v>
      </c>
      <c r="F54" s="660">
        <f>'[13]Диспан.набл.взрослых Пр.16- 23'!F54+'[13]Уточнение Пр.17-23  '!F54</f>
        <v>135</v>
      </c>
      <c r="G54" s="660">
        <f>'[13]Диспан.набл.взрослых Пр.16- 23'!G54+'[13]Уточнение Пр.17-23  '!G54</f>
        <v>0</v>
      </c>
      <c r="H54" s="660">
        <f>'[13]Диспан.набл.взрослых Пр.16- 23'!H54+'[13]Уточнение Пр.17-23  '!H54</f>
        <v>8</v>
      </c>
      <c r="I54" s="660">
        <f>'[13]Диспан.набл.взрослых Пр.16- 23'!I54+'[13]Уточнение Пр.17-23  '!I54</f>
        <v>0</v>
      </c>
      <c r="J54" s="660">
        <f>'[13]Диспан.набл.взрослых Пр.16- 23'!J54+'[13]Уточнение Пр.17-23  '!J54</f>
        <v>2</v>
      </c>
      <c r="K54" s="660">
        <f>'[13]Диспан.набл.взрослых Пр.16- 23'!K54+'[13]Уточнение Пр.17-23  '!K54</f>
        <v>0</v>
      </c>
      <c r="L54" s="660">
        <f>'[13]Диспан.набл.взрослых Пр.16- 23'!L54+'[13]Уточнение Пр.17-23  '!L54</f>
        <v>0</v>
      </c>
      <c r="M54" s="660">
        <f>'[13]Диспан.набл.взрослых Пр.16- 23'!M54+'[13]Уточнение Пр.17-23  '!M54</f>
        <v>1</v>
      </c>
      <c r="N54" s="660">
        <f>'[13]Диспан.набл.взрослых Пр.16- 23'!N54+'[13]Уточнение Пр.17-23  '!N54</f>
        <v>35</v>
      </c>
      <c r="O54" s="660">
        <f>'[13]Диспан.набл.взрослых Пр.16- 23'!O54+'[13]Уточнение Пр.17-23  '!O54</f>
        <v>3</v>
      </c>
      <c r="P54" s="660">
        <f>'[13]Диспан.набл.взрослых Пр.16- 23'!P54+'[13]Уточнение Пр.17-23  '!P54</f>
        <v>0</v>
      </c>
      <c r="Q54" s="660">
        <f>'[13]Диспан.набл.взрослых Пр.16- 23'!Q54+'[13]Уточнение Пр.17-23  '!Q54</f>
        <v>19</v>
      </c>
      <c r="R54" s="660">
        <f>'[13]Диспан.набл.взрослых Пр.16- 23'!R54+'[13]Уточнение Пр.17-23  '!R54</f>
        <v>0</v>
      </c>
      <c r="S54" s="660">
        <f t="shared" si="4"/>
        <v>4575</v>
      </c>
      <c r="T54" s="659"/>
    </row>
    <row r="55" spans="1:20" x14ac:dyDescent="0.25">
      <c r="A55" s="662">
        <v>42</v>
      </c>
      <c r="B55" s="665" t="s">
        <v>97</v>
      </c>
      <c r="C55" s="664" t="s">
        <v>98</v>
      </c>
      <c r="D55" s="660">
        <f t="shared" si="3"/>
        <v>1380</v>
      </c>
      <c r="E55" s="660">
        <f>'[13]Диспан.набл.взрослых Пр.16- 23'!E55+'[13]Уточнение Пр.17-23  '!E55</f>
        <v>1015</v>
      </c>
      <c r="F55" s="660">
        <f>'[13]Диспан.набл.взрослых Пр.16- 23'!F55+'[13]Уточнение Пр.17-23  '!F55</f>
        <v>318</v>
      </c>
      <c r="G55" s="660">
        <f>'[13]Диспан.набл.взрослых Пр.16- 23'!G55+'[13]Уточнение Пр.17-23  '!G55</f>
        <v>38</v>
      </c>
      <c r="H55" s="660">
        <f>'[13]Диспан.набл.взрослых Пр.16- 23'!H55+'[13]Уточнение Пр.17-23  '!H55</f>
        <v>2</v>
      </c>
      <c r="I55" s="660">
        <f>'[13]Диспан.набл.взрослых Пр.16- 23'!I55+'[13]Уточнение Пр.17-23  '!I55</f>
        <v>0</v>
      </c>
      <c r="J55" s="660">
        <f>'[13]Диспан.набл.взрослых Пр.16- 23'!J55+'[13]Уточнение Пр.17-23  '!J55</f>
        <v>0</v>
      </c>
      <c r="K55" s="660">
        <f>'[13]Диспан.набл.взрослых Пр.16- 23'!K55+'[13]Уточнение Пр.17-23  '!K55</f>
        <v>0</v>
      </c>
      <c r="L55" s="660">
        <f>'[13]Диспан.набл.взрослых Пр.16- 23'!L55+'[13]Уточнение Пр.17-23  '!L55</f>
        <v>0</v>
      </c>
      <c r="M55" s="660">
        <f>'[13]Диспан.набл.взрослых Пр.16- 23'!M55+'[13]Уточнение Пр.17-23  '!M55</f>
        <v>0</v>
      </c>
      <c r="N55" s="660">
        <f>'[13]Диспан.набл.взрослых Пр.16- 23'!N55+'[13]Уточнение Пр.17-23  '!N55</f>
        <v>5</v>
      </c>
      <c r="O55" s="660">
        <f>'[13]Диспан.набл.взрослых Пр.16- 23'!O55+'[13]Уточнение Пр.17-23  '!O55</f>
        <v>0</v>
      </c>
      <c r="P55" s="660">
        <f>'[13]Диспан.набл.взрослых Пр.16- 23'!P55+'[13]Уточнение Пр.17-23  '!P55</f>
        <v>0</v>
      </c>
      <c r="Q55" s="660">
        <f>'[13]Диспан.набл.взрослых Пр.16- 23'!Q55+'[13]Уточнение Пр.17-23  '!Q55</f>
        <v>1</v>
      </c>
      <c r="R55" s="660">
        <f>'[13]Диспан.набл.взрослых Пр.16- 23'!R55+'[13]Уточнение Пр.17-23  '!R55</f>
        <v>1</v>
      </c>
      <c r="S55" s="660">
        <f t="shared" si="4"/>
        <v>1015</v>
      </c>
      <c r="T55" s="659"/>
    </row>
    <row r="56" spans="1:20" x14ac:dyDescent="0.25">
      <c r="A56" s="662">
        <v>43</v>
      </c>
      <c r="B56" s="666" t="s">
        <v>99</v>
      </c>
      <c r="C56" s="434" t="s">
        <v>100</v>
      </c>
      <c r="D56" s="660">
        <f t="shared" si="3"/>
        <v>30550</v>
      </c>
      <c r="E56" s="660">
        <f>'[13]Диспан.набл.взрослых Пр.16- 23'!E56+'[13]Уточнение Пр.17-23  '!E56</f>
        <v>28024</v>
      </c>
      <c r="F56" s="660">
        <f>'[13]Диспан.набл.взрослых Пр.16- 23'!F56+'[13]Уточнение Пр.17-23  '!F56</f>
        <v>995</v>
      </c>
      <c r="G56" s="660">
        <f>'[13]Диспан.набл.взрослых Пр.16- 23'!G56+'[13]Уточнение Пр.17-23  '!G56</f>
        <v>1158</v>
      </c>
      <c r="H56" s="660">
        <f>'[13]Диспан.набл.взрослых Пр.16- 23'!H56+'[13]Уточнение Пр.17-23  '!H56</f>
        <v>126</v>
      </c>
      <c r="I56" s="660">
        <f>'[13]Диспан.набл.взрослых Пр.16- 23'!I56+'[13]Уточнение Пр.17-23  '!I56</f>
        <v>0</v>
      </c>
      <c r="J56" s="660">
        <f>'[13]Диспан.набл.взрослых Пр.16- 23'!J56+'[13]Уточнение Пр.17-23  '!J56</f>
        <v>5</v>
      </c>
      <c r="K56" s="660">
        <f>'[13]Диспан.набл.взрослых Пр.16- 23'!K56+'[13]Уточнение Пр.17-23  '!K56</f>
        <v>13</v>
      </c>
      <c r="L56" s="660">
        <f>'[13]Диспан.набл.взрослых Пр.16- 23'!L56+'[13]Уточнение Пр.17-23  '!L56</f>
        <v>1</v>
      </c>
      <c r="M56" s="660">
        <f>'[13]Диспан.набл.взрослых Пр.16- 23'!M56+'[13]Уточнение Пр.17-23  '!M56</f>
        <v>6</v>
      </c>
      <c r="N56" s="660">
        <f>'[13]Диспан.набл.взрослых Пр.16- 23'!N56+'[13]Уточнение Пр.17-23  '!N56</f>
        <v>142</v>
      </c>
      <c r="O56" s="660">
        <f>'[13]Диспан.набл.взрослых Пр.16- 23'!O56+'[13]Уточнение Пр.17-23  '!O56</f>
        <v>6</v>
      </c>
      <c r="P56" s="660">
        <f>'[13]Диспан.набл.взрослых Пр.16- 23'!P56+'[13]Уточнение Пр.17-23  '!P56</f>
        <v>0</v>
      </c>
      <c r="Q56" s="660">
        <f>'[13]Диспан.набл.взрослых Пр.16- 23'!Q56+'[13]Уточнение Пр.17-23  '!Q56</f>
        <v>72</v>
      </c>
      <c r="R56" s="660">
        <f>'[13]Диспан.набл.взрослых Пр.16- 23'!R56+'[13]Уточнение Пр.17-23  '!R56</f>
        <v>2</v>
      </c>
      <c r="S56" s="660">
        <f t="shared" si="4"/>
        <v>28024</v>
      </c>
      <c r="T56" s="659"/>
    </row>
    <row r="57" spans="1:20" x14ac:dyDescent="0.25">
      <c r="A57" s="662">
        <v>44</v>
      </c>
      <c r="B57" s="663" t="s">
        <v>101</v>
      </c>
      <c r="C57" s="664" t="s">
        <v>102</v>
      </c>
      <c r="D57" s="660">
        <f t="shared" si="3"/>
        <v>7669</v>
      </c>
      <c r="E57" s="660">
        <f>'[13]Диспан.набл.взрослых Пр.16- 23'!E57+'[13]Уточнение Пр.17-23  '!E57</f>
        <v>6154</v>
      </c>
      <c r="F57" s="660">
        <f>'[13]Диспан.набл.взрослых Пр.16- 23'!F57+'[13]Уточнение Пр.17-23  '!F57</f>
        <v>1220</v>
      </c>
      <c r="G57" s="660">
        <f>'[13]Диспан.набл.взрослых Пр.16- 23'!G57+'[13]Уточнение Пр.17-23  '!G57</f>
        <v>92</v>
      </c>
      <c r="H57" s="660">
        <f>'[13]Диспан.набл.взрослых Пр.16- 23'!H57+'[13]Уточнение Пр.17-23  '!H57</f>
        <v>173</v>
      </c>
      <c r="I57" s="660">
        <f>'[13]Диспан.набл.взрослых Пр.16- 23'!I57+'[13]Уточнение Пр.17-23  '!I57</f>
        <v>0</v>
      </c>
      <c r="J57" s="660">
        <f>'[13]Диспан.набл.взрослых Пр.16- 23'!J57+'[13]Уточнение Пр.17-23  '!J57</f>
        <v>0</v>
      </c>
      <c r="K57" s="660">
        <f>'[13]Диспан.набл.взрослых Пр.16- 23'!K57+'[13]Уточнение Пр.17-23  '!K57</f>
        <v>0</v>
      </c>
      <c r="L57" s="660">
        <f>'[13]Диспан.набл.взрослых Пр.16- 23'!L57+'[13]Уточнение Пр.17-23  '!L57</f>
        <v>0</v>
      </c>
      <c r="M57" s="660">
        <f>'[13]Диспан.набл.взрослых Пр.16- 23'!M57+'[13]Уточнение Пр.17-23  '!M57</f>
        <v>0</v>
      </c>
      <c r="N57" s="660">
        <f>'[13]Диспан.набл.взрослых Пр.16- 23'!N57+'[13]Уточнение Пр.17-23  '!N57</f>
        <v>14</v>
      </c>
      <c r="O57" s="660">
        <f>'[13]Диспан.набл.взрослых Пр.16- 23'!O57+'[13]Уточнение Пр.17-23  '!O57</f>
        <v>1</v>
      </c>
      <c r="P57" s="660">
        <f>'[13]Диспан.набл.взрослых Пр.16- 23'!P57+'[13]Уточнение Пр.17-23  '!P57</f>
        <v>0</v>
      </c>
      <c r="Q57" s="660">
        <f>'[13]Диспан.набл.взрослых Пр.16- 23'!Q57+'[13]Уточнение Пр.17-23  '!Q57</f>
        <v>15</v>
      </c>
      <c r="R57" s="660">
        <f>'[13]Диспан.набл.взрослых Пр.16- 23'!R57+'[13]Уточнение Пр.17-23  '!R57</f>
        <v>0</v>
      </c>
      <c r="S57" s="660">
        <f t="shared" si="4"/>
        <v>6154</v>
      </c>
      <c r="T57" s="659"/>
    </row>
    <row r="58" spans="1:20" x14ac:dyDescent="0.25">
      <c r="A58" s="662">
        <v>45</v>
      </c>
      <c r="B58" s="663" t="s">
        <v>103</v>
      </c>
      <c r="C58" s="664" t="s">
        <v>104</v>
      </c>
      <c r="D58" s="660">
        <f t="shared" si="3"/>
        <v>11826</v>
      </c>
      <c r="E58" s="660">
        <f>'[13]Диспан.набл.взрослых Пр.16- 23'!E58+'[13]Уточнение Пр.17-23  '!E58</f>
        <v>11538</v>
      </c>
      <c r="F58" s="660">
        <f>'[13]Диспан.набл.взрослых Пр.16- 23'!F58+'[13]Уточнение Пр.17-23  '!F58</f>
        <v>94</v>
      </c>
      <c r="G58" s="660">
        <f>'[13]Диспан.набл.взрослых Пр.16- 23'!G58+'[13]Уточнение Пр.17-23  '!G58</f>
        <v>78</v>
      </c>
      <c r="H58" s="660">
        <f>'[13]Диспан.набл.взрослых Пр.16- 23'!H58+'[13]Уточнение Пр.17-23  '!H58</f>
        <v>9</v>
      </c>
      <c r="I58" s="660">
        <f>'[13]Диспан.набл.взрослых Пр.16- 23'!I58+'[13]Уточнение Пр.17-23  '!I58</f>
        <v>0</v>
      </c>
      <c r="J58" s="660">
        <f>'[13]Диспан.набл.взрослых Пр.16- 23'!J58+'[13]Уточнение Пр.17-23  '!J58</f>
        <v>0</v>
      </c>
      <c r="K58" s="660">
        <f>'[13]Диспан.набл.взрослых Пр.16- 23'!K58+'[13]Уточнение Пр.17-23  '!K58</f>
        <v>0</v>
      </c>
      <c r="L58" s="660">
        <f>'[13]Диспан.набл.взрослых Пр.16- 23'!L58+'[13]Уточнение Пр.17-23  '!L58</f>
        <v>1</v>
      </c>
      <c r="M58" s="660">
        <f>'[13]Диспан.набл.взрослых Пр.16- 23'!M58+'[13]Уточнение Пр.17-23  '!M58</f>
        <v>1</v>
      </c>
      <c r="N58" s="660">
        <f>'[13]Диспан.набл.взрослых Пр.16- 23'!N58+'[13]Уточнение Пр.17-23  '!N58</f>
        <v>7</v>
      </c>
      <c r="O58" s="660">
        <f>'[13]Диспан.набл.взрослых Пр.16- 23'!O58+'[13]Уточнение Пр.17-23  '!O58</f>
        <v>1</v>
      </c>
      <c r="P58" s="660">
        <f>'[13]Диспан.набл.взрослых Пр.16- 23'!P58+'[13]Уточнение Пр.17-23  '!P58</f>
        <v>0</v>
      </c>
      <c r="Q58" s="660">
        <f>'[13]Диспан.набл.взрослых Пр.16- 23'!Q58+'[13]Уточнение Пр.17-23  '!Q58</f>
        <v>83</v>
      </c>
      <c r="R58" s="660">
        <f>'[13]Диспан.набл.взрослых Пр.16- 23'!R58+'[13]Уточнение Пр.17-23  '!R58</f>
        <v>14</v>
      </c>
      <c r="S58" s="660">
        <f t="shared" si="4"/>
        <v>11538</v>
      </c>
      <c r="T58" s="659"/>
    </row>
    <row r="59" spans="1:20" x14ac:dyDescent="0.25">
      <c r="A59" s="662">
        <v>46</v>
      </c>
      <c r="B59" s="666" t="s">
        <v>105</v>
      </c>
      <c r="C59" s="434" t="s">
        <v>106</v>
      </c>
      <c r="D59" s="660">
        <f t="shared" si="3"/>
        <v>6876</v>
      </c>
      <c r="E59" s="660">
        <f>'[13]Диспан.набл.взрослых Пр.16- 23'!E59+'[13]Уточнение Пр.17-23  '!E59</f>
        <v>6802</v>
      </c>
      <c r="F59" s="660">
        <f>'[13]Диспан.набл.взрослых Пр.16- 23'!F59+'[13]Уточнение Пр.17-23  '!F59</f>
        <v>1</v>
      </c>
      <c r="G59" s="660">
        <f>'[13]Диспан.набл.взрослых Пр.16- 23'!G59+'[13]Уточнение Пр.17-23  '!G59</f>
        <v>8</v>
      </c>
      <c r="H59" s="660">
        <f>'[13]Диспан.набл.взрослых Пр.16- 23'!H59+'[13]Уточнение Пр.17-23  '!H59</f>
        <v>29</v>
      </c>
      <c r="I59" s="660">
        <f>'[13]Диспан.набл.взрослых Пр.16- 23'!I59+'[13]Уточнение Пр.17-23  '!I59</f>
        <v>0</v>
      </c>
      <c r="J59" s="660">
        <f>'[13]Диспан.набл.взрослых Пр.16- 23'!J59+'[13]Уточнение Пр.17-23  '!J59</f>
        <v>1</v>
      </c>
      <c r="K59" s="660">
        <f>'[13]Диспан.набл.взрослых Пр.16- 23'!K59+'[13]Уточнение Пр.17-23  '!K59</f>
        <v>0</v>
      </c>
      <c r="L59" s="660">
        <f>'[13]Диспан.набл.взрослых Пр.16- 23'!L59+'[13]Уточнение Пр.17-23  '!L59</f>
        <v>0</v>
      </c>
      <c r="M59" s="660">
        <f>'[13]Диспан.набл.взрослых Пр.16- 23'!M59+'[13]Уточнение Пр.17-23  '!M59</f>
        <v>1</v>
      </c>
      <c r="N59" s="660">
        <f>'[13]Диспан.набл.взрослых Пр.16- 23'!N59+'[13]Уточнение Пр.17-23  '!N59</f>
        <v>3</v>
      </c>
      <c r="O59" s="660">
        <f>'[13]Диспан.набл.взрослых Пр.16- 23'!O59+'[13]Уточнение Пр.17-23  '!O59</f>
        <v>2</v>
      </c>
      <c r="P59" s="660">
        <f>'[13]Диспан.набл.взрослых Пр.16- 23'!P59+'[13]Уточнение Пр.17-23  '!P59</f>
        <v>9</v>
      </c>
      <c r="Q59" s="660">
        <f>'[13]Диспан.набл.взрослых Пр.16- 23'!Q59+'[13]Уточнение Пр.17-23  '!Q59</f>
        <v>18</v>
      </c>
      <c r="R59" s="660">
        <f>'[13]Диспан.набл.взрослых Пр.16- 23'!R59+'[13]Уточнение Пр.17-23  '!R59</f>
        <v>2</v>
      </c>
      <c r="S59" s="660">
        <f t="shared" si="4"/>
        <v>6802</v>
      </c>
      <c r="T59" s="659"/>
    </row>
    <row r="60" spans="1:20" x14ac:dyDescent="0.25">
      <c r="A60" s="662">
        <v>47</v>
      </c>
      <c r="B60" s="666" t="s">
        <v>107</v>
      </c>
      <c r="C60" s="434" t="s">
        <v>108</v>
      </c>
      <c r="D60" s="660">
        <f t="shared" si="3"/>
        <v>10643</v>
      </c>
      <c r="E60" s="660">
        <f>'[13]Диспан.набл.взрослых Пр.16- 23'!E60+'[13]Уточнение Пр.17-23  '!E60</f>
        <v>9798</v>
      </c>
      <c r="F60" s="660">
        <f>'[13]Диспан.набл.взрослых Пр.16- 23'!F60+'[13]Уточнение Пр.17-23  '!F60</f>
        <v>427</v>
      </c>
      <c r="G60" s="660">
        <f>'[13]Диспан.набл.взрослых Пр.16- 23'!G60+'[13]Уточнение Пр.17-23  '!G60</f>
        <v>137</v>
      </c>
      <c r="H60" s="660">
        <f>'[13]Диспан.набл.взрослых Пр.16- 23'!H60+'[13]Уточнение Пр.17-23  '!H60</f>
        <v>227</v>
      </c>
      <c r="I60" s="660">
        <f>'[13]Диспан.набл.взрослых Пр.16- 23'!I60+'[13]Уточнение Пр.17-23  '!I60</f>
        <v>0</v>
      </c>
      <c r="J60" s="660">
        <f>'[13]Диспан.набл.взрослых Пр.16- 23'!J60+'[13]Уточнение Пр.17-23  '!J60</f>
        <v>3</v>
      </c>
      <c r="K60" s="660">
        <f>'[13]Диспан.набл.взрослых Пр.16- 23'!K60+'[13]Уточнение Пр.17-23  '!K60</f>
        <v>0</v>
      </c>
      <c r="L60" s="660">
        <f>'[13]Диспан.набл.взрослых Пр.16- 23'!L60+'[13]Уточнение Пр.17-23  '!L60</f>
        <v>0</v>
      </c>
      <c r="M60" s="660">
        <f>'[13]Диспан.набл.взрослых Пр.16- 23'!M60+'[13]Уточнение Пр.17-23  '!M60</f>
        <v>3</v>
      </c>
      <c r="N60" s="660">
        <f>'[13]Диспан.набл.взрослых Пр.16- 23'!N60+'[13]Уточнение Пр.17-23  '!N60</f>
        <v>11</v>
      </c>
      <c r="O60" s="660">
        <f>'[13]Диспан.набл.взрослых Пр.16- 23'!O60+'[13]Уточнение Пр.17-23  '!O60</f>
        <v>8</v>
      </c>
      <c r="P60" s="660">
        <f>'[13]Диспан.набл.взрослых Пр.16- 23'!P60+'[13]Уточнение Пр.17-23  '!P60</f>
        <v>3</v>
      </c>
      <c r="Q60" s="660">
        <f>'[13]Диспан.набл.взрослых Пр.16- 23'!Q60+'[13]Уточнение Пр.17-23  '!Q60</f>
        <v>26</v>
      </c>
      <c r="R60" s="660">
        <f>'[13]Диспан.набл.взрослых Пр.16- 23'!R60+'[13]Уточнение Пр.17-23  '!R60</f>
        <v>0</v>
      </c>
      <c r="S60" s="660">
        <f t="shared" si="4"/>
        <v>9798</v>
      </c>
      <c r="T60" s="659"/>
    </row>
    <row r="61" spans="1:20" x14ac:dyDescent="0.25">
      <c r="A61" s="662">
        <v>48</v>
      </c>
      <c r="B61" s="665" t="s">
        <v>109</v>
      </c>
      <c r="C61" s="664" t="s">
        <v>110</v>
      </c>
      <c r="D61" s="660">
        <f t="shared" si="3"/>
        <v>10150</v>
      </c>
      <c r="E61" s="660">
        <f>'[13]Диспан.набл.взрослых Пр.16- 23'!E61+'[13]Уточнение Пр.17-23  '!E61</f>
        <v>9702</v>
      </c>
      <c r="F61" s="660">
        <f>'[13]Диспан.набл.взрослых Пр.16- 23'!F61+'[13]Уточнение Пр.17-23  '!F61</f>
        <v>119</v>
      </c>
      <c r="G61" s="660">
        <f>'[13]Диспан.набл.взрослых Пр.16- 23'!G61+'[13]Уточнение Пр.17-23  '!G61</f>
        <v>253</v>
      </c>
      <c r="H61" s="660">
        <f>'[13]Диспан.набл.взрослых Пр.16- 23'!H61+'[13]Уточнение Пр.17-23  '!H61</f>
        <v>36</v>
      </c>
      <c r="I61" s="660">
        <f>'[13]Диспан.набл.взрослых Пр.16- 23'!I61+'[13]Уточнение Пр.17-23  '!I61</f>
        <v>0</v>
      </c>
      <c r="J61" s="660">
        <f>'[13]Диспан.набл.взрослых Пр.16- 23'!J61+'[13]Уточнение Пр.17-23  '!J61</f>
        <v>0</v>
      </c>
      <c r="K61" s="660">
        <f>'[13]Диспан.набл.взрослых Пр.16- 23'!K61+'[13]Уточнение Пр.17-23  '!K61</f>
        <v>0</v>
      </c>
      <c r="L61" s="660">
        <f>'[13]Диспан.набл.взрослых Пр.16- 23'!L61+'[13]Уточнение Пр.17-23  '!L61</f>
        <v>0</v>
      </c>
      <c r="M61" s="660">
        <f>'[13]Диспан.набл.взрослых Пр.16- 23'!M61+'[13]Уточнение Пр.17-23  '!M61</f>
        <v>3</v>
      </c>
      <c r="N61" s="660">
        <f>'[13]Диспан.набл.взрослых Пр.16- 23'!N61+'[13]Уточнение Пр.17-23  '!N61</f>
        <v>6</v>
      </c>
      <c r="O61" s="660">
        <f>'[13]Диспан.набл.взрослых Пр.16- 23'!O61+'[13]Уточнение Пр.17-23  '!O61</f>
        <v>1</v>
      </c>
      <c r="P61" s="660">
        <f>'[13]Диспан.набл.взрослых Пр.16- 23'!P61+'[13]Уточнение Пр.17-23  '!P61</f>
        <v>0</v>
      </c>
      <c r="Q61" s="660">
        <f>'[13]Диспан.набл.взрослых Пр.16- 23'!Q61+'[13]Уточнение Пр.17-23  '!Q61</f>
        <v>30</v>
      </c>
      <c r="R61" s="660">
        <f>'[13]Диспан.набл.взрослых Пр.16- 23'!R61+'[13]Уточнение Пр.17-23  '!R61</f>
        <v>0</v>
      </c>
      <c r="S61" s="660">
        <f t="shared" si="4"/>
        <v>9702</v>
      </c>
      <c r="T61" s="659"/>
    </row>
    <row r="62" spans="1:20" x14ac:dyDescent="0.25">
      <c r="A62" s="662">
        <v>49</v>
      </c>
      <c r="B62" s="666" t="s">
        <v>111</v>
      </c>
      <c r="C62" s="434" t="s">
        <v>112</v>
      </c>
      <c r="D62" s="660">
        <f t="shared" si="3"/>
        <v>3976</v>
      </c>
      <c r="E62" s="660">
        <f>'[13]Диспан.набл.взрослых Пр.16- 23'!E62+'[13]Уточнение Пр.17-23  '!E62</f>
        <v>2953</v>
      </c>
      <c r="F62" s="660">
        <f>'[13]Диспан.набл.взрослых Пр.16- 23'!F62+'[13]Уточнение Пр.17-23  '!F62</f>
        <v>168</v>
      </c>
      <c r="G62" s="660">
        <f>'[13]Диспан.набл.взрослых Пр.16- 23'!G62+'[13]Уточнение Пр.17-23  '!G62</f>
        <v>10</v>
      </c>
      <c r="H62" s="660">
        <f>'[13]Диспан.набл.взрослых Пр.16- 23'!H62+'[13]Уточнение Пр.17-23  '!H62</f>
        <v>35</v>
      </c>
      <c r="I62" s="660">
        <f>'[13]Диспан.набл.взрослых Пр.16- 23'!I62+'[13]Уточнение Пр.17-23  '!I62</f>
        <v>0</v>
      </c>
      <c r="J62" s="660">
        <f>'[13]Диспан.набл.взрослых Пр.16- 23'!J62+'[13]Уточнение Пр.17-23  '!J62</f>
        <v>0</v>
      </c>
      <c r="K62" s="660">
        <f>'[13]Диспан.набл.взрослых Пр.16- 23'!K62+'[13]Уточнение Пр.17-23  '!K62</f>
        <v>0</v>
      </c>
      <c r="L62" s="660">
        <f>'[13]Диспан.набл.взрослых Пр.16- 23'!L62+'[13]Уточнение Пр.17-23  '!L62</f>
        <v>0</v>
      </c>
      <c r="M62" s="660">
        <f>'[13]Диспан.набл.взрослых Пр.16- 23'!M62+'[13]Уточнение Пр.17-23  '!M62</f>
        <v>0</v>
      </c>
      <c r="N62" s="660">
        <f>'[13]Диспан.набл.взрослых Пр.16- 23'!N62+'[13]Уточнение Пр.17-23  '!N62</f>
        <v>796</v>
      </c>
      <c r="O62" s="660">
        <f>'[13]Диспан.набл.взрослых Пр.16- 23'!O62+'[13]Уточнение Пр.17-23  '!O62</f>
        <v>0</v>
      </c>
      <c r="P62" s="660">
        <f>'[13]Диспан.набл.взрослых Пр.16- 23'!P62+'[13]Уточнение Пр.17-23  '!P62</f>
        <v>0</v>
      </c>
      <c r="Q62" s="660">
        <f>'[13]Диспан.набл.взрослых Пр.16- 23'!Q62+'[13]Уточнение Пр.17-23  '!Q62</f>
        <v>14</v>
      </c>
      <c r="R62" s="660">
        <f>'[13]Диспан.набл.взрослых Пр.16- 23'!R62+'[13]Уточнение Пр.17-23  '!R62</f>
        <v>0</v>
      </c>
      <c r="S62" s="660">
        <f t="shared" si="4"/>
        <v>2953</v>
      </c>
      <c r="T62" s="659"/>
    </row>
    <row r="63" spans="1:20" x14ac:dyDescent="0.25">
      <c r="A63" s="662">
        <v>50</v>
      </c>
      <c r="B63" s="665" t="s">
        <v>113</v>
      </c>
      <c r="C63" s="664" t="s">
        <v>114</v>
      </c>
      <c r="D63" s="660">
        <f t="shared" si="3"/>
        <v>5429</v>
      </c>
      <c r="E63" s="660">
        <f>'[13]Диспан.набл.взрослых Пр.16- 23'!E63+'[13]Уточнение Пр.17-23  '!E63</f>
        <v>5102</v>
      </c>
      <c r="F63" s="660">
        <f>'[13]Диспан.набл.взрослых Пр.16- 23'!F63+'[13]Уточнение Пр.17-23  '!F63</f>
        <v>164</v>
      </c>
      <c r="G63" s="660">
        <f>'[13]Диспан.набл.взрослых Пр.16- 23'!G63+'[13]Уточнение Пр.17-23  '!G63</f>
        <v>100</v>
      </c>
      <c r="H63" s="660">
        <f>'[13]Диспан.набл.взрослых Пр.16- 23'!H63+'[13]Уточнение Пр.17-23  '!H63</f>
        <v>32</v>
      </c>
      <c r="I63" s="660">
        <f>'[13]Диспан.набл.взрослых Пр.16- 23'!I63+'[13]Уточнение Пр.17-23  '!I63</f>
        <v>0</v>
      </c>
      <c r="J63" s="660">
        <f>'[13]Диспан.набл.взрослых Пр.16- 23'!J63+'[13]Уточнение Пр.17-23  '!J63</f>
        <v>0</v>
      </c>
      <c r="K63" s="660">
        <f>'[13]Диспан.набл.взрослых Пр.16- 23'!K63+'[13]Уточнение Пр.17-23  '!K63</f>
        <v>1</v>
      </c>
      <c r="L63" s="660">
        <f>'[13]Диспан.набл.взрослых Пр.16- 23'!L63+'[13]Уточнение Пр.17-23  '!L63</f>
        <v>0</v>
      </c>
      <c r="M63" s="660">
        <f>'[13]Диспан.набл.взрослых Пр.16- 23'!M63+'[13]Уточнение Пр.17-23  '!M63</f>
        <v>0</v>
      </c>
      <c r="N63" s="660">
        <f>'[13]Диспан.набл.взрослых Пр.16- 23'!N63+'[13]Уточнение Пр.17-23  '!N63</f>
        <v>24</v>
      </c>
      <c r="O63" s="660">
        <f>'[13]Диспан.набл.взрослых Пр.16- 23'!O63+'[13]Уточнение Пр.17-23  '!O63</f>
        <v>0</v>
      </c>
      <c r="P63" s="660">
        <f>'[13]Диспан.набл.взрослых Пр.16- 23'!P63+'[13]Уточнение Пр.17-23  '!P63</f>
        <v>0</v>
      </c>
      <c r="Q63" s="660">
        <f>'[13]Диспан.набл.взрослых Пр.16- 23'!Q63+'[13]Уточнение Пр.17-23  '!Q63</f>
        <v>6</v>
      </c>
      <c r="R63" s="660">
        <f>'[13]Диспан.набл.взрослых Пр.16- 23'!R63+'[13]Уточнение Пр.17-23  '!R63</f>
        <v>0</v>
      </c>
      <c r="S63" s="660">
        <f t="shared" si="4"/>
        <v>5102</v>
      </c>
      <c r="T63" s="659"/>
    </row>
    <row r="64" spans="1:20" x14ac:dyDescent="0.25">
      <c r="A64" s="662">
        <v>51</v>
      </c>
      <c r="B64" s="666" t="s">
        <v>115</v>
      </c>
      <c r="C64" s="434" t="s">
        <v>116</v>
      </c>
      <c r="D64" s="660">
        <f t="shared" si="3"/>
        <v>12912</v>
      </c>
      <c r="E64" s="660">
        <f>'[13]Диспан.набл.взрослых Пр.16- 23'!E64+'[13]Уточнение Пр.17-23  '!E64</f>
        <v>11219</v>
      </c>
      <c r="F64" s="660">
        <f>'[13]Диспан.набл.взрослых Пр.16- 23'!F64+'[13]Уточнение Пр.17-23  '!F64</f>
        <v>1258</v>
      </c>
      <c r="G64" s="660">
        <f>'[13]Диспан.набл.взрослых Пр.16- 23'!G64+'[13]Уточнение Пр.17-23  '!G64</f>
        <v>243</v>
      </c>
      <c r="H64" s="660">
        <f>'[13]Диспан.набл.взрослых Пр.16- 23'!H64+'[13]Уточнение Пр.17-23  '!H64</f>
        <v>1</v>
      </c>
      <c r="I64" s="660">
        <f>'[13]Диспан.набл.взрослых Пр.16- 23'!I64+'[13]Уточнение Пр.17-23  '!I64</f>
        <v>0</v>
      </c>
      <c r="J64" s="660">
        <f>'[13]Диспан.набл.взрослых Пр.16- 23'!J64+'[13]Уточнение Пр.17-23  '!J64</f>
        <v>0</v>
      </c>
      <c r="K64" s="660">
        <f>'[13]Диспан.набл.взрослых Пр.16- 23'!K64+'[13]Уточнение Пр.17-23  '!K64</f>
        <v>5</v>
      </c>
      <c r="L64" s="660">
        <f>'[13]Диспан.набл.взрослых Пр.16- 23'!L64+'[13]Уточнение Пр.17-23  '!L64</f>
        <v>0</v>
      </c>
      <c r="M64" s="660">
        <f>'[13]Диспан.набл.взрослых Пр.16- 23'!M64+'[13]Уточнение Пр.17-23  '!M64</f>
        <v>4</v>
      </c>
      <c r="N64" s="660">
        <f>'[13]Диспан.набл.взрослых Пр.16- 23'!N64+'[13]Уточнение Пр.17-23  '!N64</f>
        <v>51</v>
      </c>
      <c r="O64" s="660">
        <f>'[13]Диспан.набл.взрослых Пр.16- 23'!O64+'[13]Уточнение Пр.17-23  '!O64</f>
        <v>2</v>
      </c>
      <c r="P64" s="660">
        <f>'[13]Диспан.набл.взрослых Пр.16- 23'!P64+'[13]Уточнение Пр.17-23  '!P64</f>
        <v>0</v>
      </c>
      <c r="Q64" s="660">
        <f>'[13]Диспан.набл.взрослых Пр.16- 23'!Q64+'[13]Уточнение Пр.17-23  '!Q64</f>
        <v>128</v>
      </c>
      <c r="R64" s="660">
        <f>'[13]Диспан.набл.взрослых Пр.16- 23'!R64+'[13]Уточнение Пр.17-23  '!R64</f>
        <v>1</v>
      </c>
      <c r="S64" s="660">
        <f t="shared" si="4"/>
        <v>11219</v>
      </c>
      <c r="T64" s="659"/>
    </row>
    <row r="65" spans="1:20" x14ac:dyDescent="0.25">
      <c r="A65" s="662">
        <v>52</v>
      </c>
      <c r="B65" s="666" t="s">
        <v>117</v>
      </c>
      <c r="C65" s="434" t="s">
        <v>118</v>
      </c>
      <c r="D65" s="660">
        <f t="shared" si="3"/>
        <v>35668</v>
      </c>
      <c r="E65" s="660">
        <f>'[13]Диспан.набл.взрослых Пр.16- 23'!E65+'[13]Уточнение Пр.17-23  '!E65</f>
        <v>33912</v>
      </c>
      <c r="F65" s="660">
        <f>'[13]Диспан.набл.взрослых Пр.16- 23'!F65+'[13]Уточнение Пр.17-23  '!F65</f>
        <v>1014</v>
      </c>
      <c r="G65" s="660">
        <f>'[13]Диспан.набл.взрослых Пр.16- 23'!G65+'[13]Уточнение Пр.17-23  '!G65</f>
        <v>596</v>
      </c>
      <c r="H65" s="660">
        <f>'[13]Диспан.набл.взрослых Пр.16- 23'!H65+'[13]Уточнение Пр.17-23  '!H65</f>
        <v>1</v>
      </c>
      <c r="I65" s="660">
        <f>'[13]Диспан.набл.взрослых Пр.16- 23'!I65+'[13]Уточнение Пр.17-23  '!I65</f>
        <v>0</v>
      </c>
      <c r="J65" s="660">
        <f>'[13]Диспан.набл.взрослых Пр.16- 23'!J65+'[13]Уточнение Пр.17-23  '!J65</f>
        <v>0</v>
      </c>
      <c r="K65" s="660">
        <f>'[13]Диспан.набл.взрослых Пр.16- 23'!K65+'[13]Уточнение Пр.17-23  '!K65</f>
        <v>0</v>
      </c>
      <c r="L65" s="660">
        <f>'[13]Диспан.набл.взрослых Пр.16- 23'!L65+'[13]Уточнение Пр.17-23  '!L65</f>
        <v>2</v>
      </c>
      <c r="M65" s="660">
        <f>'[13]Диспан.набл.взрослых Пр.16- 23'!M65+'[13]Уточнение Пр.17-23  '!M65</f>
        <v>2</v>
      </c>
      <c r="N65" s="660">
        <f>'[13]Диспан.набл.взрослых Пр.16- 23'!N65+'[13]Уточнение Пр.17-23  '!N65</f>
        <v>4</v>
      </c>
      <c r="O65" s="660">
        <f>'[13]Диспан.набл.взрослых Пр.16- 23'!O65+'[13]Уточнение Пр.17-23  '!O65</f>
        <v>11</v>
      </c>
      <c r="P65" s="660">
        <f>'[13]Диспан.набл.взрослых Пр.16- 23'!P65+'[13]Уточнение Пр.17-23  '!P65</f>
        <v>0</v>
      </c>
      <c r="Q65" s="660">
        <f>'[13]Диспан.набл.взрослых Пр.16- 23'!Q65+'[13]Уточнение Пр.17-23  '!Q65</f>
        <v>126</v>
      </c>
      <c r="R65" s="660">
        <f>'[13]Диспан.набл.взрослых Пр.16- 23'!R65+'[13]Уточнение Пр.17-23  '!R65</f>
        <v>0</v>
      </c>
      <c r="S65" s="660">
        <f t="shared" si="4"/>
        <v>33912</v>
      </c>
      <c r="T65" s="659"/>
    </row>
    <row r="66" spans="1:20" x14ac:dyDescent="0.25">
      <c r="A66" s="662">
        <v>53</v>
      </c>
      <c r="B66" s="666" t="s">
        <v>119</v>
      </c>
      <c r="C66" s="434" t="s">
        <v>120</v>
      </c>
      <c r="D66" s="660">
        <f t="shared" si="3"/>
        <v>5969</v>
      </c>
      <c r="E66" s="660">
        <f>'[13]Диспан.набл.взрослых Пр.16- 23'!E66+'[13]Уточнение Пр.17-23  '!E66</f>
        <v>5866</v>
      </c>
      <c r="F66" s="660">
        <f>'[13]Диспан.набл.взрослых Пр.16- 23'!F66+'[13]Уточнение Пр.17-23  '!F66</f>
        <v>22</v>
      </c>
      <c r="G66" s="660">
        <f>'[13]Диспан.набл.взрослых Пр.16- 23'!G66+'[13]Уточнение Пр.17-23  '!G66</f>
        <v>56</v>
      </c>
      <c r="H66" s="660">
        <f>'[13]Диспан.набл.взрослых Пр.16- 23'!H66+'[13]Уточнение Пр.17-23  '!H66</f>
        <v>2</v>
      </c>
      <c r="I66" s="660">
        <f>'[13]Диспан.набл.взрослых Пр.16- 23'!I66+'[13]Уточнение Пр.17-23  '!I66</f>
        <v>0</v>
      </c>
      <c r="J66" s="660">
        <f>'[13]Диспан.набл.взрослых Пр.16- 23'!J66+'[13]Уточнение Пр.17-23  '!J66</f>
        <v>0</v>
      </c>
      <c r="K66" s="660">
        <f>'[13]Диспан.набл.взрослых Пр.16- 23'!K66+'[13]Уточнение Пр.17-23  '!K66</f>
        <v>3</v>
      </c>
      <c r="L66" s="660">
        <f>'[13]Диспан.набл.взрослых Пр.16- 23'!L66+'[13]Уточнение Пр.17-23  '!L66</f>
        <v>1</v>
      </c>
      <c r="M66" s="660">
        <f>'[13]Диспан.набл.взрослых Пр.16- 23'!M66+'[13]Уточнение Пр.17-23  '!M66</f>
        <v>0</v>
      </c>
      <c r="N66" s="660">
        <f>'[13]Диспан.набл.взрослых Пр.16- 23'!N66+'[13]Уточнение Пр.17-23  '!N66</f>
        <v>9</v>
      </c>
      <c r="O66" s="660">
        <f>'[13]Диспан.набл.взрослых Пр.16- 23'!O66+'[13]Уточнение Пр.17-23  '!O66</f>
        <v>1</v>
      </c>
      <c r="P66" s="660">
        <f>'[13]Диспан.набл.взрослых Пр.16- 23'!P66+'[13]Уточнение Пр.17-23  '!P66</f>
        <v>0</v>
      </c>
      <c r="Q66" s="660">
        <f>'[13]Диспан.набл.взрослых Пр.16- 23'!Q66+'[13]Уточнение Пр.17-23  '!Q66</f>
        <v>9</v>
      </c>
      <c r="R66" s="660">
        <f>'[13]Диспан.набл.взрослых Пр.16- 23'!R66+'[13]Уточнение Пр.17-23  '!R66</f>
        <v>0</v>
      </c>
      <c r="S66" s="660">
        <f t="shared" si="4"/>
        <v>5866</v>
      </c>
      <c r="T66" s="659"/>
    </row>
    <row r="67" spans="1:20" x14ac:dyDescent="0.25">
      <c r="A67" s="662">
        <v>54</v>
      </c>
      <c r="B67" s="666" t="s">
        <v>121</v>
      </c>
      <c r="C67" s="434" t="s">
        <v>122</v>
      </c>
      <c r="D67" s="660">
        <f t="shared" si="3"/>
        <v>0</v>
      </c>
      <c r="E67" s="660">
        <f>'[13]Диспан.набл.взрослых Пр.16- 23'!E67+'[13]Уточнение Пр.17-23  '!E67</f>
        <v>0</v>
      </c>
      <c r="F67" s="660">
        <f>'[13]Диспан.набл.взрослых Пр.16- 23'!F67+'[13]Уточнение Пр.17-23  '!F67</f>
        <v>0</v>
      </c>
      <c r="G67" s="660">
        <f>'[13]Диспан.набл.взрослых Пр.16- 23'!G67+'[13]Уточнение Пр.17-23  '!G67</f>
        <v>0</v>
      </c>
      <c r="H67" s="660">
        <f>'[13]Диспан.набл.взрослых Пр.16- 23'!H67+'[13]Уточнение Пр.17-23  '!H67</f>
        <v>0</v>
      </c>
      <c r="I67" s="660">
        <f>'[13]Диспан.набл.взрослых Пр.16- 23'!I67+'[13]Уточнение Пр.17-23  '!I67</f>
        <v>0</v>
      </c>
      <c r="J67" s="660">
        <f>'[13]Диспан.набл.взрослых Пр.16- 23'!J67+'[13]Уточнение Пр.17-23  '!J67</f>
        <v>0</v>
      </c>
      <c r="K67" s="660">
        <f>'[13]Диспан.набл.взрослых Пр.16- 23'!K67+'[13]Уточнение Пр.17-23  '!K67</f>
        <v>0</v>
      </c>
      <c r="L67" s="660">
        <f>'[13]Диспан.набл.взрослых Пр.16- 23'!L67+'[13]Уточнение Пр.17-23  '!L67</f>
        <v>0</v>
      </c>
      <c r="M67" s="660">
        <f>'[13]Диспан.набл.взрослых Пр.16- 23'!M67+'[13]Уточнение Пр.17-23  '!M67</f>
        <v>0</v>
      </c>
      <c r="N67" s="660">
        <f>'[13]Диспан.набл.взрослых Пр.16- 23'!N67+'[13]Уточнение Пр.17-23  '!N67</f>
        <v>0</v>
      </c>
      <c r="O67" s="660">
        <f>'[13]Диспан.набл.взрослых Пр.16- 23'!O67+'[13]Уточнение Пр.17-23  '!O67</f>
        <v>0</v>
      </c>
      <c r="P67" s="660">
        <f>'[13]Диспан.набл.взрослых Пр.16- 23'!P67+'[13]Уточнение Пр.17-23  '!P67</f>
        <v>0</v>
      </c>
      <c r="Q67" s="660">
        <f>'[13]Диспан.набл.взрослых Пр.16- 23'!Q67+'[13]Уточнение Пр.17-23  '!Q67</f>
        <v>0</v>
      </c>
      <c r="R67" s="660">
        <f>'[13]Диспан.набл.взрослых Пр.16- 23'!R67+'[13]Уточнение Пр.17-23  '!R67</f>
        <v>0</v>
      </c>
      <c r="S67" s="660">
        <f t="shared" si="4"/>
        <v>0</v>
      </c>
      <c r="T67" s="659"/>
    </row>
    <row r="68" spans="1:20" x14ac:dyDescent="0.25">
      <c r="A68" s="662">
        <v>55</v>
      </c>
      <c r="B68" s="666" t="s">
        <v>123</v>
      </c>
      <c r="C68" s="434" t="s">
        <v>124</v>
      </c>
      <c r="D68" s="660">
        <f t="shared" si="3"/>
        <v>0</v>
      </c>
      <c r="E68" s="660">
        <f>'[13]Диспан.набл.взрослых Пр.16- 23'!E68+'[13]Уточнение Пр.17-23  '!E68</f>
        <v>0</v>
      </c>
      <c r="F68" s="660">
        <f>'[13]Диспан.набл.взрослых Пр.16- 23'!F68+'[13]Уточнение Пр.17-23  '!F68</f>
        <v>0</v>
      </c>
      <c r="G68" s="660">
        <f>'[13]Диспан.набл.взрослых Пр.16- 23'!G68+'[13]Уточнение Пр.17-23  '!G68</f>
        <v>0</v>
      </c>
      <c r="H68" s="660">
        <f>'[13]Диспан.набл.взрослых Пр.16- 23'!H68+'[13]Уточнение Пр.17-23  '!H68</f>
        <v>0</v>
      </c>
      <c r="I68" s="660">
        <f>'[13]Диспан.набл.взрослых Пр.16- 23'!I68+'[13]Уточнение Пр.17-23  '!I68</f>
        <v>0</v>
      </c>
      <c r="J68" s="660">
        <f>'[13]Диспан.набл.взрослых Пр.16- 23'!J68+'[13]Уточнение Пр.17-23  '!J68</f>
        <v>0</v>
      </c>
      <c r="K68" s="660">
        <f>'[13]Диспан.набл.взрослых Пр.16- 23'!K68+'[13]Уточнение Пр.17-23  '!K68</f>
        <v>0</v>
      </c>
      <c r="L68" s="660">
        <f>'[13]Диспан.набл.взрослых Пр.16- 23'!L68+'[13]Уточнение Пр.17-23  '!L68</f>
        <v>0</v>
      </c>
      <c r="M68" s="660">
        <f>'[13]Диспан.набл.взрослых Пр.16- 23'!M68+'[13]Уточнение Пр.17-23  '!M68</f>
        <v>0</v>
      </c>
      <c r="N68" s="660">
        <f>'[13]Диспан.набл.взрослых Пр.16- 23'!N68+'[13]Уточнение Пр.17-23  '!N68</f>
        <v>0</v>
      </c>
      <c r="O68" s="660">
        <f>'[13]Диспан.набл.взрослых Пр.16- 23'!O68+'[13]Уточнение Пр.17-23  '!O68</f>
        <v>0</v>
      </c>
      <c r="P68" s="660">
        <f>'[13]Диспан.набл.взрослых Пр.16- 23'!P68+'[13]Уточнение Пр.17-23  '!P68</f>
        <v>0</v>
      </c>
      <c r="Q68" s="660">
        <f>'[13]Диспан.набл.взрослых Пр.16- 23'!Q68+'[13]Уточнение Пр.17-23  '!Q68</f>
        <v>0</v>
      </c>
      <c r="R68" s="660">
        <f>'[13]Диспан.набл.взрослых Пр.16- 23'!R68+'[13]Уточнение Пр.17-23  '!R68</f>
        <v>0</v>
      </c>
      <c r="S68" s="660">
        <f t="shared" si="4"/>
        <v>0</v>
      </c>
      <c r="T68" s="659"/>
    </row>
    <row r="69" spans="1:20" x14ac:dyDescent="0.25">
      <c r="A69" s="662">
        <v>56</v>
      </c>
      <c r="B69" s="433" t="s">
        <v>125</v>
      </c>
      <c r="C69" s="1" t="s">
        <v>126</v>
      </c>
      <c r="D69" s="660">
        <f t="shared" si="3"/>
        <v>0</v>
      </c>
      <c r="E69" s="660">
        <f>'[13]Диспан.набл.взрослых Пр.16- 23'!E69+'[13]Уточнение Пр.17-23  '!E69</f>
        <v>0</v>
      </c>
      <c r="F69" s="660">
        <f>'[13]Диспан.набл.взрослых Пр.16- 23'!F69+'[13]Уточнение Пр.17-23  '!F69</f>
        <v>0</v>
      </c>
      <c r="G69" s="660">
        <f>'[13]Диспан.набл.взрослых Пр.16- 23'!G69+'[13]Уточнение Пр.17-23  '!G69</f>
        <v>0</v>
      </c>
      <c r="H69" s="660">
        <f>'[13]Диспан.набл.взрослых Пр.16- 23'!H69+'[13]Уточнение Пр.17-23  '!H69</f>
        <v>0</v>
      </c>
      <c r="I69" s="660">
        <f>'[13]Диспан.набл.взрослых Пр.16- 23'!I69+'[13]Уточнение Пр.17-23  '!I69</f>
        <v>0</v>
      </c>
      <c r="J69" s="660">
        <f>'[13]Диспан.набл.взрослых Пр.16- 23'!J69+'[13]Уточнение Пр.17-23  '!J69</f>
        <v>0</v>
      </c>
      <c r="K69" s="660">
        <f>'[13]Диспан.набл.взрослых Пр.16- 23'!K69+'[13]Уточнение Пр.17-23  '!K69</f>
        <v>0</v>
      </c>
      <c r="L69" s="660">
        <f>'[13]Диспан.набл.взрослых Пр.16- 23'!L69+'[13]Уточнение Пр.17-23  '!L69</f>
        <v>0</v>
      </c>
      <c r="M69" s="660">
        <f>'[13]Диспан.набл.взрослых Пр.16- 23'!M69+'[13]Уточнение Пр.17-23  '!M69</f>
        <v>0</v>
      </c>
      <c r="N69" s="660">
        <f>'[13]Диспан.набл.взрослых Пр.16- 23'!N69+'[13]Уточнение Пр.17-23  '!N69</f>
        <v>0</v>
      </c>
      <c r="O69" s="660">
        <f>'[13]Диспан.набл.взрослых Пр.16- 23'!O69+'[13]Уточнение Пр.17-23  '!O69</f>
        <v>0</v>
      </c>
      <c r="P69" s="660">
        <f>'[13]Диспан.набл.взрослых Пр.16- 23'!P69+'[13]Уточнение Пр.17-23  '!P69</f>
        <v>0</v>
      </c>
      <c r="Q69" s="660">
        <f>'[13]Диспан.набл.взрослых Пр.16- 23'!Q69+'[13]Уточнение Пр.17-23  '!Q69</f>
        <v>0</v>
      </c>
      <c r="R69" s="660">
        <f>'[13]Диспан.набл.взрослых Пр.16- 23'!R69+'[13]Уточнение Пр.17-23  '!R69</f>
        <v>0</v>
      </c>
      <c r="S69" s="660">
        <f t="shared" si="4"/>
        <v>0</v>
      </c>
      <c r="T69" s="659"/>
    </row>
    <row r="70" spans="1:20" ht="24" x14ac:dyDescent="0.25">
      <c r="A70" s="662">
        <v>57</v>
      </c>
      <c r="B70" s="666" t="s">
        <v>127</v>
      </c>
      <c r="C70" s="434" t="s">
        <v>128</v>
      </c>
      <c r="D70" s="660">
        <f t="shared" si="3"/>
        <v>0</v>
      </c>
      <c r="E70" s="660">
        <f>'[13]Диспан.набл.взрослых Пр.16- 23'!E70+'[13]Уточнение Пр.17-23  '!E70</f>
        <v>0</v>
      </c>
      <c r="F70" s="660">
        <f>'[13]Диспан.набл.взрослых Пр.16- 23'!F70+'[13]Уточнение Пр.17-23  '!F70</f>
        <v>0</v>
      </c>
      <c r="G70" s="660">
        <f>'[13]Диспан.набл.взрослых Пр.16- 23'!G70+'[13]Уточнение Пр.17-23  '!G70</f>
        <v>0</v>
      </c>
      <c r="H70" s="660">
        <f>'[13]Диспан.набл.взрослых Пр.16- 23'!H70+'[13]Уточнение Пр.17-23  '!H70</f>
        <v>0</v>
      </c>
      <c r="I70" s="660">
        <f>'[13]Диспан.набл.взрослых Пр.16- 23'!I70+'[13]Уточнение Пр.17-23  '!I70</f>
        <v>0</v>
      </c>
      <c r="J70" s="660">
        <f>'[13]Диспан.набл.взрослых Пр.16- 23'!J70+'[13]Уточнение Пр.17-23  '!J70</f>
        <v>0</v>
      </c>
      <c r="K70" s="660">
        <f>'[13]Диспан.набл.взрослых Пр.16- 23'!K70+'[13]Уточнение Пр.17-23  '!K70</f>
        <v>0</v>
      </c>
      <c r="L70" s="660">
        <f>'[13]Диспан.набл.взрослых Пр.16- 23'!L70+'[13]Уточнение Пр.17-23  '!L70</f>
        <v>0</v>
      </c>
      <c r="M70" s="660">
        <f>'[13]Диспан.набл.взрослых Пр.16- 23'!M70+'[13]Уточнение Пр.17-23  '!M70</f>
        <v>0</v>
      </c>
      <c r="N70" s="660">
        <f>'[13]Диспан.набл.взрослых Пр.16- 23'!N70+'[13]Уточнение Пр.17-23  '!N70</f>
        <v>0</v>
      </c>
      <c r="O70" s="660">
        <f>'[13]Диспан.набл.взрослых Пр.16- 23'!O70+'[13]Уточнение Пр.17-23  '!O70</f>
        <v>0</v>
      </c>
      <c r="P70" s="660">
        <f>'[13]Диспан.набл.взрослых Пр.16- 23'!P70+'[13]Уточнение Пр.17-23  '!P70</f>
        <v>0</v>
      </c>
      <c r="Q70" s="660">
        <f>'[13]Диспан.набл.взрослых Пр.16- 23'!Q70+'[13]Уточнение Пр.17-23  '!Q70</f>
        <v>0</v>
      </c>
      <c r="R70" s="660">
        <f>'[13]Диспан.набл.взрослых Пр.16- 23'!R70+'[13]Уточнение Пр.17-23  '!R70</f>
        <v>0</v>
      </c>
      <c r="S70" s="660">
        <f t="shared" si="4"/>
        <v>0</v>
      </c>
      <c r="T70" s="659"/>
    </row>
    <row r="71" spans="1:20" ht="24" x14ac:dyDescent="0.25">
      <c r="A71" s="662">
        <v>58</v>
      </c>
      <c r="B71" s="665" t="s">
        <v>129</v>
      </c>
      <c r="C71" s="434" t="s">
        <v>130</v>
      </c>
      <c r="D71" s="660">
        <f t="shared" si="3"/>
        <v>0</v>
      </c>
      <c r="E71" s="660">
        <f>'[13]Диспан.набл.взрослых Пр.16- 23'!E71+'[13]Уточнение Пр.17-23  '!E71</f>
        <v>0</v>
      </c>
      <c r="F71" s="660">
        <f>'[13]Диспан.набл.взрослых Пр.16- 23'!F71+'[13]Уточнение Пр.17-23  '!F71</f>
        <v>0</v>
      </c>
      <c r="G71" s="660">
        <f>'[13]Диспан.набл.взрослых Пр.16- 23'!G71+'[13]Уточнение Пр.17-23  '!G71</f>
        <v>0</v>
      </c>
      <c r="H71" s="660">
        <f>'[13]Диспан.набл.взрослых Пр.16- 23'!H71+'[13]Уточнение Пр.17-23  '!H71</f>
        <v>0</v>
      </c>
      <c r="I71" s="660">
        <f>'[13]Диспан.набл.взрослых Пр.16- 23'!I71+'[13]Уточнение Пр.17-23  '!I71</f>
        <v>0</v>
      </c>
      <c r="J71" s="660">
        <f>'[13]Диспан.набл.взрослых Пр.16- 23'!J71+'[13]Уточнение Пр.17-23  '!J71</f>
        <v>0</v>
      </c>
      <c r="K71" s="660">
        <f>'[13]Диспан.набл.взрослых Пр.16- 23'!K71+'[13]Уточнение Пр.17-23  '!K71</f>
        <v>0</v>
      </c>
      <c r="L71" s="660">
        <f>'[13]Диспан.набл.взрослых Пр.16- 23'!L71+'[13]Уточнение Пр.17-23  '!L71</f>
        <v>0</v>
      </c>
      <c r="M71" s="660">
        <f>'[13]Диспан.набл.взрослых Пр.16- 23'!M71+'[13]Уточнение Пр.17-23  '!M71</f>
        <v>0</v>
      </c>
      <c r="N71" s="660">
        <f>'[13]Диспан.набл.взрослых Пр.16- 23'!N71+'[13]Уточнение Пр.17-23  '!N71</f>
        <v>0</v>
      </c>
      <c r="O71" s="660">
        <f>'[13]Диспан.набл.взрослых Пр.16- 23'!O71+'[13]Уточнение Пр.17-23  '!O71</f>
        <v>0</v>
      </c>
      <c r="P71" s="660">
        <f>'[13]Диспан.набл.взрослых Пр.16- 23'!P71+'[13]Уточнение Пр.17-23  '!P71</f>
        <v>0</v>
      </c>
      <c r="Q71" s="660">
        <f>'[13]Диспан.набл.взрослых Пр.16- 23'!Q71+'[13]Уточнение Пр.17-23  '!Q71</f>
        <v>0</v>
      </c>
      <c r="R71" s="660">
        <f>'[13]Диспан.набл.взрослых Пр.16- 23'!R71+'[13]Уточнение Пр.17-23  '!R71</f>
        <v>0</v>
      </c>
      <c r="S71" s="660">
        <f t="shared" si="4"/>
        <v>0</v>
      </c>
      <c r="T71" s="659"/>
    </row>
    <row r="72" spans="1:20" ht="24" x14ac:dyDescent="0.25">
      <c r="A72" s="662">
        <v>59</v>
      </c>
      <c r="B72" s="667" t="s">
        <v>131</v>
      </c>
      <c r="C72" s="1" t="s">
        <v>132</v>
      </c>
      <c r="D72" s="660">
        <f t="shared" si="3"/>
        <v>0</v>
      </c>
      <c r="E72" s="660">
        <f>'[13]Диспан.набл.взрослых Пр.16- 23'!E72+'[13]Уточнение Пр.17-23  '!E72</f>
        <v>0</v>
      </c>
      <c r="F72" s="660">
        <f>'[13]Диспан.набл.взрослых Пр.16- 23'!F72+'[13]Уточнение Пр.17-23  '!F72</f>
        <v>0</v>
      </c>
      <c r="G72" s="660">
        <f>'[13]Диспан.набл.взрослых Пр.16- 23'!G72+'[13]Уточнение Пр.17-23  '!G72</f>
        <v>0</v>
      </c>
      <c r="H72" s="660">
        <f>'[13]Диспан.набл.взрослых Пр.16- 23'!H72+'[13]Уточнение Пр.17-23  '!H72</f>
        <v>0</v>
      </c>
      <c r="I72" s="660">
        <f>'[13]Диспан.набл.взрослых Пр.16- 23'!I72+'[13]Уточнение Пр.17-23  '!I72</f>
        <v>0</v>
      </c>
      <c r="J72" s="660">
        <f>'[13]Диспан.набл.взрослых Пр.16- 23'!J72+'[13]Уточнение Пр.17-23  '!J72</f>
        <v>0</v>
      </c>
      <c r="K72" s="660">
        <f>'[13]Диспан.набл.взрослых Пр.16- 23'!K72+'[13]Уточнение Пр.17-23  '!K72</f>
        <v>0</v>
      </c>
      <c r="L72" s="660">
        <f>'[13]Диспан.набл.взрослых Пр.16- 23'!L72+'[13]Уточнение Пр.17-23  '!L72</f>
        <v>0</v>
      </c>
      <c r="M72" s="660">
        <f>'[13]Диспан.набл.взрослых Пр.16- 23'!M72+'[13]Уточнение Пр.17-23  '!M72</f>
        <v>0</v>
      </c>
      <c r="N72" s="660">
        <f>'[13]Диспан.набл.взрослых Пр.16- 23'!N72+'[13]Уточнение Пр.17-23  '!N72</f>
        <v>0</v>
      </c>
      <c r="O72" s="660">
        <f>'[13]Диспан.набл.взрослых Пр.16- 23'!O72+'[13]Уточнение Пр.17-23  '!O72</f>
        <v>0</v>
      </c>
      <c r="P72" s="660">
        <f>'[13]Диспан.набл.взрослых Пр.16- 23'!P72+'[13]Уточнение Пр.17-23  '!P72</f>
        <v>0</v>
      </c>
      <c r="Q72" s="660">
        <f>'[13]Диспан.набл.взрослых Пр.16- 23'!Q72+'[13]Уточнение Пр.17-23  '!Q72</f>
        <v>0</v>
      </c>
      <c r="R72" s="660">
        <f>'[13]Диспан.набл.взрослых Пр.16- 23'!R72+'[13]Уточнение Пр.17-23  '!R72</f>
        <v>0</v>
      </c>
      <c r="S72" s="660">
        <f t="shared" si="4"/>
        <v>0</v>
      </c>
      <c r="T72" s="659"/>
    </row>
    <row r="73" spans="1:20" ht="24" x14ac:dyDescent="0.25">
      <c r="A73" s="662">
        <v>60</v>
      </c>
      <c r="B73" s="665" t="s">
        <v>133</v>
      </c>
      <c r="C73" s="434" t="s">
        <v>134</v>
      </c>
      <c r="D73" s="660">
        <f t="shared" si="3"/>
        <v>0</v>
      </c>
      <c r="E73" s="660">
        <f>'[13]Диспан.набл.взрослых Пр.16- 23'!E73+'[13]Уточнение Пр.17-23  '!E73</f>
        <v>0</v>
      </c>
      <c r="F73" s="660">
        <f>'[13]Диспан.набл.взрослых Пр.16- 23'!F73+'[13]Уточнение Пр.17-23  '!F73</f>
        <v>0</v>
      </c>
      <c r="G73" s="660">
        <f>'[13]Диспан.набл.взрослых Пр.16- 23'!G73+'[13]Уточнение Пр.17-23  '!G73</f>
        <v>0</v>
      </c>
      <c r="H73" s="660">
        <f>'[13]Диспан.набл.взрослых Пр.16- 23'!H73+'[13]Уточнение Пр.17-23  '!H73</f>
        <v>0</v>
      </c>
      <c r="I73" s="660">
        <f>'[13]Диспан.набл.взрослых Пр.16- 23'!I73+'[13]Уточнение Пр.17-23  '!I73</f>
        <v>0</v>
      </c>
      <c r="J73" s="660">
        <f>'[13]Диспан.набл.взрослых Пр.16- 23'!J73+'[13]Уточнение Пр.17-23  '!J73</f>
        <v>0</v>
      </c>
      <c r="K73" s="660">
        <f>'[13]Диспан.набл.взрослых Пр.16- 23'!K73+'[13]Уточнение Пр.17-23  '!K73</f>
        <v>0</v>
      </c>
      <c r="L73" s="660">
        <f>'[13]Диспан.набл.взрослых Пр.16- 23'!L73+'[13]Уточнение Пр.17-23  '!L73</f>
        <v>0</v>
      </c>
      <c r="M73" s="660">
        <f>'[13]Диспан.набл.взрослых Пр.16- 23'!M73+'[13]Уточнение Пр.17-23  '!M73</f>
        <v>0</v>
      </c>
      <c r="N73" s="660">
        <f>'[13]Диспан.набл.взрослых Пр.16- 23'!N73+'[13]Уточнение Пр.17-23  '!N73</f>
        <v>0</v>
      </c>
      <c r="O73" s="660">
        <f>'[13]Диспан.набл.взрослых Пр.16- 23'!O73+'[13]Уточнение Пр.17-23  '!O73</f>
        <v>0</v>
      </c>
      <c r="P73" s="660">
        <f>'[13]Диспан.набл.взрослых Пр.16- 23'!P73+'[13]Уточнение Пр.17-23  '!P73</f>
        <v>0</v>
      </c>
      <c r="Q73" s="660">
        <f>'[13]Диспан.набл.взрослых Пр.16- 23'!Q73+'[13]Уточнение Пр.17-23  '!Q73</f>
        <v>0</v>
      </c>
      <c r="R73" s="660">
        <f>'[13]Диспан.набл.взрослых Пр.16- 23'!R73+'[13]Уточнение Пр.17-23  '!R73</f>
        <v>0</v>
      </c>
      <c r="S73" s="660">
        <f t="shared" si="4"/>
        <v>0</v>
      </c>
      <c r="T73" s="659"/>
    </row>
    <row r="74" spans="1:20" ht="24" x14ac:dyDescent="0.25">
      <c r="A74" s="662">
        <v>61</v>
      </c>
      <c r="B74" s="666" t="s">
        <v>135</v>
      </c>
      <c r="C74" s="434" t="s">
        <v>136</v>
      </c>
      <c r="D74" s="660">
        <f t="shared" si="3"/>
        <v>0</v>
      </c>
      <c r="E74" s="660">
        <f>'[13]Диспан.набл.взрослых Пр.16- 23'!E74+'[13]Уточнение Пр.17-23  '!E74</f>
        <v>0</v>
      </c>
      <c r="F74" s="660">
        <f>'[13]Диспан.набл.взрослых Пр.16- 23'!F74+'[13]Уточнение Пр.17-23  '!F74</f>
        <v>0</v>
      </c>
      <c r="G74" s="660">
        <f>'[13]Диспан.набл.взрослых Пр.16- 23'!G74+'[13]Уточнение Пр.17-23  '!G74</f>
        <v>0</v>
      </c>
      <c r="H74" s="660">
        <f>'[13]Диспан.набл.взрослых Пр.16- 23'!H74+'[13]Уточнение Пр.17-23  '!H74</f>
        <v>0</v>
      </c>
      <c r="I74" s="660">
        <f>'[13]Диспан.набл.взрослых Пр.16- 23'!I74+'[13]Уточнение Пр.17-23  '!I74</f>
        <v>0</v>
      </c>
      <c r="J74" s="660">
        <f>'[13]Диспан.набл.взрослых Пр.16- 23'!J74+'[13]Уточнение Пр.17-23  '!J74</f>
        <v>0</v>
      </c>
      <c r="K74" s="660">
        <f>'[13]Диспан.набл.взрослых Пр.16- 23'!K74+'[13]Уточнение Пр.17-23  '!K74</f>
        <v>0</v>
      </c>
      <c r="L74" s="660">
        <f>'[13]Диспан.набл.взрослых Пр.16- 23'!L74+'[13]Уточнение Пр.17-23  '!L74</f>
        <v>0</v>
      </c>
      <c r="M74" s="660">
        <f>'[13]Диспан.набл.взрослых Пр.16- 23'!M74+'[13]Уточнение Пр.17-23  '!M74</f>
        <v>0</v>
      </c>
      <c r="N74" s="660">
        <f>'[13]Диспан.набл.взрослых Пр.16- 23'!N74+'[13]Уточнение Пр.17-23  '!N74</f>
        <v>0</v>
      </c>
      <c r="O74" s="660">
        <f>'[13]Диспан.набл.взрослых Пр.16- 23'!O74+'[13]Уточнение Пр.17-23  '!O74</f>
        <v>0</v>
      </c>
      <c r="P74" s="660">
        <f>'[13]Диспан.набл.взрослых Пр.16- 23'!P74+'[13]Уточнение Пр.17-23  '!P74</f>
        <v>0</v>
      </c>
      <c r="Q74" s="660">
        <f>'[13]Диспан.набл.взрослых Пр.16- 23'!Q74+'[13]Уточнение Пр.17-23  '!Q74</f>
        <v>0</v>
      </c>
      <c r="R74" s="660">
        <f>'[13]Диспан.набл.взрослых Пр.16- 23'!R74+'[13]Уточнение Пр.17-23  '!R74</f>
        <v>0</v>
      </c>
      <c r="S74" s="660">
        <f t="shared" si="4"/>
        <v>0</v>
      </c>
      <c r="T74" s="659"/>
    </row>
    <row r="75" spans="1:20" ht="24" x14ac:dyDescent="0.25">
      <c r="A75" s="662">
        <v>62</v>
      </c>
      <c r="B75" s="663" t="s">
        <v>137</v>
      </c>
      <c r="C75" s="434" t="s">
        <v>138</v>
      </c>
      <c r="D75" s="660">
        <f t="shared" si="3"/>
        <v>0</v>
      </c>
      <c r="E75" s="660">
        <f>'[13]Диспан.набл.взрослых Пр.16- 23'!E75+'[13]Уточнение Пр.17-23  '!E75</f>
        <v>0</v>
      </c>
      <c r="F75" s="660">
        <f>'[13]Диспан.набл.взрослых Пр.16- 23'!F75+'[13]Уточнение Пр.17-23  '!F75</f>
        <v>0</v>
      </c>
      <c r="G75" s="660">
        <f>'[13]Диспан.набл.взрослых Пр.16- 23'!G75+'[13]Уточнение Пр.17-23  '!G75</f>
        <v>0</v>
      </c>
      <c r="H75" s="660">
        <f>'[13]Диспан.набл.взрослых Пр.16- 23'!H75+'[13]Уточнение Пр.17-23  '!H75</f>
        <v>0</v>
      </c>
      <c r="I75" s="660">
        <f>'[13]Диспан.набл.взрослых Пр.16- 23'!I75+'[13]Уточнение Пр.17-23  '!I75</f>
        <v>0</v>
      </c>
      <c r="J75" s="660">
        <f>'[13]Диспан.набл.взрослых Пр.16- 23'!J75+'[13]Уточнение Пр.17-23  '!J75</f>
        <v>0</v>
      </c>
      <c r="K75" s="660">
        <f>'[13]Диспан.набл.взрослых Пр.16- 23'!K75+'[13]Уточнение Пр.17-23  '!K75</f>
        <v>0</v>
      </c>
      <c r="L75" s="660">
        <f>'[13]Диспан.набл.взрослых Пр.16- 23'!L75+'[13]Уточнение Пр.17-23  '!L75</f>
        <v>0</v>
      </c>
      <c r="M75" s="660">
        <f>'[13]Диспан.набл.взрослых Пр.16- 23'!M75+'[13]Уточнение Пр.17-23  '!M75</f>
        <v>0</v>
      </c>
      <c r="N75" s="660">
        <f>'[13]Диспан.набл.взрослых Пр.16- 23'!N75+'[13]Уточнение Пр.17-23  '!N75</f>
        <v>0</v>
      </c>
      <c r="O75" s="660">
        <f>'[13]Диспан.набл.взрослых Пр.16- 23'!O75+'[13]Уточнение Пр.17-23  '!O75</f>
        <v>0</v>
      </c>
      <c r="P75" s="660">
        <f>'[13]Диспан.набл.взрослых Пр.16- 23'!P75+'[13]Уточнение Пр.17-23  '!P75</f>
        <v>0</v>
      </c>
      <c r="Q75" s="660">
        <f>'[13]Диспан.набл.взрослых Пр.16- 23'!Q75+'[13]Уточнение Пр.17-23  '!Q75</f>
        <v>0</v>
      </c>
      <c r="R75" s="660">
        <f>'[13]Диспан.набл.взрослых Пр.16- 23'!R75+'[13]Уточнение Пр.17-23  '!R75</f>
        <v>0</v>
      </c>
      <c r="S75" s="660">
        <f t="shared" si="4"/>
        <v>0</v>
      </c>
      <c r="T75" s="659"/>
    </row>
    <row r="76" spans="1:20" ht="24" x14ac:dyDescent="0.25">
      <c r="A76" s="662">
        <v>63</v>
      </c>
      <c r="B76" s="663" t="s">
        <v>139</v>
      </c>
      <c r="C76" s="434" t="s">
        <v>140</v>
      </c>
      <c r="D76" s="660">
        <f t="shared" si="3"/>
        <v>0</v>
      </c>
      <c r="E76" s="660">
        <f>'[13]Диспан.набл.взрослых Пр.16- 23'!E76+'[13]Уточнение Пр.17-23  '!E76</f>
        <v>0</v>
      </c>
      <c r="F76" s="660">
        <f>'[13]Диспан.набл.взрослых Пр.16- 23'!F76+'[13]Уточнение Пр.17-23  '!F76</f>
        <v>0</v>
      </c>
      <c r="G76" s="660">
        <f>'[13]Диспан.набл.взрослых Пр.16- 23'!G76+'[13]Уточнение Пр.17-23  '!G76</f>
        <v>0</v>
      </c>
      <c r="H76" s="660">
        <f>'[13]Диспан.набл.взрослых Пр.16- 23'!H76+'[13]Уточнение Пр.17-23  '!H76</f>
        <v>0</v>
      </c>
      <c r="I76" s="660">
        <f>'[13]Диспан.набл.взрослых Пр.16- 23'!I76+'[13]Уточнение Пр.17-23  '!I76</f>
        <v>0</v>
      </c>
      <c r="J76" s="660">
        <f>'[13]Диспан.набл.взрослых Пр.16- 23'!J76+'[13]Уточнение Пр.17-23  '!J76</f>
        <v>0</v>
      </c>
      <c r="K76" s="660">
        <f>'[13]Диспан.набл.взрослых Пр.16- 23'!K76+'[13]Уточнение Пр.17-23  '!K76</f>
        <v>0</v>
      </c>
      <c r="L76" s="660">
        <f>'[13]Диспан.набл.взрослых Пр.16- 23'!L76+'[13]Уточнение Пр.17-23  '!L76</f>
        <v>0</v>
      </c>
      <c r="M76" s="660">
        <f>'[13]Диспан.набл.взрослых Пр.16- 23'!M76+'[13]Уточнение Пр.17-23  '!M76</f>
        <v>0</v>
      </c>
      <c r="N76" s="660">
        <f>'[13]Диспан.набл.взрослых Пр.16- 23'!N76+'[13]Уточнение Пр.17-23  '!N76</f>
        <v>0</v>
      </c>
      <c r="O76" s="660">
        <f>'[13]Диспан.набл.взрослых Пр.16- 23'!O76+'[13]Уточнение Пр.17-23  '!O76</f>
        <v>0</v>
      </c>
      <c r="P76" s="660">
        <f>'[13]Диспан.набл.взрослых Пр.16- 23'!P76+'[13]Уточнение Пр.17-23  '!P76</f>
        <v>0</v>
      </c>
      <c r="Q76" s="660">
        <f>'[13]Диспан.набл.взрослых Пр.16- 23'!Q76+'[13]Уточнение Пр.17-23  '!Q76</f>
        <v>0</v>
      </c>
      <c r="R76" s="660">
        <f>'[13]Диспан.набл.взрослых Пр.16- 23'!R76+'[13]Уточнение Пр.17-23  '!R76</f>
        <v>0</v>
      </c>
      <c r="S76" s="660">
        <f t="shared" si="4"/>
        <v>0</v>
      </c>
      <c r="T76" s="659"/>
    </row>
    <row r="77" spans="1:20" x14ac:dyDescent="0.25">
      <c r="A77" s="662">
        <v>64</v>
      </c>
      <c r="B77" s="665" t="s">
        <v>141</v>
      </c>
      <c r="C77" s="434" t="s">
        <v>142</v>
      </c>
      <c r="D77" s="660">
        <f t="shared" si="3"/>
        <v>26470</v>
      </c>
      <c r="E77" s="660">
        <f>'[13]Диспан.набл.взрослых Пр.16- 23'!E77+'[13]Уточнение Пр.17-23  '!E77</f>
        <v>23465</v>
      </c>
      <c r="F77" s="660">
        <f>'[13]Диспан.набл.взрослых Пр.16- 23'!F77+'[13]Уточнение Пр.17-23  '!F77</f>
        <v>1388</v>
      </c>
      <c r="G77" s="660">
        <f>'[13]Диспан.набл.взрослых Пр.16- 23'!G77+'[13]Уточнение Пр.17-23  '!G77</f>
        <v>1256</v>
      </c>
      <c r="H77" s="660">
        <f>'[13]Диспан.набл.взрослых Пр.16- 23'!H77+'[13]Уточнение Пр.17-23  '!H77</f>
        <v>59</v>
      </c>
      <c r="I77" s="660">
        <f>'[13]Диспан.набл.взрослых Пр.16- 23'!I77+'[13]Уточнение Пр.17-23  '!I77</f>
        <v>0</v>
      </c>
      <c r="J77" s="660">
        <f>'[13]Диспан.набл.взрослых Пр.16- 23'!J77+'[13]Уточнение Пр.17-23  '!J77</f>
        <v>4</v>
      </c>
      <c r="K77" s="660">
        <f>'[13]Диспан.набл.взрослых Пр.16- 23'!K77+'[13]Уточнение Пр.17-23  '!K77</f>
        <v>3</v>
      </c>
      <c r="L77" s="660">
        <f>'[13]Диспан.набл.взрослых Пр.16- 23'!L77+'[13]Уточнение Пр.17-23  '!L77</f>
        <v>0</v>
      </c>
      <c r="M77" s="660">
        <f>'[13]Диспан.набл.взрослых Пр.16- 23'!M77+'[13]Уточнение Пр.17-23  '!M77</f>
        <v>10</v>
      </c>
      <c r="N77" s="660">
        <f>'[13]Диспан.набл.взрослых Пр.16- 23'!N77+'[13]Уточнение Пр.17-23  '!N77</f>
        <v>87</v>
      </c>
      <c r="O77" s="660">
        <f>'[13]Диспан.набл.взрослых Пр.16- 23'!O77+'[13]Уточнение Пр.17-23  '!O77</f>
        <v>0</v>
      </c>
      <c r="P77" s="660">
        <f>'[13]Диспан.набл.взрослых Пр.16- 23'!P77+'[13]Уточнение Пр.17-23  '!P77</f>
        <v>0</v>
      </c>
      <c r="Q77" s="660">
        <f>'[13]Диспан.набл.взрослых Пр.16- 23'!Q77+'[13]Уточнение Пр.17-23  '!Q77</f>
        <v>189</v>
      </c>
      <c r="R77" s="660">
        <f>'[13]Диспан.набл.взрослых Пр.16- 23'!R77+'[13]Уточнение Пр.17-23  '!R77</f>
        <v>9</v>
      </c>
      <c r="S77" s="660">
        <f t="shared" si="4"/>
        <v>23465</v>
      </c>
      <c r="T77" s="659"/>
    </row>
    <row r="78" spans="1:20" x14ac:dyDescent="0.25">
      <c r="A78" s="662">
        <v>65</v>
      </c>
      <c r="B78" s="665" t="s">
        <v>143</v>
      </c>
      <c r="C78" s="664" t="s">
        <v>144</v>
      </c>
      <c r="D78" s="660">
        <f t="shared" si="3"/>
        <v>30027</v>
      </c>
      <c r="E78" s="660">
        <f>'[13]Диспан.набл.взрослых Пр.16- 23'!E78+'[13]Уточнение Пр.17-23  '!E78</f>
        <v>27108</v>
      </c>
      <c r="F78" s="660">
        <f>'[13]Диспан.набл.взрослых Пр.16- 23'!F78+'[13]Уточнение Пр.17-23  '!F78</f>
        <v>2029</v>
      </c>
      <c r="G78" s="660">
        <f>'[13]Диспан.набл.взрослых Пр.16- 23'!G78+'[13]Уточнение Пр.17-23  '!G78</f>
        <v>388</v>
      </c>
      <c r="H78" s="660">
        <f>'[13]Диспан.набл.взрослых Пр.16- 23'!H78+'[13]Уточнение Пр.17-23  '!H78</f>
        <v>71</v>
      </c>
      <c r="I78" s="660">
        <f>'[13]Диспан.набл.взрослых Пр.16- 23'!I78+'[13]Уточнение Пр.17-23  '!I78</f>
        <v>0</v>
      </c>
      <c r="J78" s="660">
        <f>'[13]Диспан.набл.взрослых Пр.16- 23'!J78+'[13]Уточнение Пр.17-23  '!J78</f>
        <v>0</v>
      </c>
      <c r="K78" s="660">
        <f>'[13]Диспан.набл.взрослых Пр.16- 23'!K78+'[13]Уточнение Пр.17-23  '!K78</f>
        <v>6</v>
      </c>
      <c r="L78" s="660">
        <f>'[13]Диспан.набл.взрослых Пр.16- 23'!L78+'[13]Уточнение Пр.17-23  '!L78</f>
        <v>0</v>
      </c>
      <c r="M78" s="660">
        <f>'[13]Диспан.набл.взрослых Пр.16- 23'!M78+'[13]Уточнение Пр.17-23  '!M78</f>
        <v>10</v>
      </c>
      <c r="N78" s="660">
        <f>'[13]Диспан.набл.взрослых Пр.16- 23'!N78+'[13]Уточнение Пр.17-23  '!N78</f>
        <v>234</v>
      </c>
      <c r="O78" s="660">
        <f>'[13]Диспан.набл.взрослых Пр.16- 23'!O78+'[13]Уточнение Пр.17-23  '!O78</f>
        <v>0</v>
      </c>
      <c r="P78" s="660">
        <f>'[13]Диспан.набл.взрослых Пр.16- 23'!P78+'[13]Уточнение Пр.17-23  '!P78</f>
        <v>181</v>
      </c>
      <c r="Q78" s="660">
        <f>'[13]Диспан.набл.взрослых Пр.16- 23'!Q78+'[13]Уточнение Пр.17-23  '!Q78</f>
        <v>0</v>
      </c>
      <c r="R78" s="660">
        <f>'[13]Диспан.набл.взрослых Пр.16- 23'!R78+'[13]Уточнение Пр.17-23  '!R78</f>
        <v>0</v>
      </c>
      <c r="S78" s="660">
        <f t="shared" si="4"/>
        <v>27108</v>
      </c>
      <c r="T78" s="659"/>
    </row>
    <row r="79" spans="1:20" x14ac:dyDescent="0.25">
      <c r="A79" s="662">
        <v>66</v>
      </c>
      <c r="B79" s="665" t="s">
        <v>145</v>
      </c>
      <c r="C79" s="434" t="s">
        <v>146</v>
      </c>
      <c r="D79" s="660">
        <f t="shared" ref="D79:D142" si="5">SUM(E79:R79)</f>
        <v>42131</v>
      </c>
      <c r="E79" s="660">
        <f>'[13]Диспан.набл.взрослых Пр.16- 23'!E79+'[13]Уточнение Пр.17-23  '!E79</f>
        <v>37165</v>
      </c>
      <c r="F79" s="660">
        <f>'[13]Диспан.набл.взрослых Пр.16- 23'!F79+'[13]Уточнение Пр.17-23  '!F79</f>
        <v>3105</v>
      </c>
      <c r="G79" s="660">
        <f>'[13]Диспан.набл.взрослых Пр.16- 23'!G79+'[13]Уточнение Пр.17-23  '!G79</f>
        <v>497</v>
      </c>
      <c r="H79" s="660">
        <f>'[13]Диспан.набл.взрослых Пр.16- 23'!H79+'[13]Уточнение Пр.17-23  '!H79</f>
        <v>710</v>
      </c>
      <c r="I79" s="660">
        <f>'[13]Диспан.набл.взрослых Пр.16- 23'!I79+'[13]Уточнение Пр.17-23  '!I79</f>
        <v>0</v>
      </c>
      <c r="J79" s="660">
        <f>'[13]Диспан.набл.взрослых Пр.16- 23'!J79+'[13]Уточнение Пр.17-23  '!J79</f>
        <v>0</v>
      </c>
      <c r="K79" s="660">
        <f>'[13]Диспан.набл.взрослых Пр.16- 23'!K79+'[13]Уточнение Пр.17-23  '!K79</f>
        <v>46</v>
      </c>
      <c r="L79" s="660">
        <f>'[13]Диспан.набл.взрослых Пр.16- 23'!L79+'[13]Уточнение Пр.17-23  '!L79</f>
        <v>3</v>
      </c>
      <c r="M79" s="660">
        <f>'[13]Диспан.набл.взрослых Пр.16- 23'!M79+'[13]Уточнение Пр.17-23  '!M79</f>
        <v>24</v>
      </c>
      <c r="N79" s="660">
        <f>'[13]Диспан.набл.взрослых Пр.16- 23'!N79+'[13]Уточнение Пр.17-23  '!N79</f>
        <v>147</v>
      </c>
      <c r="O79" s="660">
        <f>'[13]Диспан.набл.взрослых Пр.16- 23'!O79+'[13]Уточнение Пр.17-23  '!O79</f>
        <v>0</v>
      </c>
      <c r="P79" s="660">
        <f>'[13]Диспан.набл.взрослых Пр.16- 23'!P79+'[13]Уточнение Пр.17-23  '!P79</f>
        <v>199</v>
      </c>
      <c r="Q79" s="660">
        <f>'[13]Диспан.набл.взрослых Пр.16- 23'!Q79+'[13]Уточнение Пр.17-23  '!Q79</f>
        <v>235</v>
      </c>
      <c r="R79" s="660">
        <f>'[13]Диспан.набл.взрослых Пр.16- 23'!R79+'[13]Уточнение Пр.17-23  '!R79</f>
        <v>0</v>
      </c>
      <c r="S79" s="660">
        <f t="shared" ref="S79:S142" si="6">ROUND(E79/$E$13*$S$8,0)</f>
        <v>37165</v>
      </c>
      <c r="T79" s="659"/>
    </row>
    <row r="80" spans="1:20" ht="24" x14ac:dyDescent="0.25">
      <c r="A80" s="662">
        <v>67</v>
      </c>
      <c r="B80" s="665" t="s">
        <v>147</v>
      </c>
      <c r="C80" s="434" t="s">
        <v>148</v>
      </c>
      <c r="D80" s="660">
        <f t="shared" si="5"/>
        <v>7</v>
      </c>
      <c r="E80" s="660">
        <f>'[13]Диспан.набл.взрослых Пр.16- 23'!E80+'[13]Уточнение Пр.17-23  '!E80</f>
        <v>0</v>
      </c>
      <c r="F80" s="660">
        <f>'[13]Диспан.набл.взрослых Пр.16- 23'!F80+'[13]Уточнение Пр.17-23  '!F80</f>
        <v>0</v>
      </c>
      <c r="G80" s="660">
        <f>'[13]Диспан.набл.взрослых Пр.16- 23'!G80+'[13]Уточнение Пр.17-23  '!G80</f>
        <v>0</v>
      </c>
      <c r="H80" s="660">
        <f>'[13]Диспан.набл.взрослых Пр.16- 23'!H80+'[13]Уточнение Пр.17-23  '!H80</f>
        <v>0</v>
      </c>
      <c r="I80" s="660">
        <f>'[13]Диспан.набл.взрослых Пр.16- 23'!I80+'[13]Уточнение Пр.17-23  '!I80</f>
        <v>0</v>
      </c>
      <c r="J80" s="660">
        <f>'[13]Диспан.набл.взрослых Пр.16- 23'!J80+'[13]Уточнение Пр.17-23  '!J80</f>
        <v>0</v>
      </c>
      <c r="K80" s="660">
        <f>'[13]Диспан.набл.взрослых Пр.16- 23'!K80+'[13]Уточнение Пр.17-23  '!K80</f>
        <v>0</v>
      </c>
      <c r="L80" s="660">
        <f>'[13]Диспан.набл.взрослых Пр.16- 23'!L80+'[13]Уточнение Пр.17-23  '!L80</f>
        <v>0</v>
      </c>
      <c r="M80" s="660">
        <f>'[13]Диспан.набл.взрослых Пр.16- 23'!M80+'[13]Уточнение Пр.17-23  '!M80</f>
        <v>0</v>
      </c>
      <c r="N80" s="660">
        <f>'[13]Диспан.набл.взрослых Пр.16- 23'!N80+'[13]Уточнение Пр.17-23  '!N80</f>
        <v>0</v>
      </c>
      <c r="O80" s="660">
        <f>'[13]Диспан.набл.взрослых Пр.16- 23'!O80+'[13]Уточнение Пр.17-23  '!O80</f>
        <v>7</v>
      </c>
      <c r="P80" s="660">
        <f>'[13]Диспан.набл.взрослых Пр.16- 23'!P80+'[13]Уточнение Пр.17-23  '!P80</f>
        <v>0</v>
      </c>
      <c r="Q80" s="660">
        <f>'[13]Диспан.набл.взрослых Пр.16- 23'!Q80+'[13]Уточнение Пр.17-23  '!Q80</f>
        <v>0</v>
      </c>
      <c r="R80" s="660">
        <f>'[13]Диспан.набл.взрослых Пр.16- 23'!R80+'[13]Уточнение Пр.17-23  '!R80</f>
        <v>0</v>
      </c>
      <c r="S80" s="660">
        <f t="shared" si="6"/>
        <v>0</v>
      </c>
      <c r="T80" s="659"/>
    </row>
    <row r="81" spans="1:20" ht="24" x14ac:dyDescent="0.25">
      <c r="A81" s="662">
        <v>68</v>
      </c>
      <c r="B81" s="663" t="s">
        <v>149</v>
      </c>
      <c r="C81" s="434" t="s">
        <v>150</v>
      </c>
      <c r="D81" s="660">
        <f t="shared" si="5"/>
        <v>0</v>
      </c>
      <c r="E81" s="660">
        <f>'[13]Диспан.набл.взрослых Пр.16- 23'!E81+'[13]Уточнение Пр.17-23  '!E81</f>
        <v>0</v>
      </c>
      <c r="F81" s="660">
        <f>'[13]Диспан.набл.взрослых Пр.16- 23'!F81+'[13]Уточнение Пр.17-23  '!F81</f>
        <v>0</v>
      </c>
      <c r="G81" s="660">
        <f>'[13]Диспан.набл.взрослых Пр.16- 23'!G81+'[13]Уточнение Пр.17-23  '!G81</f>
        <v>0</v>
      </c>
      <c r="H81" s="660">
        <f>'[13]Диспан.набл.взрослых Пр.16- 23'!H81+'[13]Уточнение Пр.17-23  '!H81</f>
        <v>0</v>
      </c>
      <c r="I81" s="660">
        <f>'[13]Диспан.набл.взрослых Пр.16- 23'!I81+'[13]Уточнение Пр.17-23  '!I81</f>
        <v>0</v>
      </c>
      <c r="J81" s="660">
        <f>'[13]Диспан.набл.взрослых Пр.16- 23'!J81+'[13]Уточнение Пр.17-23  '!J81</f>
        <v>0</v>
      </c>
      <c r="K81" s="660">
        <f>'[13]Диспан.набл.взрослых Пр.16- 23'!K81+'[13]Уточнение Пр.17-23  '!K81</f>
        <v>0</v>
      </c>
      <c r="L81" s="660">
        <f>'[13]Диспан.набл.взрослых Пр.16- 23'!L81+'[13]Уточнение Пр.17-23  '!L81</f>
        <v>0</v>
      </c>
      <c r="M81" s="660">
        <f>'[13]Диспан.набл.взрослых Пр.16- 23'!M81+'[13]Уточнение Пр.17-23  '!M81</f>
        <v>0</v>
      </c>
      <c r="N81" s="660">
        <f>'[13]Диспан.набл.взрослых Пр.16- 23'!N81+'[13]Уточнение Пр.17-23  '!N81</f>
        <v>0</v>
      </c>
      <c r="O81" s="660">
        <f>'[13]Диспан.набл.взрослых Пр.16- 23'!O81+'[13]Уточнение Пр.17-23  '!O81</f>
        <v>0</v>
      </c>
      <c r="P81" s="660">
        <f>'[13]Диспан.набл.взрослых Пр.16- 23'!P81+'[13]Уточнение Пр.17-23  '!P81</f>
        <v>0</v>
      </c>
      <c r="Q81" s="660">
        <f>'[13]Диспан.набл.взрослых Пр.16- 23'!Q81+'[13]Уточнение Пр.17-23  '!Q81</f>
        <v>0</v>
      </c>
      <c r="R81" s="660">
        <f>'[13]Диспан.набл.взрослых Пр.16- 23'!R81+'[13]Уточнение Пр.17-23  '!R81</f>
        <v>0</v>
      </c>
      <c r="S81" s="660">
        <f t="shared" si="6"/>
        <v>0</v>
      </c>
      <c r="T81" s="659"/>
    </row>
    <row r="82" spans="1:20" ht="24" x14ac:dyDescent="0.25">
      <c r="A82" s="662">
        <v>69</v>
      </c>
      <c r="B82" s="665" t="s">
        <v>151</v>
      </c>
      <c r="C82" s="434" t="s">
        <v>152</v>
      </c>
      <c r="D82" s="660">
        <f t="shared" si="5"/>
        <v>12</v>
      </c>
      <c r="E82" s="660">
        <f>'[13]Диспан.набл.взрослых Пр.16- 23'!E82+'[13]Уточнение Пр.17-23  '!E82</f>
        <v>0</v>
      </c>
      <c r="F82" s="660">
        <f>'[13]Диспан.набл.взрослых Пр.16- 23'!F82+'[13]Уточнение Пр.17-23  '!F82</f>
        <v>0</v>
      </c>
      <c r="G82" s="660">
        <f>'[13]Диспан.набл.взрослых Пр.16- 23'!G82+'[13]Уточнение Пр.17-23  '!G82</f>
        <v>0</v>
      </c>
      <c r="H82" s="660">
        <f>'[13]Диспан.набл.взрослых Пр.16- 23'!H82+'[13]Уточнение Пр.17-23  '!H82</f>
        <v>0</v>
      </c>
      <c r="I82" s="660">
        <f>'[13]Диспан.набл.взрослых Пр.16- 23'!I82+'[13]Уточнение Пр.17-23  '!I82</f>
        <v>0</v>
      </c>
      <c r="J82" s="660">
        <f>'[13]Диспан.набл.взрослых Пр.16- 23'!J82+'[13]Уточнение Пр.17-23  '!J82</f>
        <v>0</v>
      </c>
      <c r="K82" s="660">
        <f>'[13]Диспан.набл.взрослых Пр.16- 23'!K82+'[13]Уточнение Пр.17-23  '!K82</f>
        <v>0</v>
      </c>
      <c r="L82" s="660">
        <f>'[13]Диспан.набл.взрослых Пр.16- 23'!L82+'[13]Уточнение Пр.17-23  '!L82</f>
        <v>0</v>
      </c>
      <c r="M82" s="660">
        <f>'[13]Диспан.набл.взрослых Пр.16- 23'!M82+'[13]Уточнение Пр.17-23  '!M82</f>
        <v>0</v>
      </c>
      <c r="N82" s="660">
        <f>'[13]Диспан.набл.взрослых Пр.16- 23'!N82+'[13]Уточнение Пр.17-23  '!N82</f>
        <v>0</v>
      </c>
      <c r="O82" s="660">
        <f>'[13]Диспан.набл.взрослых Пр.16- 23'!O82+'[13]Уточнение Пр.17-23  '!O82</f>
        <v>12</v>
      </c>
      <c r="P82" s="660">
        <f>'[13]Диспан.набл.взрослых Пр.16- 23'!P82+'[13]Уточнение Пр.17-23  '!P82</f>
        <v>0</v>
      </c>
      <c r="Q82" s="660">
        <f>'[13]Диспан.набл.взрослых Пр.16- 23'!Q82+'[13]Уточнение Пр.17-23  '!Q82</f>
        <v>0</v>
      </c>
      <c r="R82" s="660">
        <f>'[13]Диспан.набл.взрослых Пр.16- 23'!R82+'[13]Уточнение Пр.17-23  '!R82</f>
        <v>0</v>
      </c>
      <c r="S82" s="660">
        <f t="shared" si="6"/>
        <v>0</v>
      </c>
      <c r="T82" s="659"/>
    </row>
    <row r="83" spans="1:20" ht="24" x14ac:dyDescent="0.25">
      <c r="A83" s="662">
        <v>70</v>
      </c>
      <c r="B83" s="665" t="s">
        <v>153</v>
      </c>
      <c r="C83" s="434" t="s">
        <v>154</v>
      </c>
      <c r="D83" s="660">
        <f t="shared" si="5"/>
        <v>19</v>
      </c>
      <c r="E83" s="660">
        <f>'[13]Диспан.набл.взрослых Пр.16- 23'!E83+'[13]Уточнение Пр.17-23  '!E83</f>
        <v>0</v>
      </c>
      <c r="F83" s="660">
        <f>'[13]Диспан.набл.взрослых Пр.16- 23'!F83+'[13]Уточнение Пр.17-23  '!F83</f>
        <v>0</v>
      </c>
      <c r="G83" s="660">
        <f>'[13]Диспан.набл.взрослых Пр.16- 23'!G83+'[13]Уточнение Пр.17-23  '!G83</f>
        <v>0</v>
      </c>
      <c r="H83" s="660">
        <f>'[13]Диспан.набл.взрослых Пр.16- 23'!H83+'[13]Уточнение Пр.17-23  '!H83</f>
        <v>0</v>
      </c>
      <c r="I83" s="660">
        <f>'[13]Диспан.набл.взрослых Пр.16- 23'!I83+'[13]Уточнение Пр.17-23  '!I83</f>
        <v>0</v>
      </c>
      <c r="J83" s="660">
        <f>'[13]Диспан.набл.взрослых Пр.16- 23'!J83+'[13]Уточнение Пр.17-23  '!J83</f>
        <v>0</v>
      </c>
      <c r="K83" s="660">
        <f>'[13]Диспан.набл.взрослых Пр.16- 23'!K83+'[13]Уточнение Пр.17-23  '!K83</f>
        <v>0</v>
      </c>
      <c r="L83" s="660">
        <f>'[13]Диспан.набл.взрослых Пр.16- 23'!L83+'[13]Уточнение Пр.17-23  '!L83</f>
        <v>0</v>
      </c>
      <c r="M83" s="660">
        <f>'[13]Диспан.набл.взрослых Пр.16- 23'!M83+'[13]Уточнение Пр.17-23  '!M83</f>
        <v>0</v>
      </c>
      <c r="N83" s="660">
        <f>'[13]Диспан.набл.взрослых Пр.16- 23'!N83+'[13]Уточнение Пр.17-23  '!N83</f>
        <v>0</v>
      </c>
      <c r="O83" s="660">
        <f>'[13]Диспан.набл.взрослых Пр.16- 23'!O83+'[13]Уточнение Пр.17-23  '!O83</f>
        <v>19</v>
      </c>
      <c r="P83" s="660">
        <f>'[13]Диспан.набл.взрослых Пр.16- 23'!P83+'[13]Уточнение Пр.17-23  '!P83</f>
        <v>0</v>
      </c>
      <c r="Q83" s="660">
        <f>'[13]Диспан.набл.взрослых Пр.16- 23'!Q83+'[13]Уточнение Пр.17-23  '!Q83</f>
        <v>0</v>
      </c>
      <c r="R83" s="660">
        <f>'[13]Диспан.набл.взрослых Пр.16- 23'!R83+'[13]Уточнение Пр.17-23  '!R83</f>
        <v>0</v>
      </c>
      <c r="S83" s="660">
        <f t="shared" si="6"/>
        <v>0</v>
      </c>
      <c r="T83" s="659"/>
    </row>
    <row r="84" spans="1:20" ht="24" x14ac:dyDescent="0.25">
      <c r="A84" s="662">
        <v>71</v>
      </c>
      <c r="B84" s="663" t="s">
        <v>155</v>
      </c>
      <c r="C84" s="434" t="s">
        <v>156</v>
      </c>
      <c r="D84" s="660">
        <f t="shared" si="5"/>
        <v>0</v>
      </c>
      <c r="E84" s="660">
        <f>'[13]Диспан.набл.взрослых Пр.16- 23'!E84+'[13]Уточнение Пр.17-23  '!E84</f>
        <v>0</v>
      </c>
      <c r="F84" s="660">
        <f>'[13]Диспан.набл.взрослых Пр.16- 23'!F84+'[13]Уточнение Пр.17-23  '!F84</f>
        <v>0</v>
      </c>
      <c r="G84" s="660">
        <f>'[13]Диспан.набл.взрослых Пр.16- 23'!G84+'[13]Уточнение Пр.17-23  '!G84</f>
        <v>0</v>
      </c>
      <c r="H84" s="660">
        <f>'[13]Диспан.набл.взрослых Пр.16- 23'!H84+'[13]Уточнение Пр.17-23  '!H84</f>
        <v>0</v>
      </c>
      <c r="I84" s="660">
        <f>'[13]Диспан.набл.взрослых Пр.16- 23'!I84+'[13]Уточнение Пр.17-23  '!I84</f>
        <v>0</v>
      </c>
      <c r="J84" s="660">
        <f>'[13]Диспан.набл.взрослых Пр.16- 23'!J84+'[13]Уточнение Пр.17-23  '!J84</f>
        <v>0</v>
      </c>
      <c r="K84" s="660">
        <f>'[13]Диспан.набл.взрослых Пр.16- 23'!K84+'[13]Уточнение Пр.17-23  '!K84</f>
        <v>0</v>
      </c>
      <c r="L84" s="660">
        <f>'[13]Диспан.набл.взрослых Пр.16- 23'!L84+'[13]Уточнение Пр.17-23  '!L84</f>
        <v>0</v>
      </c>
      <c r="M84" s="660">
        <f>'[13]Диспан.набл.взрослых Пр.16- 23'!M84+'[13]Уточнение Пр.17-23  '!M84</f>
        <v>0</v>
      </c>
      <c r="N84" s="660">
        <f>'[13]Диспан.набл.взрослых Пр.16- 23'!N84+'[13]Уточнение Пр.17-23  '!N84</f>
        <v>0</v>
      </c>
      <c r="O84" s="660">
        <f>'[13]Диспан.набл.взрослых Пр.16- 23'!O84+'[13]Уточнение Пр.17-23  '!O84</f>
        <v>0</v>
      </c>
      <c r="P84" s="660">
        <f>'[13]Диспан.набл.взрослых Пр.16- 23'!P84+'[13]Уточнение Пр.17-23  '!P84</f>
        <v>0</v>
      </c>
      <c r="Q84" s="660">
        <f>'[13]Диспан.набл.взрослых Пр.16- 23'!Q84+'[13]Уточнение Пр.17-23  '!Q84</f>
        <v>0</v>
      </c>
      <c r="R84" s="660">
        <f>'[13]Диспан.набл.взрослых Пр.16- 23'!R84+'[13]Уточнение Пр.17-23  '!R84</f>
        <v>0</v>
      </c>
      <c r="S84" s="660">
        <f t="shared" si="6"/>
        <v>0</v>
      </c>
      <c r="T84" s="659"/>
    </row>
    <row r="85" spans="1:20" ht="24" x14ac:dyDescent="0.25">
      <c r="A85" s="662">
        <v>72</v>
      </c>
      <c r="B85" s="663" t="s">
        <v>157</v>
      </c>
      <c r="C85" s="434" t="s">
        <v>158</v>
      </c>
      <c r="D85" s="660">
        <f t="shared" si="5"/>
        <v>10</v>
      </c>
      <c r="E85" s="660">
        <f>'[13]Диспан.набл.взрослых Пр.16- 23'!E85+'[13]Уточнение Пр.17-23  '!E85</f>
        <v>0</v>
      </c>
      <c r="F85" s="660">
        <f>'[13]Диспан.набл.взрослых Пр.16- 23'!F85+'[13]Уточнение Пр.17-23  '!F85</f>
        <v>0</v>
      </c>
      <c r="G85" s="660">
        <f>'[13]Диспан.набл.взрослых Пр.16- 23'!G85+'[13]Уточнение Пр.17-23  '!G85</f>
        <v>0</v>
      </c>
      <c r="H85" s="660">
        <f>'[13]Диспан.набл.взрослых Пр.16- 23'!H85+'[13]Уточнение Пр.17-23  '!H85</f>
        <v>0</v>
      </c>
      <c r="I85" s="660">
        <f>'[13]Диспан.набл.взрослых Пр.16- 23'!I85+'[13]Уточнение Пр.17-23  '!I85</f>
        <v>0</v>
      </c>
      <c r="J85" s="660">
        <f>'[13]Диспан.набл.взрослых Пр.16- 23'!J85+'[13]Уточнение Пр.17-23  '!J85</f>
        <v>0</v>
      </c>
      <c r="K85" s="660">
        <f>'[13]Диспан.набл.взрослых Пр.16- 23'!K85+'[13]Уточнение Пр.17-23  '!K85</f>
        <v>0</v>
      </c>
      <c r="L85" s="660">
        <f>'[13]Диспан.набл.взрослых Пр.16- 23'!L85+'[13]Уточнение Пр.17-23  '!L85</f>
        <v>0</v>
      </c>
      <c r="M85" s="660">
        <f>'[13]Диспан.набл.взрослых Пр.16- 23'!M85+'[13]Уточнение Пр.17-23  '!M85</f>
        <v>0</v>
      </c>
      <c r="N85" s="660">
        <f>'[13]Диспан.набл.взрослых Пр.16- 23'!N85+'[13]Уточнение Пр.17-23  '!N85</f>
        <v>0</v>
      </c>
      <c r="O85" s="660">
        <f>'[13]Диспан.набл.взрослых Пр.16- 23'!O85+'[13]Уточнение Пр.17-23  '!O85</f>
        <v>10</v>
      </c>
      <c r="P85" s="660">
        <f>'[13]Диспан.набл.взрослых Пр.16- 23'!P85+'[13]Уточнение Пр.17-23  '!P85</f>
        <v>0</v>
      </c>
      <c r="Q85" s="660">
        <f>'[13]Диспан.набл.взрослых Пр.16- 23'!Q85+'[13]Уточнение Пр.17-23  '!Q85</f>
        <v>0</v>
      </c>
      <c r="R85" s="660">
        <f>'[13]Диспан.набл.взрослых Пр.16- 23'!R85+'[13]Уточнение Пр.17-23  '!R85</f>
        <v>0</v>
      </c>
      <c r="S85" s="660">
        <f t="shared" si="6"/>
        <v>0</v>
      </c>
      <c r="T85" s="659"/>
    </row>
    <row r="86" spans="1:20" ht="24" x14ac:dyDescent="0.25">
      <c r="A86" s="662">
        <v>73</v>
      </c>
      <c r="B86" s="663" t="s">
        <v>159</v>
      </c>
      <c r="C86" s="434" t="s">
        <v>160</v>
      </c>
      <c r="D86" s="660">
        <f t="shared" si="5"/>
        <v>0</v>
      </c>
      <c r="E86" s="660">
        <f>'[13]Диспан.набл.взрослых Пр.16- 23'!E86+'[13]Уточнение Пр.17-23  '!E86</f>
        <v>0</v>
      </c>
      <c r="F86" s="660">
        <f>'[13]Диспан.набл.взрослых Пр.16- 23'!F86+'[13]Уточнение Пр.17-23  '!F86</f>
        <v>0</v>
      </c>
      <c r="G86" s="660">
        <f>'[13]Диспан.набл.взрослых Пр.16- 23'!G86+'[13]Уточнение Пр.17-23  '!G86</f>
        <v>0</v>
      </c>
      <c r="H86" s="660">
        <f>'[13]Диспан.набл.взрослых Пр.16- 23'!H86+'[13]Уточнение Пр.17-23  '!H86</f>
        <v>0</v>
      </c>
      <c r="I86" s="660">
        <f>'[13]Диспан.набл.взрослых Пр.16- 23'!I86+'[13]Уточнение Пр.17-23  '!I86</f>
        <v>0</v>
      </c>
      <c r="J86" s="660">
        <f>'[13]Диспан.набл.взрослых Пр.16- 23'!J86+'[13]Уточнение Пр.17-23  '!J86</f>
        <v>0</v>
      </c>
      <c r="K86" s="660">
        <f>'[13]Диспан.набл.взрослых Пр.16- 23'!K86+'[13]Уточнение Пр.17-23  '!K86</f>
        <v>0</v>
      </c>
      <c r="L86" s="660">
        <f>'[13]Диспан.набл.взрослых Пр.16- 23'!L86+'[13]Уточнение Пр.17-23  '!L86</f>
        <v>0</v>
      </c>
      <c r="M86" s="660">
        <f>'[13]Диспан.набл.взрослых Пр.16- 23'!M86+'[13]Уточнение Пр.17-23  '!M86</f>
        <v>0</v>
      </c>
      <c r="N86" s="660">
        <f>'[13]Диспан.набл.взрослых Пр.16- 23'!N86+'[13]Уточнение Пр.17-23  '!N86</f>
        <v>0</v>
      </c>
      <c r="O86" s="660">
        <f>'[13]Диспан.набл.взрослых Пр.16- 23'!O86+'[13]Уточнение Пр.17-23  '!O86</f>
        <v>0</v>
      </c>
      <c r="P86" s="660">
        <f>'[13]Диспан.набл.взрослых Пр.16- 23'!P86+'[13]Уточнение Пр.17-23  '!P86</f>
        <v>0</v>
      </c>
      <c r="Q86" s="660">
        <f>'[13]Диспан.набл.взрослых Пр.16- 23'!Q86+'[13]Уточнение Пр.17-23  '!Q86</f>
        <v>0</v>
      </c>
      <c r="R86" s="660">
        <f>'[13]Диспан.набл.взрослых Пр.16- 23'!R86+'[13]Уточнение Пр.17-23  '!R86</f>
        <v>0</v>
      </c>
      <c r="S86" s="660">
        <f t="shared" si="6"/>
        <v>0</v>
      </c>
      <c r="T86" s="659"/>
    </row>
    <row r="87" spans="1:20" x14ac:dyDescent="0.25">
      <c r="A87" s="662">
        <v>74</v>
      </c>
      <c r="B87" s="666" t="s">
        <v>161</v>
      </c>
      <c r="C87" s="434" t="s">
        <v>162</v>
      </c>
      <c r="D87" s="660">
        <f t="shared" si="5"/>
        <v>25904</v>
      </c>
      <c r="E87" s="660">
        <f>'[13]Диспан.набл.взрослых Пр.16- 23'!E87+'[13]Уточнение Пр.17-23  '!E87</f>
        <v>22627</v>
      </c>
      <c r="F87" s="660">
        <f>'[13]Диспан.набл.взрослых Пр.16- 23'!F87+'[13]Уточнение Пр.17-23  '!F87</f>
        <v>1453</v>
      </c>
      <c r="G87" s="660">
        <f>'[13]Диспан.набл.взрослых Пр.16- 23'!G87+'[13]Уточнение Пр.17-23  '!G87</f>
        <v>1012</v>
      </c>
      <c r="H87" s="660">
        <f>'[13]Диспан.набл.взрослых Пр.16- 23'!H87+'[13]Уточнение Пр.17-23  '!H87</f>
        <v>424</v>
      </c>
      <c r="I87" s="660">
        <f>'[13]Диспан.набл.взрослых Пр.16- 23'!I87+'[13]Уточнение Пр.17-23  '!I87</f>
        <v>0</v>
      </c>
      <c r="J87" s="660">
        <f>'[13]Диспан.набл.взрослых Пр.16- 23'!J87+'[13]Уточнение Пр.17-23  '!J87</f>
        <v>0</v>
      </c>
      <c r="K87" s="660">
        <f>'[13]Диспан.набл.взрослых Пр.16- 23'!K87+'[13]Уточнение Пр.17-23  '!K87</f>
        <v>40</v>
      </c>
      <c r="L87" s="660">
        <f>'[13]Диспан.набл.взрослых Пр.16- 23'!L87+'[13]Уточнение Пр.17-23  '!L87</f>
        <v>4</v>
      </c>
      <c r="M87" s="660">
        <f>'[13]Диспан.набл.взрослых Пр.16- 23'!M87+'[13]Уточнение Пр.17-23  '!M87</f>
        <v>1</v>
      </c>
      <c r="N87" s="660">
        <f>'[13]Диспан.набл.взрослых Пр.16- 23'!N87+'[13]Уточнение Пр.17-23  '!N87</f>
        <v>65</v>
      </c>
      <c r="O87" s="660">
        <f>'[13]Диспан.набл.взрослых Пр.16- 23'!O87+'[13]Уточнение Пр.17-23  '!O87</f>
        <v>3</v>
      </c>
      <c r="P87" s="660">
        <f>'[13]Диспан.набл.взрослых Пр.16- 23'!P87+'[13]Уточнение Пр.17-23  '!P87</f>
        <v>0</v>
      </c>
      <c r="Q87" s="660">
        <f>'[13]Диспан.набл.взрослых Пр.16- 23'!Q87+'[13]Уточнение Пр.17-23  '!Q87</f>
        <v>274</v>
      </c>
      <c r="R87" s="660">
        <f>'[13]Диспан.набл.взрослых Пр.16- 23'!R87+'[13]Уточнение Пр.17-23  '!R87</f>
        <v>1</v>
      </c>
      <c r="S87" s="660">
        <f t="shared" si="6"/>
        <v>22627</v>
      </c>
      <c r="T87" s="659"/>
    </row>
    <row r="88" spans="1:20" x14ac:dyDescent="0.25">
      <c r="A88" s="662">
        <v>75</v>
      </c>
      <c r="B88" s="663" t="s">
        <v>163</v>
      </c>
      <c r="C88" s="434" t="s">
        <v>164</v>
      </c>
      <c r="D88" s="660">
        <f t="shared" si="5"/>
        <v>37113</v>
      </c>
      <c r="E88" s="660">
        <f>'[13]Диспан.набл.взрослых Пр.16- 23'!E88+'[13]Уточнение Пр.17-23  '!E88</f>
        <v>30896</v>
      </c>
      <c r="F88" s="660">
        <f>'[13]Диспан.набл.взрослых Пр.16- 23'!F88+'[13]Уточнение Пр.17-23  '!F88</f>
        <v>4660</v>
      </c>
      <c r="G88" s="660">
        <f>'[13]Диспан.набл.взрослых Пр.16- 23'!G88+'[13]Уточнение Пр.17-23  '!G88</f>
        <v>431</v>
      </c>
      <c r="H88" s="660">
        <f>'[13]Диспан.набл.взрослых Пр.16- 23'!H88+'[13]Уточнение Пр.17-23  '!H88</f>
        <v>520</v>
      </c>
      <c r="I88" s="660">
        <f>'[13]Диспан.набл.взрослых Пр.16- 23'!I88+'[13]Уточнение Пр.17-23  '!I88</f>
        <v>1</v>
      </c>
      <c r="J88" s="660">
        <f>'[13]Диспан.набл.взрослых Пр.16- 23'!J88+'[13]Уточнение Пр.17-23  '!J88</f>
        <v>1</v>
      </c>
      <c r="K88" s="660">
        <f>'[13]Диспан.набл.взрослых Пр.16- 23'!K88+'[13]Уточнение Пр.17-23  '!K88</f>
        <v>1</v>
      </c>
      <c r="L88" s="660">
        <f>'[13]Диспан.набл.взрослых Пр.16- 23'!L88+'[13]Уточнение Пр.17-23  '!L88</f>
        <v>2</v>
      </c>
      <c r="M88" s="660">
        <f>'[13]Диспан.набл.взрослых Пр.16- 23'!M88+'[13]Уточнение Пр.17-23  '!M88</f>
        <v>34</v>
      </c>
      <c r="N88" s="660">
        <f>'[13]Диспан.набл.взрослых Пр.16- 23'!N88+'[13]Уточнение Пр.17-23  '!N88</f>
        <v>209</v>
      </c>
      <c r="O88" s="660">
        <f>'[13]Диспан.набл.взрослых Пр.16- 23'!O88+'[13]Уточнение Пр.17-23  '!O88</f>
        <v>0</v>
      </c>
      <c r="P88" s="660">
        <f>'[13]Диспан.набл.взрослых Пр.16- 23'!P88+'[13]Уточнение Пр.17-23  '!P88</f>
        <v>18</v>
      </c>
      <c r="Q88" s="660">
        <f>'[13]Диспан.набл.взрослых Пр.16- 23'!Q88+'[13]Уточнение Пр.17-23  '!Q88</f>
        <v>281</v>
      </c>
      <c r="R88" s="660">
        <f>'[13]Диспан.набл.взрослых Пр.16- 23'!R88+'[13]Уточнение Пр.17-23  '!R88</f>
        <v>59</v>
      </c>
      <c r="S88" s="660">
        <f t="shared" si="6"/>
        <v>30896</v>
      </c>
      <c r="T88" s="659"/>
    </row>
    <row r="89" spans="1:20" x14ac:dyDescent="0.25">
      <c r="A89" s="662">
        <v>76</v>
      </c>
      <c r="B89" s="666" t="s">
        <v>165</v>
      </c>
      <c r="C89" s="434" t="s">
        <v>166</v>
      </c>
      <c r="D89" s="660">
        <f t="shared" si="5"/>
        <v>31971</v>
      </c>
      <c r="E89" s="660">
        <f>'[13]Диспан.набл.взрослых Пр.16- 23'!E89+'[13]Уточнение Пр.17-23  '!E89</f>
        <v>28302</v>
      </c>
      <c r="F89" s="660">
        <f>'[13]Диспан.набл.взрослых Пр.16- 23'!F89+'[13]Уточнение Пр.17-23  '!F89</f>
        <v>1137</v>
      </c>
      <c r="G89" s="660">
        <f>'[13]Диспан.набл.взрослых Пр.16- 23'!G89+'[13]Уточнение Пр.17-23  '!G89</f>
        <v>1966</v>
      </c>
      <c r="H89" s="660">
        <f>'[13]Диспан.набл.взрослых Пр.16- 23'!H89+'[13]Уточнение Пр.17-23  '!H89</f>
        <v>291</v>
      </c>
      <c r="I89" s="660">
        <f>'[13]Диспан.набл.взрослых Пр.16- 23'!I89+'[13]Уточнение Пр.17-23  '!I89</f>
        <v>1</v>
      </c>
      <c r="J89" s="660">
        <f>'[13]Диспан.набл.взрослых Пр.16- 23'!J89+'[13]Уточнение Пр.17-23  '!J89</f>
        <v>0</v>
      </c>
      <c r="K89" s="660">
        <f>'[13]Диспан.набл.взрослых Пр.16- 23'!K89+'[13]Уточнение Пр.17-23  '!K89</f>
        <v>13</v>
      </c>
      <c r="L89" s="660">
        <f>'[13]Диспан.набл.взрослых Пр.16- 23'!L89+'[13]Уточнение Пр.17-23  '!L89</f>
        <v>2</v>
      </c>
      <c r="M89" s="660">
        <f>'[13]Диспан.набл.взрослых Пр.16- 23'!M89+'[13]Уточнение Пр.17-23  '!M89</f>
        <v>1</v>
      </c>
      <c r="N89" s="660">
        <f>'[13]Диспан.набл.взрослых Пр.16- 23'!N89+'[13]Уточнение Пр.17-23  '!N89</f>
        <v>130</v>
      </c>
      <c r="O89" s="660">
        <f>'[13]Диспан.набл.взрослых Пр.16- 23'!O89+'[13]Уточнение Пр.17-23  '!O89</f>
        <v>9</v>
      </c>
      <c r="P89" s="660">
        <f>'[13]Диспан.набл.взрослых Пр.16- 23'!P89+'[13]Уточнение Пр.17-23  '!P89</f>
        <v>0</v>
      </c>
      <c r="Q89" s="660">
        <f>'[13]Диспан.набл.взрослых Пр.16- 23'!Q89+'[13]Уточнение Пр.17-23  '!Q89</f>
        <v>112</v>
      </c>
      <c r="R89" s="660">
        <f>'[13]Диспан.набл.взрослых Пр.16- 23'!R89+'[13]Уточнение Пр.17-23  '!R89</f>
        <v>7</v>
      </c>
      <c r="S89" s="660">
        <f t="shared" si="6"/>
        <v>28302</v>
      </c>
      <c r="T89" s="659"/>
    </row>
    <row r="90" spans="1:20" x14ac:dyDescent="0.25">
      <c r="A90" s="662">
        <v>77</v>
      </c>
      <c r="B90" s="667" t="s">
        <v>167</v>
      </c>
      <c r="C90" s="1" t="s">
        <v>168</v>
      </c>
      <c r="D90" s="660">
        <f t="shared" si="5"/>
        <v>10306</v>
      </c>
      <c r="E90" s="660">
        <f>'[13]Диспан.набл.взрослых Пр.16- 23'!E90+'[13]Уточнение Пр.17-23  '!E90</f>
        <v>9878</v>
      </c>
      <c r="F90" s="660">
        <f>'[13]Диспан.набл.взрослых Пр.16- 23'!F90+'[13]Уточнение Пр.17-23  '!F90</f>
        <v>49</v>
      </c>
      <c r="G90" s="660">
        <f>'[13]Диспан.набл.взрослых Пр.16- 23'!G90+'[13]Уточнение Пр.17-23  '!G90</f>
        <v>150</v>
      </c>
      <c r="H90" s="660">
        <f>'[13]Диспан.набл.взрослых Пр.16- 23'!H90+'[13]Уточнение Пр.17-23  '!H90</f>
        <v>35</v>
      </c>
      <c r="I90" s="660">
        <f>'[13]Диспан.набл.взрослых Пр.16- 23'!I90+'[13]Уточнение Пр.17-23  '!I90</f>
        <v>0</v>
      </c>
      <c r="J90" s="660">
        <f>'[13]Диспан.набл.взрослых Пр.16- 23'!J90+'[13]Уточнение Пр.17-23  '!J90</f>
        <v>1</v>
      </c>
      <c r="K90" s="660">
        <f>'[13]Диспан.набл.взрослых Пр.16- 23'!K90+'[13]Уточнение Пр.17-23  '!K90</f>
        <v>13</v>
      </c>
      <c r="L90" s="660">
        <f>'[13]Диспан.набл.взрослых Пр.16- 23'!L90+'[13]Уточнение Пр.17-23  '!L90</f>
        <v>0</v>
      </c>
      <c r="M90" s="660">
        <f>'[13]Диспан.набл.взрослых Пр.16- 23'!M90+'[13]Уточнение Пр.17-23  '!M90</f>
        <v>0</v>
      </c>
      <c r="N90" s="660">
        <f>'[13]Диспан.набл.взрослых Пр.16- 23'!N90+'[13]Уточнение Пр.17-23  '!N90</f>
        <v>0</v>
      </c>
      <c r="O90" s="660">
        <f>'[13]Диспан.набл.взрослых Пр.16- 23'!O90+'[13]Уточнение Пр.17-23  '!O90</f>
        <v>13</v>
      </c>
      <c r="P90" s="660">
        <f>'[13]Диспан.набл.взрослых Пр.16- 23'!P90+'[13]Уточнение Пр.17-23  '!P90</f>
        <v>0</v>
      </c>
      <c r="Q90" s="660">
        <f>'[13]Диспан.набл.взрослых Пр.16- 23'!Q90+'[13]Уточнение Пр.17-23  '!Q90</f>
        <v>167</v>
      </c>
      <c r="R90" s="660">
        <f>'[13]Диспан.набл.взрослых Пр.16- 23'!R90+'[13]Уточнение Пр.17-23  '!R90</f>
        <v>0</v>
      </c>
      <c r="S90" s="660">
        <f t="shared" si="6"/>
        <v>9878</v>
      </c>
      <c r="T90" s="659"/>
    </row>
    <row r="91" spans="1:20" x14ac:dyDescent="0.25">
      <c r="A91" s="662">
        <v>78</v>
      </c>
      <c r="B91" s="663" t="s">
        <v>169</v>
      </c>
      <c r="C91" s="434" t="s">
        <v>170</v>
      </c>
      <c r="D91" s="660">
        <f t="shared" si="5"/>
        <v>58440</v>
      </c>
      <c r="E91" s="660">
        <f>'[13]Диспан.набл.взрослых Пр.16- 23'!E91+'[13]Уточнение Пр.17-23  '!E91</f>
        <v>52894</v>
      </c>
      <c r="F91" s="660">
        <f>'[13]Диспан.набл.взрослых Пр.16- 23'!F91+'[13]Уточнение Пр.17-23  '!F91</f>
        <v>4321</v>
      </c>
      <c r="G91" s="660">
        <f>'[13]Диспан.набл.взрослых Пр.16- 23'!G91+'[13]Уточнение Пр.17-23  '!G91</f>
        <v>640</v>
      </c>
      <c r="H91" s="660">
        <f>'[13]Диспан.набл.взрослых Пр.16- 23'!H91+'[13]Уточнение Пр.17-23  '!H91</f>
        <v>221</v>
      </c>
      <c r="I91" s="660">
        <f>'[13]Диспан.набл.взрослых Пр.16- 23'!I91+'[13]Уточнение Пр.17-23  '!I91</f>
        <v>0</v>
      </c>
      <c r="J91" s="660">
        <f>'[13]Диспан.набл.взрослых Пр.16- 23'!J91+'[13]Уточнение Пр.17-23  '!J91</f>
        <v>0</v>
      </c>
      <c r="K91" s="660">
        <f>'[13]Диспан.набл.взрослых Пр.16- 23'!K91+'[13]Уточнение Пр.17-23  '!K91</f>
        <v>9</v>
      </c>
      <c r="L91" s="660">
        <f>'[13]Диспан.набл.взрослых Пр.16- 23'!L91+'[13]Уточнение Пр.17-23  '!L91</f>
        <v>10</v>
      </c>
      <c r="M91" s="660">
        <f>'[13]Диспан.набл.взрослых Пр.16- 23'!M91+'[13]Уточнение Пр.17-23  '!M91</f>
        <v>1</v>
      </c>
      <c r="N91" s="660">
        <f>'[13]Диспан.набл.взрослых Пр.16- 23'!N91+'[13]Уточнение Пр.17-23  '!N91</f>
        <v>116</v>
      </c>
      <c r="O91" s="660">
        <f>'[13]Диспан.набл.взрослых Пр.16- 23'!O91+'[13]Уточнение Пр.17-23  '!O91</f>
        <v>8</v>
      </c>
      <c r="P91" s="660">
        <f>'[13]Диспан.набл.взрослых Пр.16- 23'!P91+'[13]Уточнение Пр.17-23  '!P91</f>
        <v>0</v>
      </c>
      <c r="Q91" s="660">
        <f>'[13]Диспан.набл.взрослых Пр.16- 23'!Q91+'[13]Уточнение Пр.17-23  '!Q91</f>
        <v>177</v>
      </c>
      <c r="R91" s="660">
        <f>'[13]Диспан.набл.взрослых Пр.16- 23'!R91+'[13]Уточнение Пр.17-23  '!R91</f>
        <v>43</v>
      </c>
      <c r="S91" s="660">
        <f t="shared" si="6"/>
        <v>52894</v>
      </c>
      <c r="T91" s="659"/>
    </row>
    <row r="92" spans="1:20" x14ac:dyDescent="0.25">
      <c r="A92" s="662">
        <v>79</v>
      </c>
      <c r="B92" s="667" t="s">
        <v>171</v>
      </c>
      <c r="C92" s="1" t="s">
        <v>172</v>
      </c>
      <c r="D92" s="660">
        <f t="shared" si="5"/>
        <v>0</v>
      </c>
      <c r="E92" s="660">
        <f>'[13]Диспан.набл.взрослых Пр.16- 23'!E92+'[13]Уточнение Пр.17-23  '!E92</f>
        <v>0</v>
      </c>
      <c r="F92" s="660">
        <f>'[13]Диспан.набл.взрослых Пр.16- 23'!F92+'[13]Уточнение Пр.17-23  '!F92</f>
        <v>0</v>
      </c>
      <c r="G92" s="660">
        <f>'[13]Диспан.набл.взрослых Пр.16- 23'!G92+'[13]Уточнение Пр.17-23  '!G92</f>
        <v>0</v>
      </c>
      <c r="H92" s="660">
        <f>'[13]Диспан.набл.взрослых Пр.16- 23'!H92+'[13]Уточнение Пр.17-23  '!H92</f>
        <v>0</v>
      </c>
      <c r="I92" s="660">
        <f>'[13]Диспан.набл.взрослых Пр.16- 23'!I92+'[13]Уточнение Пр.17-23  '!I92</f>
        <v>0</v>
      </c>
      <c r="J92" s="660">
        <f>'[13]Диспан.набл.взрослых Пр.16- 23'!J92+'[13]Уточнение Пр.17-23  '!J92</f>
        <v>0</v>
      </c>
      <c r="K92" s="660">
        <f>'[13]Диспан.набл.взрослых Пр.16- 23'!K92+'[13]Уточнение Пр.17-23  '!K92</f>
        <v>0</v>
      </c>
      <c r="L92" s="660">
        <f>'[13]Диспан.набл.взрослых Пр.16- 23'!L92+'[13]Уточнение Пр.17-23  '!L92</f>
        <v>0</v>
      </c>
      <c r="M92" s="660">
        <f>'[13]Диспан.набл.взрослых Пр.16- 23'!M92+'[13]Уточнение Пр.17-23  '!M92</f>
        <v>0</v>
      </c>
      <c r="N92" s="660">
        <f>'[13]Диспан.набл.взрослых Пр.16- 23'!N92+'[13]Уточнение Пр.17-23  '!N92</f>
        <v>0</v>
      </c>
      <c r="O92" s="660">
        <f>'[13]Диспан.набл.взрослых Пр.16- 23'!O92+'[13]Уточнение Пр.17-23  '!O92</f>
        <v>0</v>
      </c>
      <c r="P92" s="660">
        <f>'[13]Диспан.набл.взрослых Пр.16- 23'!P92+'[13]Уточнение Пр.17-23  '!P92</f>
        <v>0</v>
      </c>
      <c r="Q92" s="660">
        <f>'[13]Диспан.набл.взрослых Пр.16- 23'!Q92+'[13]Уточнение Пр.17-23  '!Q92</f>
        <v>0</v>
      </c>
      <c r="R92" s="660">
        <f>'[13]Диспан.набл.взрослых Пр.16- 23'!R92+'[13]Уточнение Пр.17-23  '!R92</f>
        <v>0</v>
      </c>
      <c r="S92" s="660">
        <f t="shared" si="6"/>
        <v>0</v>
      </c>
      <c r="T92" s="659"/>
    </row>
    <row r="93" spans="1:20" x14ac:dyDescent="0.25">
      <c r="A93" s="662">
        <v>80</v>
      </c>
      <c r="B93" s="663" t="s">
        <v>173</v>
      </c>
      <c r="C93" s="434" t="s">
        <v>174</v>
      </c>
      <c r="D93" s="660">
        <f t="shared" si="5"/>
        <v>37572</v>
      </c>
      <c r="E93" s="660">
        <f>'[13]Диспан.набл.взрослых Пр.16- 23'!E93+'[13]Уточнение Пр.17-23  '!E93</f>
        <v>32003</v>
      </c>
      <c r="F93" s="660">
        <f>'[13]Диспан.набл.взрослых Пр.16- 23'!F93+'[13]Уточнение Пр.17-23  '!F93</f>
        <v>4187</v>
      </c>
      <c r="G93" s="660">
        <f>'[13]Диспан.набл.взрослых Пр.16- 23'!G93+'[13]Уточнение Пр.17-23  '!G93</f>
        <v>920</v>
      </c>
      <c r="H93" s="660">
        <f>'[13]Диспан.набл.взрослых Пр.16- 23'!H93+'[13]Уточнение Пр.17-23  '!H93</f>
        <v>124</v>
      </c>
      <c r="I93" s="660">
        <f>'[13]Диспан.набл.взрослых Пр.16- 23'!I93+'[13]Уточнение Пр.17-23  '!I93</f>
        <v>0</v>
      </c>
      <c r="J93" s="660">
        <f>'[13]Диспан.набл.взрослых Пр.16- 23'!J93+'[13]Уточнение Пр.17-23  '!J93</f>
        <v>0</v>
      </c>
      <c r="K93" s="660">
        <f>'[13]Диспан.набл.взрослых Пр.16- 23'!K93+'[13]Уточнение Пр.17-23  '!K93</f>
        <v>22</v>
      </c>
      <c r="L93" s="660">
        <f>'[13]Диспан.набл.взрослых Пр.16- 23'!L93+'[13]Уточнение Пр.17-23  '!L93</f>
        <v>1</v>
      </c>
      <c r="M93" s="660">
        <f>'[13]Диспан.набл.взрослых Пр.16- 23'!M93+'[13]Уточнение Пр.17-23  '!M93</f>
        <v>2</v>
      </c>
      <c r="N93" s="660">
        <f>'[13]Диспан.набл.взрослых Пр.16- 23'!N93+'[13]Уточнение Пр.17-23  '!N93</f>
        <v>143</v>
      </c>
      <c r="O93" s="660">
        <f>'[13]Диспан.набл.взрослых Пр.16- 23'!O93+'[13]Уточнение Пр.17-23  '!O93</f>
        <v>2</v>
      </c>
      <c r="P93" s="660">
        <f>'[13]Диспан.набл.взрослых Пр.16- 23'!P93+'[13]Уточнение Пр.17-23  '!P93</f>
        <v>46</v>
      </c>
      <c r="Q93" s="660">
        <f>'[13]Диспан.набл.взрослых Пр.16- 23'!Q93+'[13]Уточнение Пр.17-23  '!Q93</f>
        <v>91</v>
      </c>
      <c r="R93" s="660">
        <f>'[13]Диспан.набл.взрослых Пр.16- 23'!R93+'[13]Уточнение Пр.17-23  '!R93</f>
        <v>31</v>
      </c>
      <c r="S93" s="660">
        <f t="shared" si="6"/>
        <v>32003</v>
      </c>
      <c r="T93" s="659"/>
    </row>
    <row r="94" spans="1:20" x14ac:dyDescent="0.25">
      <c r="A94" s="662">
        <v>81</v>
      </c>
      <c r="B94" s="667" t="s">
        <v>175</v>
      </c>
      <c r="C94" s="1" t="s">
        <v>742</v>
      </c>
      <c r="D94" s="660">
        <f t="shared" si="5"/>
        <v>0</v>
      </c>
      <c r="E94" s="660">
        <f>'[13]Диспан.набл.взрослых Пр.16- 23'!E94+'[13]Уточнение Пр.17-23  '!E94</f>
        <v>0</v>
      </c>
      <c r="F94" s="660">
        <f>'[13]Диспан.набл.взрослых Пр.16- 23'!F94+'[13]Уточнение Пр.17-23  '!F94</f>
        <v>0</v>
      </c>
      <c r="G94" s="660">
        <f>'[13]Диспан.набл.взрослых Пр.16- 23'!G94+'[13]Уточнение Пр.17-23  '!G94</f>
        <v>0</v>
      </c>
      <c r="H94" s="660">
        <f>'[13]Диспан.набл.взрослых Пр.16- 23'!H94+'[13]Уточнение Пр.17-23  '!H94</f>
        <v>0</v>
      </c>
      <c r="I94" s="660">
        <f>'[13]Диспан.набл.взрослых Пр.16- 23'!I94+'[13]Уточнение Пр.17-23  '!I94</f>
        <v>0</v>
      </c>
      <c r="J94" s="660">
        <f>'[13]Диспан.набл.взрослых Пр.16- 23'!J94+'[13]Уточнение Пр.17-23  '!J94</f>
        <v>0</v>
      </c>
      <c r="K94" s="660">
        <f>'[13]Диспан.набл.взрослых Пр.16- 23'!K94+'[13]Уточнение Пр.17-23  '!K94</f>
        <v>0</v>
      </c>
      <c r="L94" s="660">
        <f>'[13]Диспан.набл.взрослых Пр.16- 23'!L94+'[13]Уточнение Пр.17-23  '!L94</f>
        <v>0</v>
      </c>
      <c r="M94" s="660">
        <f>'[13]Диспан.набл.взрослых Пр.16- 23'!M94+'[13]Уточнение Пр.17-23  '!M94</f>
        <v>0</v>
      </c>
      <c r="N94" s="660">
        <f>'[13]Диспан.набл.взрослых Пр.16- 23'!N94+'[13]Уточнение Пр.17-23  '!N94</f>
        <v>0</v>
      </c>
      <c r="O94" s="660">
        <f>'[13]Диспан.набл.взрослых Пр.16- 23'!O94+'[13]Уточнение Пр.17-23  '!O94</f>
        <v>0</v>
      </c>
      <c r="P94" s="660">
        <f>'[13]Диспан.набл.взрослых Пр.16- 23'!P94+'[13]Уточнение Пр.17-23  '!P94</f>
        <v>0</v>
      </c>
      <c r="Q94" s="660">
        <f>'[13]Диспан.набл.взрослых Пр.16- 23'!Q94+'[13]Уточнение Пр.17-23  '!Q94</f>
        <v>0</v>
      </c>
      <c r="R94" s="660">
        <f>'[13]Диспан.набл.взрослых Пр.16- 23'!R94+'[13]Уточнение Пр.17-23  '!R94</f>
        <v>0</v>
      </c>
      <c r="S94" s="660">
        <f t="shared" si="6"/>
        <v>0</v>
      </c>
      <c r="T94" s="659"/>
    </row>
    <row r="95" spans="1:20" x14ac:dyDescent="0.25">
      <c r="A95" s="662">
        <v>82</v>
      </c>
      <c r="B95" s="665" t="s">
        <v>177</v>
      </c>
      <c r="C95" s="434" t="s">
        <v>378</v>
      </c>
      <c r="D95" s="660">
        <f t="shared" si="5"/>
        <v>0</v>
      </c>
      <c r="E95" s="660">
        <f>'[13]Диспан.набл.взрослых Пр.16- 23'!E95+'[13]Уточнение Пр.17-23  '!E95</f>
        <v>0</v>
      </c>
      <c r="F95" s="660">
        <f>'[13]Диспан.набл.взрослых Пр.16- 23'!F95+'[13]Уточнение Пр.17-23  '!F95</f>
        <v>0</v>
      </c>
      <c r="G95" s="660">
        <f>'[13]Диспан.набл.взрослых Пр.16- 23'!G95+'[13]Уточнение Пр.17-23  '!G95</f>
        <v>0</v>
      </c>
      <c r="H95" s="660">
        <f>'[13]Диспан.набл.взрослых Пр.16- 23'!H95+'[13]Уточнение Пр.17-23  '!H95</f>
        <v>0</v>
      </c>
      <c r="I95" s="660">
        <f>'[13]Диспан.набл.взрослых Пр.16- 23'!I95+'[13]Уточнение Пр.17-23  '!I95</f>
        <v>0</v>
      </c>
      <c r="J95" s="660">
        <f>'[13]Диспан.набл.взрослых Пр.16- 23'!J95+'[13]Уточнение Пр.17-23  '!J95</f>
        <v>0</v>
      </c>
      <c r="K95" s="660">
        <f>'[13]Диспан.набл.взрослых Пр.16- 23'!K95+'[13]Уточнение Пр.17-23  '!K95</f>
        <v>0</v>
      </c>
      <c r="L95" s="660">
        <f>'[13]Диспан.набл.взрослых Пр.16- 23'!L95+'[13]Уточнение Пр.17-23  '!L95</f>
        <v>0</v>
      </c>
      <c r="M95" s="660">
        <f>'[13]Диспан.набл.взрослых Пр.16- 23'!M95+'[13]Уточнение Пр.17-23  '!M95</f>
        <v>0</v>
      </c>
      <c r="N95" s="660">
        <f>'[13]Диспан.набл.взрослых Пр.16- 23'!N95+'[13]Уточнение Пр.17-23  '!N95</f>
        <v>0</v>
      </c>
      <c r="O95" s="660">
        <f>'[13]Диспан.набл.взрослых Пр.16- 23'!O95+'[13]Уточнение Пр.17-23  '!O95</f>
        <v>0</v>
      </c>
      <c r="P95" s="660">
        <f>'[13]Диспан.набл.взрослых Пр.16- 23'!P95+'[13]Уточнение Пр.17-23  '!P95</f>
        <v>0</v>
      </c>
      <c r="Q95" s="660">
        <f>'[13]Диспан.набл.взрослых Пр.16- 23'!Q95+'[13]Уточнение Пр.17-23  '!Q95</f>
        <v>0</v>
      </c>
      <c r="R95" s="660">
        <f>'[13]Диспан.набл.взрослых Пр.16- 23'!R95+'[13]Уточнение Пр.17-23  '!R95</f>
        <v>0</v>
      </c>
      <c r="S95" s="660">
        <f t="shared" si="6"/>
        <v>0</v>
      </c>
      <c r="T95" s="659"/>
    </row>
    <row r="96" spans="1:20" ht="48" x14ac:dyDescent="0.25">
      <c r="A96" s="1152">
        <v>83</v>
      </c>
      <c r="B96" s="1155" t="s">
        <v>178</v>
      </c>
      <c r="C96" s="1" t="s">
        <v>740</v>
      </c>
      <c r="D96" s="660">
        <f t="shared" si="5"/>
        <v>194</v>
      </c>
      <c r="E96" s="660">
        <f>'[13]Диспан.набл.взрослых Пр.16- 23'!E96+'[13]Уточнение Пр.17-23  '!E96</f>
        <v>154</v>
      </c>
      <c r="F96" s="660">
        <f>'[13]Диспан.набл.взрослых Пр.16- 23'!F96+'[13]Уточнение Пр.17-23  '!F96</f>
        <v>38</v>
      </c>
      <c r="G96" s="660">
        <f>'[13]Диспан.набл.взрослых Пр.16- 23'!G96+'[13]Уточнение Пр.17-23  '!G96</f>
        <v>0</v>
      </c>
      <c r="H96" s="660">
        <f>'[13]Диспан.набл.взрослых Пр.16- 23'!H96+'[13]Уточнение Пр.17-23  '!H96</f>
        <v>0</v>
      </c>
      <c r="I96" s="660">
        <f>'[13]Диспан.набл.взрослых Пр.16- 23'!I96+'[13]Уточнение Пр.17-23  '!I96</f>
        <v>0</v>
      </c>
      <c r="J96" s="660">
        <f>'[13]Диспан.набл.взрослых Пр.16- 23'!J96+'[13]Уточнение Пр.17-23  '!J96</f>
        <v>0</v>
      </c>
      <c r="K96" s="660">
        <f>'[13]Диспан.набл.взрослых Пр.16- 23'!K96+'[13]Уточнение Пр.17-23  '!K96</f>
        <v>0</v>
      </c>
      <c r="L96" s="660">
        <f>'[13]Диспан.набл.взрослых Пр.16- 23'!L96+'[13]Уточнение Пр.17-23  '!L96</f>
        <v>0</v>
      </c>
      <c r="M96" s="660">
        <f>'[13]Диспан.набл.взрослых Пр.16- 23'!M96+'[13]Уточнение Пр.17-23  '!M96</f>
        <v>0</v>
      </c>
      <c r="N96" s="660">
        <f>'[13]Диспан.набл.взрослых Пр.16- 23'!N96+'[13]Уточнение Пр.17-23  '!N96</f>
        <v>0</v>
      </c>
      <c r="O96" s="660">
        <f>'[13]Диспан.набл.взрослых Пр.16- 23'!O96+'[13]Уточнение Пр.17-23  '!O96</f>
        <v>0</v>
      </c>
      <c r="P96" s="660">
        <f>'[13]Диспан.набл.взрослых Пр.16- 23'!P96+'[13]Уточнение Пр.17-23  '!P96</f>
        <v>0</v>
      </c>
      <c r="Q96" s="660">
        <f>'[13]Диспан.набл.взрослых Пр.16- 23'!Q96+'[13]Уточнение Пр.17-23  '!Q96</f>
        <v>2</v>
      </c>
      <c r="R96" s="660">
        <f>'[13]Диспан.набл.взрослых Пр.16- 23'!R96+'[13]Уточнение Пр.17-23  '!R96</f>
        <v>0</v>
      </c>
      <c r="S96" s="660">
        <f t="shared" si="6"/>
        <v>154</v>
      </c>
      <c r="T96" s="659"/>
    </row>
    <row r="97" spans="1:20" ht="24" x14ac:dyDescent="0.25">
      <c r="A97" s="1153"/>
      <c r="B97" s="1156"/>
      <c r="C97" s="434" t="s">
        <v>180</v>
      </c>
      <c r="D97" s="660">
        <f t="shared" si="5"/>
        <v>0</v>
      </c>
      <c r="E97" s="660">
        <f>'[13]Диспан.набл.взрослых Пр.16- 23'!E97+'[13]Уточнение Пр.17-23  '!E97</f>
        <v>0</v>
      </c>
      <c r="F97" s="660">
        <f>'[13]Диспан.набл.взрослых Пр.16- 23'!F97+'[13]Уточнение Пр.17-23  '!F97</f>
        <v>0</v>
      </c>
      <c r="G97" s="660">
        <f>'[13]Диспан.набл.взрослых Пр.16- 23'!G97+'[13]Уточнение Пр.17-23  '!G97</f>
        <v>0</v>
      </c>
      <c r="H97" s="660">
        <f>'[13]Диспан.набл.взрослых Пр.16- 23'!H97+'[13]Уточнение Пр.17-23  '!H97</f>
        <v>0</v>
      </c>
      <c r="I97" s="660">
        <f>'[13]Диспан.набл.взрослых Пр.16- 23'!I97+'[13]Уточнение Пр.17-23  '!I97</f>
        <v>0</v>
      </c>
      <c r="J97" s="660">
        <f>'[13]Диспан.набл.взрослых Пр.16- 23'!J97+'[13]Уточнение Пр.17-23  '!J97</f>
        <v>0</v>
      </c>
      <c r="K97" s="660">
        <f>'[13]Диспан.набл.взрослых Пр.16- 23'!K97+'[13]Уточнение Пр.17-23  '!K97</f>
        <v>0</v>
      </c>
      <c r="L97" s="660">
        <f>'[13]Диспан.набл.взрослых Пр.16- 23'!L97+'[13]Уточнение Пр.17-23  '!L97</f>
        <v>0</v>
      </c>
      <c r="M97" s="660">
        <f>'[13]Диспан.набл.взрослых Пр.16- 23'!M97+'[13]Уточнение Пр.17-23  '!M97</f>
        <v>0</v>
      </c>
      <c r="N97" s="660">
        <f>'[13]Диспан.набл.взрослых Пр.16- 23'!N97+'[13]Уточнение Пр.17-23  '!N97</f>
        <v>0</v>
      </c>
      <c r="O97" s="660">
        <f>'[13]Диспан.набл.взрослых Пр.16- 23'!O97+'[13]Уточнение Пр.17-23  '!O97</f>
        <v>0</v>
      </c>
      <c r="P97" s="660">
        <f>'[13]Диспан.набл.взрослых Пр.16- 23'!P97+'[13]Уточнение Пр.17-23  '!P97</f>
        <v>0</v>
      </c>
      <c r="Q97" s="660">
        <f>'[13]Диспан.набл.взрослых Пр.16- 23'!Q97+'[13]Уточнение Пр.17-23  '!Q97</f>
        <v>0</v>
      </c>
      <c r="R97" s="660">
        <f>'[13]Диспан.набл.взрослых Пр.16- 23'!R97+'[13]Уточнение Пр.17-23  '!R97</f>
        <v>0</v>
      </c>
      <c r="S97" s="660">
        <f t="shared" si="6"/>
        <v>0</v>
      </c>
      <c r="T97" s="659"/>
    </row>
    <row r="98" spans="1:20" ht="36" x14ac:dyDescent="0.25">
      <c r="A98" s="1154"/>
      <c r="B98" s="1157"/>
      <c r="C98" s="225" t="s">
        <v>741</v>
      </c>
      <c r="D98" s="660">
        <f t="shared" si="5"/>
        <v>0</v>
      </c>
      <c r="E98" s="660">
        <f>'[13]Диспан.набл.взрослых Пр.16- 23'!E98+'[13]Уточнение Пр.17-23  '!E98</f>
        <v>0</v>
      </c>
      <c r="F98" s="660">
        <f>'[13]Диспан.набл.взрослых Пр.16- 23'!F98+'[13]Уточнение Пр.17-23  '!F98</f>
        <v>0</v>
      </c>
      <c r="G98" s="660">
        <f>'[13]Диспан.набл.взрослых Пр.16- 23'!G98+'[13]Уточнение Пр.17-23  '!G98</f>
        <v>0</v>
      </c>
      <c r="H98" s="660">
        <f>'[13]Диспан.набл.взрослых Пр.16- 23'!H98+'[13]Уточнение Пр.17-23  '!H98</f>
        <v>0</v>
      </c>
      <c r="I98" s="660">
        <f>'[13]Диспан.набл.взрослых Пр.16- 23'!I98+'[13]Уточнение Пр.17-23  '!I98</f>
        <v>0</v>
      </c>
      <c r="J98" s="660">
        <f>'[13]Диспан.набл.взрослых Пр.16- 23'!J98+'[13]Уточнение Пр.17-23  '!J98</f>
        <v>0</v>
      </c>
      <c r="K98" s="660">
        <f>'[13]Диспан.набл.взрослых Пр.16- 23'!K98+'[13]Уточнение Пр.17-23  '!K98</f>
        <v>0</v>
      </c>
      <c r="L98" s="660">
        <f>'[13]Диспан.набл.взрослых Пр.16- 23'!L98+'[13]Уточнение Пр.17-23  '!L98</f>
        <v>0</v>
      </c>
      <c r="M98" s="660">
        <f>'[13]Диспан.набл.взрослых Пр.16- 23'!M98+'[13]Уточнение Пр.17-23  '!M98</f>
        <v>0</v>
      </c>
      <c r="N98" s="660">
        <f>'[13]Диспан.набл.взрослых Пр.16- 23'!N98+'[13]Уточнение Пр.17-23  '!N98</f>
        <v>0</v>
      </c>
      <c r="O98" s="660">
        <f>'[13]Диспан.набл.взрослых Пр.16- 23'!O98+'[13]Уточнение Пр.17-23  '!O98</f>
        <v>0</v>
      </c>
      <c r="P98" s="660">
        <f>'[13]Диспан.набл.взрослых Пр.16- 23'!P98+'[13]Уточнение Пр.17-23  '!P98</f>
        <v>0</v>
      </c>
      <c r="Q98" s="660">
        <f>'[13]Диспан.набл.взрослых Пр.16- 23'!Q98+'[13]Уточнение Пр.17-23  '!Q98</f>
        <v>0</v>
      </c>
      <c r="R98" s="660">
        <f>'[13]Диспан.набл.взрослых Пр.16- 23'!R98+'[13]Уточнение Пр.17-23  '!R98</f>
        <v>0</v>
      </c>
      <c r="S98" s="660">
        <f t="shared" si="6"/>
        <v>0</v>
      </c>
      <c r="T98" s="659"/>
    </row>
    <row r="99" spans="1:20" ht="24" x14ac:dyDescent="0.25">
      <c r="A99" s="662">
        <v>84</v>
      </c>
      <c r="B99" s="665" t="s">
        <v>181</v>
      </c>
      <c r="C99" s="664" t="s">
        <v>182</v>
      </c>
      <c r="D99" s="660">
        <f t="shared" si="5"/>
        <v>0</v>
      </c>
      <c r="E99" s="660">
        <f>'[13]Диспан.набл.взрослых Пр.16- 23'!E99+'[13]Уточнение Пр.17-23  '!E99</f>
        <v>0</v>
      </c>
      <c r="F99" s="660">
        <f>'[13]Диспан.набл.взрослых Пр.16- 23'!F99+'[13]Уточнение Пр.17-23  '!F99</f>
        <v>0</v>
      </c>
      <c r="G99" s="660">
        <f>'[13]Диспан.набл.взрослых Пр.16- 23'!G99+'[13]Уточнение Пр.17-23  '!G99</f>
        <v>0</v>
      </c>
      <c r="H99" s="660">
        <f>'[13]Диспан.набл.взрослых Пр.16- 23'!H99+'[13]Уточнение Пр.17-23  '!H99</f>
        <v>0</v>
      </c>
      <c r="I99" s="660">
        <f>'[13]Диспан.набл.взрослых Пр.16- 23'!I99+'[13]Уточнение Пр.17-23  '!I99</f>
        <v>0</v>
      </c>
      <c r="J99" s="660">
        <f>'[13]Диспан.набл.взрослых Пр.16- 23'!J99+'[13]Уточнение Пр.17-23  '!J99</f>
        <v>0</v>
      </c>
      <c r="K99" s="660">
        <f>'[13]Диспан.набл.взрослых Пр.16- 23'!K99+'[13]Уточнение Пр.17-23  '!K99</f>
        <v>0</v>
      </c>
      <c r="L99" s="660">
        <f>'[13]Диспан.набл.взрослых Пр.16- 23'!L99+'[13]Уточнение Пр.17-23  '!L99</f>
        <v>0</v>
      </c>
      <c r="M99" s="660">
        <f>'[13]Диспан.набл.взрослых Пр.16- 23'!M99+'[13]Уточнение Пр.17-23  '!M99</f>
        <v>0</v>
      </c>
      <c r="N99" s="660">
        <f>'[13]Диспан.набл.взрослых Пр.16- 23'!N99+'[13]Уточнение Пр.17-23  '!N99</f>
        <v>0</v>
      </c>
      <c r="O99" s="660">
        <f>'[13]Диспан.набл.взрослых Пр.16- 23'!O99+'[13]Уточнение Пр.17-23  '!O99</f>
        <v>0</v>
      </c>
      <c r="P99" s="660">
        <f>'[13]Диспан.набл.взрослых Пр.16- 23'!P99+'[13]Уточнение Пр.17-23  '!P99</f>
        <v>0</v>
      </c>
      <c r="Q99" s="660">
        <f>'[13]Диспан.набл.взрослых Пр.16- 23'!Q99+'[13]Уточнение Пр.17-23  '!Q99</f>
        <v>0</v>
      </c>
      <c r="R99" s="660">
        <f>'[13]Диспан.набл.взрослых Пр.16- 23'!R99+'[13]Уточнение Пр.17-23  '!R99</f>
        <v>0</v>
      </c>
      <c r="S99" s="660">
        <f t="shared" si="6"/>
        <v>0</v>
      </c>
      <c r="T99" s="659"/>
    </row>
    <row r="100" spans="1:20" x14ac:dyDescent="0.25">
      <c r="A100" s="662">
        <v>85</v>
      </c>
      <c r="B100" s="665" t="s">
        <v>183</v>
      </c>
      <c r="C100" s="1" t="s">
        <v>184</v>
      </c>
      <c r="D100" s="660">
        <f t="shared" si="5"/>
        <v>2169</v>
      </c>
      <c r="E100" s="660">
        <f>'[13]Диспан.набл.взрослых Пр.16- 23'!E100+'[13]Уточнение Пр.17-23  '!E100</f>
        <v>1740</v>
      </c>
      <c r="F100" s="660">
        <f>'[13]Диспан.набл.взрослых Пр.16- 23'!F100+'[13]Уточнение Пр.17-23  '!F100</f>
        <v>416</v>
      </c>
      <c r="G100" s="660">
        <f>'[13]Диспан.набл.взрослых Пр.16- 23'!G100+'[13]Уточнение Пр.17-23  '!G100</f>
        <v>0</v>
      </c>
      <c r="H100" s="660">
        <f>'[13]Диспан.набл.взрослых Пр.16- 23'!H100+'[13]Уточнение Пр.17-23  '!H100</f>
        <v>11</v>
      </c>
      <c r="I100" s="660">
        <f>'[13]Диспан.набл.взрослых Пр.16- 23'!I100+'[13]Уточнение Пр.17-23  '!I100</f>
        <v>0</v>
      </c>
      <c r="J100" s="660">
        <f>'[13]Диспан.набл.взрослых Пр.16- 23'!J100+'[13]Уточнение Пр.17-23  '!J100</f>
        <v>0</v>
      </c>
      <c r="K100" s="660">
        <f>'[13]Диспан.набл.взрослых Пр.16- 23'!K100+'[13]Уточнение Пр.17-23  '!K100</f>
        <v>2</v>
      </c>
      <c r="L100" s="660">
        <f>'[13]Диспан.набл.взрослых Пр.16- 23'!L100+'[13]Уточнение Пр.17-23  '!L100</f>
        <v>0</v>
      </c>
      <c r="M100" s="660">
        <f>'[13]Диспан.набл.взрослых Пр.16- 23'!M100+'[13]Уточнение Пр.17-23  '!M100</f>
        <v>0</v>
      </c>
      <c r="N100" s="660">
        <f>'[13]Диспан.набл.взрослых Пр.16- 23'!N100+'[13]Уточнение Пр.17-23  '!N100</f>
        <v>0</v>
      </c>
      <c r="O100" s="660">
        <f>'[13]Диспан.набл.взрослых Пр.16- 23'!O100+'[13]Уточнение Пр.17-23  '!O100</f>
        <v>0</v>
      </c>
      <c r="P100" s="660">
        <f>'[13]Диспан.набл.взрослых Пр.16- 23'!P100+'[13]Уточнение Пр.17-23  '!P100</f>
        <v>0</v>
      </c>
      <c r="Q100" s="660">
        <f>'[13]Диспан.набл.взрослых Пр.16- 23'!Q100+'[13]Уточнение Пр.17-23  '!Q100</f>
        <v>0</v>
      </c>
      <c r="R100" s="660">
        <f>'[13]Диспан.набл.взрослых Пр.16- 23'!R100+'[13]Уточнение Пр.17-23  '!R100</f>
        <v>0</v>
      </c>
      <c r="S100" s="660">
        <f t="shared" si="6"/>
        <v>1740</v>
      </c>
      <c r="T100" s="659"/>
    </row>
    <row r="101" spans="1:20" x14ac:dyDescent="0.25">
      <c r="A101" s="662">
        <v>86</v>
      </c>
      <c r="B101" s="666" t="s">
        <v>185</v>
      </c>
      <c r="C101" s="434" t="s">
        <v>186</v>
      </c>
      <c r="D101" s="660">
        <f t="shared" si="5"/>
        <v>6690</v>
      </c>
      <c r="E101" s="660">
        <f>'[13]Диспан.набл.взрослых Пр.16- 23'!E101+'[13]Уточнение Пр.17-23  '!E101</f>
        <v>5333</v>
      </c>
      <c r="F101" s="660">
        <f>'[13]Диспан.набл.взрослых Пр.16- 23'!F101+'[13]Уточнение Пр.17-23  '!F101</f>
        <v>974</v>
      </c>
      <c r="G101" s="660">
        <f>'[13]Диспан.набл.взрослых Пр.16- 23'!G101+'[13]Уточнение Пр.17-23  '!G101</f>
        <v>156</v>
      </c>
      <c r="H101" s="660">
        <f>'[13]Диспан.набл.взрослых Пр.16- 23'!H101+'[13]Уточнение Пр.17-23  '!H101</f>
        <v>150</v>
      </c>
      <c r="I101" s="660">
        <f>'[13]Диспан.набл.взрослых Пр.16- 23'!I101+'[13]Уточнение Пр.17-23  '!I101</f>
        <v>0</v>
      </c>
      <c r="J101" s="660">
        <f>'[13]Диспан.набл.взрослых Пр.16- 23'!J101+'[13]Уточнение Пр.17-23  '!J101</f>
        <v>0</v>
      </c>
      <c r="K101" s="660">
        <f>'[13]Диспан.набл.взрослых Пр.16- 23'!K101+'[13]Уточнение Пр.17-23  '!K101</f>
        <v>0</v>
      </c>
      <c r="L101" s="660">
        <f>'[13]Диспан.набл.взрослых Пр.16- 23'!L101+'[13]Уточнение Пр.17-23  '!L101</f>
        <v>0</v>
      </c>
      <c r="M101" s="660">
        <f>'[13]Диспан.набл.взрослых Пр.16- 23'!M101+'[13]Уточнение Пр.17-23  '!M101</f>
        <v>4</v>
      </c>
      <c r="N101" s="660">
        <f>'[13]Диспан.набл.взрослых Пр.16- 23'!N101+'[13]Уточнение Пр.17-23  '!N101</f>
        <v>0</v>
      </c>
      <c r="O101" s="660">
        <f>'[13]Диспан.набл.взрослых Пр.16- 23'!O101+'[13]Уточнение Пр.17-23  '!O101</f>
        <v>1</v>
      </c>
      <c r="P101" s="660">
        <f>'[13]Диспан.набл.взрослых Пр.16- 23'!P101+'[13]Уточнение Пр.17-23  '!P101</f>
        <v>3</v>
      </c>
      <c r="Q101" s="660">
        <f>'[13]Диспан.набл.взрослых Пр.16- 23'!Q101+'[13]Уточнение Пр.17-23  '!Q101</f>
        <v>0</v>
      </c>
      <c r="R101" s="660">
        <f>'[13]Диспан.набл.взрослых Пр.16- 23'!R101+'[13]Уточнение Пр.17-23  '!R101</f>
        <v>69</v>
      </c>
      <c r="S101" s="660">
        <f t="shared" si="6"/>
        <v>5333</v>
      </c>
      <c r="T101" s="659"/>
    </row>
    <row r="102" spans="1:20" x14ac:dyDescent="0.25">
      <c r="A102" s="662">
        <v>87</v>
      </c>
      <c r="B102" s="665" t="s">
        <v>187</v>
      </c>
      <c r="C102" s="664" t="s">
        <v>188</v>
      </c>
      <c r="D102" s="660">
        <f t="shared" si="5"/>
        <v>4580</v>
      </c>
      <c r="E102" s="660">
        <f>'[13]Диспан.набл.взрослых Пр.16- 23'!E102+'[13]Уточнение Пр.17-23  '!E102</f>
        <v>3740</v>
      </c>
      <c r="F102" s="660">
        <f>'[13]Диспан.набл.взрослых Пр.16- 23'!F102+'[13]Уточнение Пр.17-23  '!F102</f>
        <v>649</v>
      </c>
      <c r="G102" s="660">
        <f>'[13]Диспан.набл.взрослых Пр.16- 23'!G102+'[13]Уточнение Пр.17-23  '!G102</f>
        <v>4</v>
      </c>
      <c r="H102" s="660">
        <f>'[13]Диспан.набл.взрослых Пр.16- 23'!H102+'[13]Уточнение Пр.17-23  '!H102</f>
        <v>94</v>
      </c>
      <c r="I102" s="660">
        <f>'[13]Диспан.набл.взрослых Пр.16- 23'!I102+'[13]Уточнение Пр.17-23  '!I102</f>
        <v>0</v>
      </c>
      <c r="J102" s="660">
        <f>'[13]Диспан.набл.взрослых Пр.16- 23'!J102+'[13]Уточнение Пр.17-23  '!J102</f>
        <v>0</v>
      </c>
      <c r="K102" s="660">
        <f>'[13]Диспан.набл.взрослых Пр.16- 23'!K102+'[13]Уточнение Пр.17-23  '!K102</f>
        <v>0</v>
      </c>
      <c r="L102" s="660">
        <f>'[13]Диспан.набл.взрослых Пр.16- 23'!L102+'[13]Уточнение Пр.17-23  '!L102</f>
        <v>2</v>
      </c>
      <c r="M102" s="660">
        <f>'[13]Диспан.набл.взрослых Пр.16- 23'!M102+'[13]Уточнение Пр.17-23  '!M102</f>
        <v>0</v>
      </c>
      <c r="N102" s="660">
        <f>'[13]Диспан.набл.взрослых Пр.16- 23'!N102+'[13]Уточнение Пр.17-23  '!N102</f>
        <v>1</v>
      </c>
      <c r="O102" s="660">
        <f>'[13]Диспан.набл.взрослых Пр.16- 23'!O102+'[13]Уточнение Пр.17-23  '!O102</f>
        <v>0</v>
      </c>
      <c r="P102" s="660">
        <f>'[13]Диспан.набл.взрослых Пр.16- 23'!P102+'[13]Уточнение Пр.17-23  '!P102</f>
        <v>0</v>
      </c>
      <c r="Q102" s="660">
        <f>'[13]Диспан.набл.взрослых Пр.16- 23'!Q102+'[13]Уточнение Пр.17-23  '!Q102</f>
        <v>19</v>
      </c>
      <c r="R102" s="660">
        <f>'[13]Диспан.набл.взрослых Пр.16- 23'!R102+'[13]Уточнение Пр.17-23  '!R102</f>
        <v>71</v>
      </c>
      <c r="S102" s="660">
        <f t="shared" si="6"/>
        <v>3740</v>
      </c>
      <c r="T102" s="659"/>
    </row>
    <row r="103" spans="1:20" x14ac:dyDescent="0.25">
      <c r="A103" s="662">
        <v>88</v>
      </c>
      <c r="B103" s="666" t="s">
        <v>189</v>
      </c>
      <c r="C103" s="434" t="s">
        <v>190</v>
      </c>
      <c r="D103" s="660">
        <f t="shared" si="5"/>
        <v>3583</v>
      </c>
      <c r="E103" s="660">
        <f>'[13]Диспан.набл.взрослых Пр.16- 23'!E103+'[13]Уточнение Пр.17-23  '!E103</f>
        <v>3552</v>
      </c>
      <c r="F103" s="660">
        <f>'[13]Диспан.набл.взрослых Пр.16- 23'!F103+'[13]Уточнение Пр.17-23  '!F103</f>
        <v>1</v>
      </c>
      <c r="G103" s="660">
        <f>'[13]Диспан.набл.взрослых Пр.16- 23'!G103+'[13]Уточнение Пр.17-23  '!G103</f>
        <v>0</v>
      </c>
      <c r="H103" s="660">
        <f>'[13]Диспан.набл.взрослых Пр.16- 23'!H103+'[13]Уточнение Пр.17-23  '!H103</f>
        <v>1</v>
      </c>
      <c r="I103" s="660">
        <f>'[13]Диспан.набл.взрослых Пр.16- 23'!I103+'[13]Уточнение Пр.17-23  '!I103</f>
        <v>0</v>
      </c>
      <c r="J103" s="660">
        <f>'[13]Диспан.набл.взрослых Пр.16- 23'!J103+'[13]Уточнение Пр.17-23  '!J103</f>
        <v>0</v>
      </c>
      <c r="K103" s="660">
        <f>'[13]Диспан.набл.взрослых Пр.16- 23'!K103+'[13]Уточнение Пр.17-23  '!K103</f>
        <v>0</v>
      </c>
      <c r="L103" s="660">
        <f>'[13]Диспан.набл.взрослых Пр.16- 23'!L103+'[13]Уточнение Пр.17-23  '!L103</f>
        <v>0</v>
      </c>
      <c r="M103" s="660">
        <f>'[13]Диспан.набл.взрослых Пр.16- 23'!M103+'[13]Уточнение Пр.17-23  '!M103</f>
        <v>5</v>
      </c>
      <c r="N103" s="660">
        <f>'[13]Диспан.набл.взрослых Пр.16- 23'!N103+'[13]Уточнение Пр.17-23  '!N103</f>
        <v>3</v>
      </c>
      <c r="O103" s="660">
        <f>'[13]Диспан.набл.взрослых Пр.16- 23'!O103+'[13]Уточнение Пр.17-23  '!O103</f>
        <v>0</v>
      </c>
      <c r="P103" s="660">
        <f>'[13]Диспан.набл.взрослых Пр.16- 23'!P103+'[13]Уточнение Пр.17-23  '!P103</f>
        <v>0</v>
      </c>
      <c r="Q103" s="660">
        <f>'[13]Диспан.набл.взрослых Пр.16- 23'!Q103+'[13]Уточнение Пр.17-23  '!Q103</f>
        <v>16</v>
      </c>
      <c r="R103" s="660">
        <f>'[13]Диспан.набл.взрослых Пр.16- 23'!R103+'[13]Уточнение Пр.17-23  '!R103</f>
        <v>5</v>
      </c>
      <c r="S103" s="660">
        <f t="shared" si="6"/>
        <v>3552</v>
      </c>
      <c r="T103" s="659"/>
    </row>
    <row r="104" spans="1:20" x14ac:dyDescent="0.25">
      <c r="A104" s="662">
        <v>89</v>
      </c>
      <c r="B104" s="666" t="s">
        <v>191</v>
      </c>
      <c r="C104" s="434" t="s">
        <v>192</v>
      </c>
      <c r="D104" s="660">
        <f t="shared" si="5"/>
        <v>13140</v>
      </c>
      <c r="E104" s="660">
        <f>'[13]Диспан.набл.взрослых Пр.16- 23'!E104+'[13]Уточнение Пр.17-23  '!E104</f>
        <v>12785</v>
      </c>
      <c r="F104" s="660">
        <f>'[13]Диспан.набл.взрослых Пр.16- 23'!F104+'[13]Уточнение Пр.17-23  '!F104</f>
        <v>121</v>
      </c>
      <c r="G104" s="660">
        <f>'[13]Диспан.набл.взрослых Пр.16- 23'!G104+'[13]Уточнение Пр.17-23  '!G104</f>
        <v>100</v>
      </c>
      <c r="H104" s="660">
        <f>'[13]Диспан.набл.взрослых Пр.16- 23'!H104+'[13]Уточнение Пр.17-23  '!H104</f>
        <v>79</v>
      </c>
      <c r="I104" s="660">
        <f>'[13]Диспан.набл.взрослых Пр.16- 23'!I104+'[13]Уточнение Пр.17-23  '!I104</f>
        <v>0</v>
      </c>
      <c r="J104" s="660">
        <f>'[13]Диспан.набл.взрослых Пр.16- 23'!J104+'[13]Уточнение Пр.17-23  '!J104</f>
        <v>0</v>
      </c>
      <c r="K104" s="660">
        <f>'[13]Диспан.набл.взрослых Пр.16- 23'!K104+'[13]Уточнение Пр.17-23  '!K104</f>
        <v>3</v>
      </c>
      <c r="L104" s="660">
        <f>'[13]Диспан.набл.взрослых Пр.16- 23'!L104+'[13]Уточнение Пр.17-23  '!L104</f>
        <v>0</v>
      </c>
      <c r="M104" s="660">
        <f>'[13]Диспан.набл.взрослых Пр.16- 23'!M104+'[13]Уточнение Пр.17-23  '!M104</f>
        <v>2</v>
      </c>
      <c r="N104" s="660">
        <f>'[13]Диспан.набл.взрослых Пр.16- 23'!N104+'[13]Уточнение Пр.17-23  '!N104</f>
        <v>18</v>
      </c>
      <c r="O104" s="660">
        <f>'[13]Диспан.набл.взрослых Пр.16- 23'!O104+'[13]Уточнение Пр.17-23  '!O104</f>
        <v>4</v>
      </c>
      <c r="P104" s="660">
        <f>'[13]Диспан.набл.взрослых Пр.16- 23'!P104+'[13]Уточнение Пр.17-23  '!P104</f>
        <v>0</v>
      </c>
      <c r="Q104" s="660">
        <f>'[13]Диспан.набл.взрослых Пр.16- 23'!Q104+'[13]Уточнение Пр.17-23  '!Q104</f>
        <v>28</v>
      </c>
      <c r="R104" s="660">
        <f>'[13]Диспан.набл.взрослых Пр.16- 23'!R104+'[13]Уточнение Пр.17-23  '!R104</f>
        <v>0</v>
      </c>
      <c r="S104" s="660">
        <f t="shared" si="6"/>
        <v>12785</v>
      </c>
      <c r="T104" s="659"/>
    </row>
    <row r="105" spans="1:20" x14ac:dyDescent="0.25">
      <c r="A105" s="662">
        <v>90</v>
      </c>
      <c r="B105" s="665" t="s">
        <v>193</v>
      </c>
      <c r="C105" s="1" t="s">
        <v>194</v>
      </c>
      <c r="D105" s="660">
        <f t="shared" si="5"/>
        <v>5264</v>
      </c>
      <c r="E105" s="660">
        <f>'[13]Диспан.набл.взрослых Пр.16- 23'!E105+'[13]Уточнение Пр.17-23  '!E105</f>
        <v>4763</v>
      </c>
      <c r="F105" s="660">
        <f>'[13]Диспан.набл.взрослых Пр.16- 23'!F105+'[13]Уточнение Пр.17-23  '!F105</f>
        <v>351</v>
      </c>
      <c r="G105" s="660">
        <f>'[13]Диспан.набл.взрослых Пр.16- 23'!G105+'[13]Уточнение Пр.17-23  '!G105</f>
        <v>95</v>
      </c>
      <c r="H105" s="660">
        <f>'[13]Диспан.набл.взрослых Пр.16- 23'!H105+'[13]Уточнение Пр.17-23  '!H105</f>
        <v>0</v>
      </c>
      <c r="I105" s="660">
        <f>'[13]Диспан.набл.взрослых Пр.16- 23'!I105+'[13]Уточнение Пр.17-23  '!I105</f>
        <v>0</v>
      </c>
      <c r="J105" s="660">
        <f>'[13]Диспан.набл.взрослых Пр.16- 23'!J105+'[13]Уточнение Пр.17-23  '!J105</f>
        <v>0</v>
      </c>
      <c r="K105" s="660">
        <f>'[13]Диспан.набл.взрослых Пр.16- 23'!K105+'[13]Уточнение Пр.17-23  '!K105</f>
        <v>2</v>
      </c>
      <c r="L105" s="660">
        <f>'[13]Диспан.набл.взрослых Пр.16- 23'!L105+'[13]Уточнение Пр.17-23  '!L105</f>
        <v>0</v>
      </c>
      <c r="M105" s="660">
        <f>'[13]Диспан.набл.взрослых Пр.16- 23'!M105+'[13]Уточнение Пр.17-23  '!M105</f>
        <v>1</v>
      </c>
      <c r="N105" s="660">
        <f>'[13]Диспан.набл.взрослых Пр.16- 23'!N105+'[13]Уточнение Пр.17-23  '!N105</f>
        <v>30</v>
      </c>
      <c r="O105" s="660">
        <f>'[13]Диспан.набл.взрослых Пр.16- 23'!O105+'[13]Уточнение Пр.17-23  '!O105</f>
        <v>0</v>
      </c>
      <c r="P105" s="660">
        <f>'[13]Диспан.набл.взрослых Пр.16- 23'!P105+'[13]Уточнение Пр.17-23  '!P105</f>
        <v>0</v>
      </c>
      <c r="Q105" s="660">
        <f>'[13]Диспан.набл.взрослых Пр.16- 23'!Q105+'[13]Уточнение Пр.17-23  '!Q105</f>
        <v>19</v>
      </c>
      <c r="R105" s="660">
        <f>'[13]Диспан.набл.взрослых Пр.16- 23'!R105+'[13]Уточнение Пр.17-23  '!R105</f>
        <v>3</v>
      </c>
      <c r="S105" s="660">
        <f t="shared" si="6"/>
        <v>4763</v>
      </c>
      <c r="T105" s="659"/>
    </row>
    <row r="106" spans="1:20" x14ac:dyDescent="0.25">
      <c r="A106" s="662">
        <v>91</v>
      </c>
      <c r="B106" s="665" t="s">
        <v>195</v>
      </c>
      <c r="C106" s="664" t="s">
        <v>196</v>
      </c>
      <c r="D106" s="660">
        <f t="shared" si="5"/>
        <v>10485</v>
      </c>
      <c r="E106" s="660">
        <f>'[13]Диспан.набл.взрослых Пр.16- 23'!E106+'[13]Уточнение Пр.17-23  '!E106</f>
        <v>9461</v>
      </c>
      <c r="F106" s="660">
        <f>'[13]Диспан.набл.взрослых Пр.16- 23'!F106+'[13]Уточнение Пр.17-23  '!F106</f>
        <v>565</v>
      </c>
      <c r="G106" s="660">
        <f>'[13]Диспан.набл.взрослых Пр.16- 23'!G106+'[13]Уточнение Пр.17-23  '!G106</f>
        <v>220</v>
      </c>
      <c r="H106" s="660">
        <f>'[13]Диспан.набл.взрослых Пр.16- 23'!H106+'[13]Уточнение Пр.17-23  '!H106</f>
        <v>138</v>
      </c>
      <c r="I106" s="660">
        <f>'[13]Диспан.набл.взрослых Пр.16- 23'!I106+'[13]Уточнение Пр.17-23  '!I106</f>
        <v>0</v>
      </c>
      <c r="J106" s="660">
        <f>'[13]Диспан.набл.взрослых Пр.16- 23'!J106+'[13]Уточнение Пр.17-23  '!J106</f>
        <v>0</v>
      </c>
      <c r="K106" s="660">
        <f>'[13]Диспан.набл.взрослых Пр.16- 23'!K106+'[13]Уточнение Пр.17-23  '!K106</f>
        <v>0</v>
      </c>
      <c r="L106" s="660">
        <f>'[13]Диспан.набл.взрослых Пр.16- 23'!L106+'[13]Уточнение Пр.17-23  '!L106</f>
        <v>3</v>
      </c>
      <c r="M106" s="660">
        <f>'[13]Диспан.набл.взрослых Пр.16- 23'!M106+'[13]Уточнение Пр.17-23  '!M106</f>
        <v>6</v>
      </c>
      <c r="N106" s="660">
        <f>'[13]Диспан.набл.взрослых Пр.16- 23'!N106+'[13]Уточнение Пр.17-23  '!N106</f>
        <v>10</v>
      </c>
      <c r="O106" s="660">
        <f>'[13]Диспан.набл.взрослых Пр.16- 23'!O106+'[13]Уточнение Пр.17-23  '!O106</f>
        <v>0</v>
      </c>
      <c r="P106" s="660">
        <f>'[13]Диспан.набл.взрослых Пр.16- 23'!P106+'[13]Уточнение Пр.17-23  '!P106</f>
        <v>0</v>
      </c>
      <c r="Q106" s="660">
        <f>'[13]Диспан.набл.взрослых Пр.16- 23'!Q106+'[13]Уточнение Пр.17-23  '!Q106</f>
        <v>77</v>
      </c>
      <c r="R106" s="660">
        <f>'[13]Диспан.набл.взрослых Пр.16- 23'!R106+'[13]Уточнение Пр.17-23  '!R106</f>
        <v>5</v>
      </c>
      <c r="S106" s="660">
        <f t="shared" si="6"/>
        <v>9461</v>
      </c>
      <c r="T106" s="659"/>
    </row>
    <row r="107" spans="1:20" x14ac:dyDescent="0.25">
      <c r="A107" s="662">
        <v>92</v>
      </c>
      <c r="B107" s="663" t="s">
        <v>197</v>
      </c>
      <c r="C107" s="664" t="s">
        <v>198</v>
      </c>
      <c r="D107" s="660">
        <f t="shared" si="5"/>
        <v>9656</v>
      </c>
      <c r="E107" s="660">
        <f>'[13]Диспан.набл.взрослых Пр.16- 23'!E107+'[13]Уточнение Пр.17-23  '!E107</f>
        <v>8534</v>
      </c>
      <c r="F107" s="660">
        <f>'[13]Диспан.набл.взрослых Пр.16- 23'!F107+'[13]Уточнение Пр.17-23  '!F107</f>
        <v>858</v>
      </c>
      <c r="G107" s="660">
        <f>'[13]Диспан.набл.взрослых Пр.16- 23'!G107+'[13]Уточнение Пр.17-23  '!G107</f>
        <v>200</v>
      </c>
      <c r="H107" s="660">
        <f>'[13]Диспан.набл.взрослых Пр.16- 23'!H107+'[13]Уточнение Пр.17-23  '!H107</f>
        <v>38</v>
      </c>
      <c r="I107" s="660">
        <f>'[13]Диспан.набл.взрослых Пр.16- 23'!I107+'[13]Уточнение Пр.17-23  '!I107</f>
        <v>0</v>
      </c>
      <c r="J107" s="660">
        <f>'[13]Диспан.набл.взрослых Пр.16- 23'!J107+'[13]Уточнение Пр.17-23  '!J107</f>
        <v>0</v>
      </c>
      <c r="K107" s="660">
        <f>'[13]Диспан.набл.взрослых Пр.16- 23'!K107+'[13]Уточнение Пр.17-23  '!K107</f>
        <v>0</v>
      </c>
      <c r="L107" s="660">
        <f>'[13]Диспан.набл.взрослых Пр.16- 23'!L107+'[13]Уточнение Пр.17-23  '!L107</f>
        <v>1</v>
      </c>
      <c r="M107" s="660">
        <f>'[13]Диспан.набл.взрослых Пр.16- 23'!M107+'[13]Уточнение Пр.17-23  '!M107</f>
        <v>0</v>
      </c>
      <c r="N107" s="660">
        <f>'[13]Диспан.набл.взрослых Пр.16- 23'!N107+'[13]Уточнение Пр.17-23  '!N107</f>
        <v>2</v>
      </c>
      <c r="O107" s="660">
        <f>'[13]Диспан.набл.взрослых Пр.16- 23'!O107+'[13]Уточнение Пр.17-23  '!O107</f>
        <v>0</v>
      </c>
      <c r="P107" s="660">
        <f>'[13]Диспан.набл.взрослых Пр.16- 23'!P107+'[13]Уточнение Пр.17-23  '!P107</f>
        <v>0</v>
      </c>
      <c r="Q107" s="660">
        <f>'[13]Диспан.набл.взрослых Пр.16- 23'!Q107+'[13]Уточнение Пр.17-23  '!Q107</f>
        <v>22</v>
      </c>
      <c r="R107" s="660">
        <f>'[13]Диспан.набл.взрослых Пр.16- 23'!R107+'[13]Уточнение Пр.17-23  '!R107</f>
        <v>1</v>
      </c>
      <c r="S107" s="660">
        <f t="shared" si="6"/>
        <v>8534</v>
      </c>
      <c r="T107" s="659"/>
    </row>
    <row r="108" spans="1:20" x14ac:dyDescent="0.25">
      <c r="A108" s="662">
        <v>93</v>
      </c>
      <c r="B108" s="663" t="s">
        <v>199</v>
      </c>
      <c r="C108" s="664" t="s">
        <v>200</v>
      </c>
      <c r="D108" s="660">
        <f t="shared" si="5"/>
        <v>8391</v>
      </c>
      <c r="E108" s="660">
        <f>'[13]Диспан.набл.взрослых Пр.16- 23'!E108+'[13]Уточнение Пр.17-23  '!E108</f>
        <v>7513</v>
      </c>
      <c r="F108" s="660">
        <f>'[13]Диспан.набл.взрослых Пр.16- 23'!F108+'[13]Уточнение Пр.17-23  '!F108</f>
        <v>794</v>
      </c>
      <c r="G108" s="660">
        <f>'[13]Диспан.набл.взрослых Пр.16- 23'!G108+'[13]Уточнение Пр.17-23  '!G108</f>
        <v>2</v>
      </c>
      <c r="H108" s="660">
        <f>'[13]Диспан.набл.взрослых Пр.16- 23'!H108+'[13]Уточнение Пр.17-23  '!H108</f>
        <v>28</v>
      </c>
      <c r="I108" s="660">
        <f>'[13]Диспан.набл.взрослых Пр.16- 23'!I108+'[13]Уточнение Пр.17-23  '!I108</f>
        <v>0</v>
      </c>
      <c r="J108" s="660">
        <f>'[13]Диспан.набл.взрослых Пр.16- 23'!J108+'[13]Уточнение Пр.17-23  '!J108</f>
        <v>0</v>
      </c>
      <c r="K108" s="660">
        <f>'[13]Диспан.набл.взрослых Пр.16- 23'!K108+'[13]Уточнение Пр.17-23  '!K108</f>
        <v>0</v>
      </c>
      <c r="L108" s="660">
        <f>'[13]Диспан.набл.взрослых Пр.16- 23'!L108+'[13]Уточнение Пр.17-23  '!L108</f>
        <v>1</v>
      </c>
      <c r="M108" s="660">
        <f>'[13]Диспан.набл.взрослых Пр.16- 23'!M108+'[13]Уточнение Пр.17-23  '!M108</f>
        <v>17</v>
      </c>
      <c r="N108" s="660">
        <f>'[13]Диспан.набл.взрослых Пр.16- 23'!N108+'[13]Уточнение Пр.17-23  '!N108</f>
        <v>4</v>
      </c>
      <c r="O108" s="660">
        <f>'[13]Диспан.набл.взрослых Пр.16- 23'!O108+'[13]Уточнение Пр.17-23  '!O108</f>
        <v>2</v>
      </c>
      <c r="P108" s="660">
        <f>'[13]Диспан.набл.взрослых Пр.16- 23'!P108+'[13]Уточнение Пр.17-23  '!P108</f>
        <v>2</v>
      </c>
      <c r="Q108" s="660">
        <f>'[13]Диспан.набл.взрослых Пр.16- 23'!Q108+'[13]Уточнение Пр.17-23  '!Q108</f>
        <v>21</v>
      </c>
      <c r="R108" s="660">
        <f>'[13]Диспан.набл.взрослых Пр.16- 23'!R108+'[13]Уточнение Пр.17-23  '!R108</f>
        <v>7</v>
      </c>
      <c r="S108" s="660">
        <f t="shared" si="6"/>
        <v>7513</v>
      </c>
      <c r="T108" s="659"/>
    </row>
    <row r="109" spans="1:20" x14ac:dyDescent="0.25">
      <c r="A109" s="662">
        <v>94</v>
      </c>
      <c r="B109" s="666" t="s">
        <v>201</v>
      </c>
      <c r="C109" s="434" t="s">
        <v>202</v>
      </c>
      <c r="D109" s="660">
        <f t="shared" si="5"/>
        <v>4993</v>
      </c>
      <c r="E109" s="660">
        <f>'[13]Диспан.набл.взрослых Пр.16- 23'!E109+'[13]Уточнение Пр.17-23  '!E109</f>
        <v>4652</v>
      </c>
      <c r="F109" s="660">
        <f>'[13]Диспан.набл.взрослых Пр.16- 23'!F109+'[13]Уточнение Пр.17-23  '!F109</f>
        <v>193</v>
      </c>
      <c r="G109" s="660">
        <f>'[13]Диспан.набл.взрослых Пр.16- 23'!G109+'[13]Уточнение Пр.17-23  '!G109</f>
        <v>70</v>
      </c>
      <c r="H109" s="660">
        <f>'[13]Диспан.набл.взрослых Пр.16- 23'!H109+'[13]Уточнение Пр.17-23  '!H109</f>
        <v>16</v>
      </c>
      <c r="I109" s="660">
        <f>'[13]Диспан.набл.взрослых Пр.16- 23'!I109+'[13]Уточнение Пр.17-23  '!I109</f>
        <v>0</v>
      </c>
      <c r="J109" s="660">
        <f>'[13]Диспан.набл.взрослых Пр.16- 23'!J109+'[13]Уточнение Пр.17-23  '!J109</f>
        <v>0</v>
      </c>
      <c r="K109" s="660">
        <f>'[13]Диспан.набл.взрослых Пр.16- 23'!K109+'[13]Уточнение Пр.17-23  '!K109</f>
        <v>0</v>
      </c>
      <c r="L109" s="660">
        <f>'[13]Диспан.набл.взрослых Пр.16- 23'!L109+'[13]Уточнение Пр.17-23  '!L109</f>
        <v>0</v>
      </c>
      <c r="M109" s="660">
        <f>'[13]Диспан.набл.взрослых Пр.16- 23'!M109+'[13]Уточнение Пр.17-23  '!M109</f>
        <v>0</v>
      </c>
      <c r="N109" s="660">
        <f>'[13]Диспан.набл.взрослых Пр.16- 23'!N109+'[13]Уточнение Пр.17-23  '!N109</f>
        <v>35</v>
      </c>
      <c r="O109" s="660">
        <f>'[13]Диспан.набл.взрослых Пр.16- 23'!O109+'[13]Уточнение Пр.17-23  '!O109</f>
        <v>0</v>
      </c>
      <c r="P109" s="660">
        <f>'[13]Диспан.набл.взрослых Пр.16- 23'!P109+'[13]Уточнение Пр.17-23  '!P109</f>
        <v>0</v>
      </c>
      <c r="Q109" s="660">
        <f>'[13]Диспан.набл.взрослых Пр.16- 23'!Q109+'[13]Уточнение Пр.17-23  '!Q109</f>
        <v>20</v>
      </c>
      <c r="R109" s="660">
        <f>'[13]Диспан.набл.взрослых Пр.16- 23'!R109+'[13]Уточнение Пр.17-23  '!R109</f>
        <v>7</v>
      </c>
      <c r="S109" s="660">
        <f t="shared" si="6"/>
        <v>4652</v>
      </c>
      <c r="T109" s="659"/>
    </row>
    <row r="110" spans="1:20" x14ac:dyDescent="0.25">
      <c r="A110" s="662">
        <v>95</v>
      </c>
      <c r="B110" s="667" t="s">
        <v>203</v>
      </c>
      <c r="C110" s="1" t="s">
        <v>204</v>
      </c>
      <c r="D110" s="660">
        <f t="shared" si="5"/>
        <v>7220</v>
      </c>
      <c r="E110" s="660">
        <f>'[13]Диспан.набл.взрослых Пр.16- 23'!E110+'[13]Уточнение Пр.17-23  '!E110</f>
        <v>6908</v>
      </c>
      <c r="F110" s="660">
        <f>'[13]Диспан.набл.взрослых Пр.16- 23'!F110+'[13]Уточнение Пр.17-23  '!F110</f>
        <v>33</v>
      </c>
      <c r="G110" s="660">
        <f>'[13]Диспан.набл.взрослых Пр.16- 23'!G110+'[13]Уточнение Пр.17-23  '!G110</f>
        <v>185</v>
      </c>
      <c r="H110" s="660">
        <f>'[13]Диспан.набл.взрослых Пр.16- 23'!H110+'[13]Уточнение Пр.17-23  '!H110</f>
        <v>25</v>
      </c>
      <c r="I110" s="660">
        <f>'[13]Диспан.набл.взрослых Пр.16- 23'!I110+'[13]Уточнение Пр.17-23  '!I110</f>
        <v>0</v>
      </c>
      <c r="J110" s="660">
        <f>'[13]Диспан.набл.взрослых Пр.16- 23'!J110+'[13]Уточнение Пр.17-23  '!J110</f>
        <v>1</v>
      </c>
      <c r="K110" s="660">
        <f>'[13]Диспан.набл.взрослых Пр.16- 23'!K110+'[13]Уточнение Пр.17-23  '!K110</f>
        <v>0</v>
      </c>
      <c r="L110" s="660">
        <f>'[13]Диспан.набл.взрослых Пр.16- 23'!L110+'[13]Уточнение Пр.17-23  '!L110</f>
        <v>0</v>
      </c>
      <c r="M110" s="660">
        <f>'[13]Диспан.набл.взрослых Пр.16- 23'!M110+'[13]Уточнение Пр.17-23  '!M110</f>
        <v>0</v>
      </c>
      <c r="N110" s="660">
        <f>'[13]Диспан.набл.взрослых Пр.16- 23'!N110+'[13]Уточнение Пр.17-23  '!N110</f>
        <v>7</v>
      </c>
      <c r="O110" s="660">
        <f>'[13]Диспан.набл.взрослых Пр.16- 23'!O110+'[13]Уточнение Пр.17-23  '!O110</f>
        <v>0</v>
      </c>
      <c r="P110" s="660">
        <f>'[13]Диспан.набл.взрослых Пр.16- 23'!P110+'[13]Уточнение Пр.17-23  '!P110</f>
        <v>0</v>
      </c>
      <c r="Q110" s="660">
        <f>'[13]Диспан.набл.взрослых Пр.16- 23'!Q110+'[13]Уточнение Пр.17-23  '!Q110</f>
        <v>61</v>
      </c>
      <c r="R110" s="660">
        <f>'[13]Диспан.набл.взрослых Пр.16- 23'!R110+'[13]Уточнение Пр.17-23  '!R110</f>
        <v>0</v>
      </c>
      <c r="S110" s="660">
        <f t="shared" si="6"/>
        <v>6908</v>
      </c>
      <c r="T110" s="659"/>
    </row>
    <row r="111" spans="1:20" x14ac:dyDescent="0.25">
      <c r="A111" s="662">
        <v>96</v>
      </c>
      <c r="B111" s="663" t="s">
        <v>205</v>
      </c>
      <c r="C111" s="664" t="s">
        <v>206</v>
      </c>
      <c r="D111" s="660">
        <f t="shared" si="5"/>
        <v>6929</v>
      </c>
      <c r="E111" s="660">
        <f>'[13]Диспан.набл.взрослых Пр.16- 23'!E111+'[13]Уточнение Пр.17-23  '!E111</f>
        <v>6390</v>
      </c>
      <c r="F111" s="660">
        <f>'[13]Диспан.набл.взрослых Пр.16- 23'!F111+'[13]Уточнение Пр.17-23  '!F111</f>
        <v>455</v>
      </c>
      <c r="G111" s="660">
        <f>'[13]Диспан.набл.взрослых Пр.16- 23'!G111+'[13]Уточнение Пр.17-23  '!G111</f>
        <v>16</v>
      </c>
      <c r="H111" s="660">
        <f>'[13]Диспан.набл.взрослых Пр.16- 23'!H111+'[13]Уточнение Пр.17-23  '!H111</f>
        <v>27</v>
      </c>
      <c r="I111" s="660">
        <f>'[13]Диспан.набл.взрослых Пр.16- 23'!I111+'[13]Уточнение Пр.17-23  '!I111</f>
        <v>0</v>
      </c>
      <c r="J111" s="660">
        <f>'[13]Диспан.набл.взрослых Пр.16- 23'!J111+'[13]Уточнение Пр.17-23  '!J111</f>
        <v>0</v>
      </c>
      <c r="K111" s="660">
        <f>'[13]Диспан.набл.взрослых Пр.16- 23'!K111+'[13]Уточнение Пр.17-23  '!K111</f>
        <v>0</v>
      </c>
      <c r="L111" s="660">
        <f>'[13]Диспан.набл.взрослых Пр.16- 23'!L111+'[13]Уточнение Пр.17-23  '!L111</f>
        <v>0</v>
      </c>
      <c r="M111" s="660">
        <f>'[13]Диспан.набл.взрослых Пр.16- 23'!M111+'[13]Уточнение Пр.17-23  '!M111</f>
        <v>2</v>
      </c>
      <c r="N111" s="660">
        <f>'[13]Диспан.набл.взрослых Пр.16- 23'!N111+'[13]Уточнение Пр.17-23  '!N111</f>
        <v>0</v>
      </c>
      <c r="O111" s="660">
        <f>'[13]Диспан.набл.взрослых Пр.16- 23'!O111+'[13]Уточнение Пр.17-23  '!O111</f>
        <v>0</v>
      </c>
      <c r="P111" s="660">
        <f>'[13]Диспан.набл.взрослых Пр.16- 23'!P111+'[13]Уточнение Пр.17-23  '!P111</f>
        <v>0</v>
      </c>
      <c r="Q111" s="660">
        <f>'[13]Диспан.набл.взрослых Пр.16- 23'!Q111+'[13]Уточнение Пр.17-23  '!Q111</f>
        <v>15</v>
      </c>
      <c r="R111" s="660">
        <f>'[13]Диспан.набл.взрослых Пр.16- 23'!R111+'[13]Уточнение Пр.17-23  '!R111</f>
        <v>24</v>
      </c>
      <c r="S111" s="660">
        <f t="shared" si="6"/>
        <v>6390</v>
      </c>
      <c r="T111" s="659"/>
    </row>
    <row r="112" spans="1:20" x14ac:dyDescent="0.25">
      <c r="A112" s="662">
        <v>97</v>
      </c>
      <c r="B112" s="665" t="s">
        <v>207</v>
      </c>
      <c r="C112" s="664" t="s">
        <v>208</v>
      </c>
      <c r="D112" s="660">
        <f t="shared" si="5"/>
        <v>6409</v>
      </c>
      <c r="E112" s="660">
        <f>'[13]Диспан.набл.взрослых Пр.16- 23'!E112+'[13]Уточнение Пр.17-23  '!E112</f>
        <v>5484</v>
      </c>
      <c r="F112" s="660">
        <f>'[13]Диспан.набл.взрослых Пр.16- 23'!F112+'[13]Уточнение Пр.17-23  '!F112</f>
        <v>777</v>
      </c>
      <c r="G112" s="660">
        <f>'[13]Диспан.набл.взрослых Пр.16- 23'!G112+'[13]Уточнение Пр.17-23  '!G112</f>
        <v>47</v>
      </c>
      <c r="H112" s="660">
        <f>'[13]Диспан.набл.взрослых Пр.16- 23'!H112+'[13]Уточнение Пр.17-23  '!H112</f>
        <v>10</v>
      </c>
      <c r="I112" s="660">
        <f>'[13]Диспан.набл.взрослых Пр.16- 23'!I112+'[13]Уточнение Пр.17-23  '!I112</f>
        <v>0</v>
      </c>
      <c r="J112" s="660">
        <f>'[13]Диспан.набл.взрослых Пр.16- 23'!J112+'[13]Уточнение Пр.17-23  '!J112</f>
        <v>0</v>
      </c>
      <c r="K112" s="660">
        <f>'[13]Диспан.набл.взрослых Пр.16- 23'!K112+'[13]Уточнение Пр.17-23  '!K112</f>
        <v>4</v>
      </c>
      <c r="L112" s="660">
        <f>'[13]Диспан.набл.взрослых Пр.16- 23'!L112+'[13]Уточнение Пр.17-23  '!L112</f>
        <v>2</v>
      </c>
      <c r="M112" s="660">
        <f>'[13]Диспан.набл.взрослых Пр.16- 23'!M112+'[13]Уточнение Пр.17-23  '!M112</f>
        <v>0</v>
      </c>
      <c r="N112" s="660">
        <f>'[13]Диспан.набл.взрослых Пр.16- 23'!N112+'[13]Уточнение Пр.17-23  '!N112</f>
        <v>0</v>
      </c>
      <c r="O112" s="660">
        <f>'[13]Диспан.набл.взрослых Пр.16- 23'!O112+'[13]Уточнение Пр.17-23  '!O112</f>
        <v>0</v>
      </c>
      <c r="P112" s="660">
        <f>'[13]Диспан.набл.взрослых Пр.16- 23'!P112+'[13]Уточнение Пр.17-23  '!P112</f>
        <v>0</v>
      </c>
      <c r="Q112" s="660">
        <f>'[13]Диспан.набл.взрослых Пр.16- 23'!Q112+'[13]Уточнение Пр.17-23  '!Q112</f>
        <v>58</v>
      </c>
      <c r="R112" s="660">
        <f>'[13]Диспан.набл.взрослых Пр.16- 23'!R112+'[13]Уточнение Пр.17-23  '!R112</f>
        <v>27</v>
      </c>
      <c r="S112" s="660">
        <f t="shared" si="6"/>
        <v>5484</v>
      </c>
      <c r="T112" s="659"/>
    </row>
    <row r="113" spans="1:20" x14ac:dyDescent="0.25">
      <c r="A113" s="662">
        <v>98</v>
      </c>
      <c r="B113" s="666" t="s">
        <v>209</v>
      </c>
      <c r="C113" s="434" t="s">
        <v>210</v>
      </c>
      <c r="D113" s="660">
        <f t="shared" si="5"/>
        <v>4346</v>
      </c>
      <c r="E113" s="660">
        <f>'[13]Диспан.набл.взрослых Пр.16- 23'!E113+'[13]Уточнение Пр.17-23  '!E113</f>
        <v>4161</v>
      </c>
      <c r="F113" s="660">
        <f>'[13]Диспан.набл.взрослых Пр.16- 23'!F113+'[13]Уточнение Пр.17-23  '!F113</f>
        <v>91</v>
      </c>
      <c r="G113" s="660">
        <f>'[13]Диспан.набл.взрослых Пр.16- 23'!G113+'[13]Уточнение Пр.17-23  '!G113</f>
        <v>46</v>
      </c>
      <c r="H113" s="660">
        <f>'[13]Диспан.набл.взрослых Пр.16- 23'!H113+'[13]Уточнение Пр.17-23  '!H113</f>
        <v>0</v>
      </c>
      <c r="I113" s="660">
        <f>'[13]Диспан.набл.взрослых Пр.16- 23'!I113+'[13]Уточнение Пр.17-23  '!I113</f>
        <v>0</v>
      </c>
      <c r="J113" s="660">
        <f>'[13]Диспан.набл.взрослых Пр.16- 23'!J113+'[13]Уточнение Пр.17-23  '!J113</f>
        <v>0</v>
      </c>
      <c r="K113" s="660">
        <f>'[13]Диспан.набл.взрослых Пр.16- 23'!K113+'[13]Уточнение Пр.17-23  '!K113</f>
        <v>0</v>
      </c>
      <c r="L113" s="660">
        <f>'[13]Диспан.набл.взрослых Пр.16- 23'!L113+'[13]Уточнение Пр.17-23  '!L113</f>
        <v>0</v>
      </c>
      <c r="M113" s="660">
        <f>'[13]Диспан.набл.взрослых Пр.16- 23'!M113+'[13]Уточнение Пр.17-23  '!M113</f>
        <v>2</v>
      </c>
      <c r="N113" s="660">
        <f>'[13]Диспан.набл.взрослых Пр.16- 23'!N113+'[13]Уточнение Пр.17-23  '!N113</f>
        <v>37</v>
      </c>
      <c r="O113" s="660">
        <f>'[13]Диспан.набл.взрослых Пр.16- 23'!O113+'[13]Уточнение Пр.17-23  '!O113</f>
        <v>0</v>
      </c>
      <c r="P113" s="660">
        <f>'[13]Диспан.набл.взрослых Пр.16- 23'!P113+'[13]Уточнение Пр.17-23  '!P113</f>
        <v>0</v>
      </c>
      <c r="Q113" s="660">
        <f>'[13]Диспан.набл.взрослых Пр.16- 23'!Q113+'[13]Уточнение Пр.17-23  '!Q113</f>
        <v>8</v>
      </c>
      <c r="R113" s="660">
        <f>'[13]Диспан.набл.взрослых Пр.16- 23'!R113+'[13]Уточнение Пр.17-23  '!R113</f>
        <v>1</v>
      </c>
      <c r="S113" s="660">
        <f t="shared" si="6"/>
        <v>4161</v>
      </c>
      <c r="T113" s="659"/>
    </row>
    <row r="114" spans="1:20" x14ac:dyDescent="0.25">
      <c r="A114" s="662">
        <v>99</v>
      </c>
      <c r="B114" s="666" t="s">
        <v>211</v>
      </c>
      <c r="C114" s="434" t="s">
        <v>212</v>
      </c>
      <c r="D114" s="660">
        <f t="shared" si="5"/>
        <v>8378</v>
      </c>
      <c r="E114" s="660">
        <f>'[13]Диспан.набл.взрослых Пр.16- 23'!E114+'[13]Уточнение Пр.17-23  '!E114</f>
        <v>7346</v>
      </c>
      <c r="F114" s="660">
        <f>'[13]Диспан.набл.взрослых Пр.16- 23'!F114+'[13]Уточнение Пр.17-23  '!F114</f>
        <v>843</v>
      </c>
      <c r="G114" s="660">
        <f>'[13]Диспан.набл.взрослых Пр.16- 23'!G114+'[13]Уточнение Пр.17-23  '!G114</f>
        <v>144</v>
      </c>
      <c r="H114" s="660">
        <f>'[13]Диспан.набл.взрослых Пр.16- 23'!H114+'[13]Уточнение Пр.17-23  '!H114</f>
        <v>31</v>
      </c>
      <c r="I114" s="660">
        <f>'[13]Диспан.набл.взрослых Пр.16- 23'!I114+'[13]Уточнение Пр.17-23  '!I114</f>
        <v>0</v>
      </c>
      <c r="J114" s="660">
        <f>'[13]Диспан.набл.взрослых Пр.16- 23'!J114+'[13]Уточнение Пр.17-23  '!J114</f>
        <v>0</v>
      </c>
      <c r="K114" s="660">
        <f>'[13]Диспан.набл.взрослых Пр.16- 23'!K114+'[13]Уточнение Пр.17-23  '!K114</f>
        <v>0</v>
      </c>
      <c r="L114" s="660">
        <f>'[13]Диспан.набл.взрослых Пр.16- 23'!L114+'[13]Уточнение Пр.17-23  '!L114</f>
        <v>0</v>
      </c>
      <c r="M114" s="660">
        <f>'[13]Диспан.набл.взрослых Пр.16- 23'!M114+'[13]Уточнение Пр.17-23  '!M114</f>
        <v>0</v>
      </c>
      <c r="N114" s="660">
        <f>'[13]Диспан.набл.взрослых Пр.16- 23'!N114+'[13]Уточнение Пр.17-23  '!N114</f>
        <v>2</v>
      </c>
      <c r="O114" s="660">
        <f>'[13]Диспан.набл.взрослых Пр.16- 23'!O114+'[13]Уточнение Пр.17-23  '!O114</f>
        <v>0</v>
      </c>
      <c r="P114" s="660">
        <f>'[13]Диспан.набл.взрослых Пр.16- 23'!P114+'[13]Уточнение Пр.17-23  '!P114</f>
        <v>0</v>
      </c>
      <c r="Q114" s="660">
        <f>'[13]Диспан.набл.взрослых Пр.16- 23'!Q114+'[13]Уточнение Пр.17-23  '!Q114</f>
        <v>12</v>
      </c>
      <c r="R114" s="660">
        <f>'[13]Диспан.набл.взрослых Пр.16- 23'!R114+'[13]Уточнение Пр.17-23  '!R114</f>
        <v>0</v>
      </c>
      <c r="S114" s="660">
        <f t="shared" si="6"/>
        <v>7346</v>
      </c>
      <c r="T114" s="659"/>
    </row>
    <row r="115" spans="1:20" x14ac:dyDescent="0.25">
      <c r="A115" s="662">
        <v>100</v>
      </c>
      <c r="B115" s="663" t="s">
        <v>213</v>
      </c>
      <c r="C115" s="664" t="s">
        <v>214</v>
      </c>
      <c r="D115" s="660">
        <f t="shared" si="5"/>
        <v>12853</v>
      </c>
      <c r="E115" s="660">
        <f>'[13]Диспан.набл.взрослых Пр.16- 23'!E115+'[13]Уточнение Пр.17-23  '!E115</f>
        <v>10623</v>
      </c>
      <c r="F115" s="660">
        <f>'[13]Диспан.набл.взрослых Пр.16- 23'!F115+'[13]Уточнение Пр.17-23  '!F115</f>
        <v>1840</v>
      </c>
      <c r="G115" s="660">
        <f>'[13]Диспан.набл.взрослых Пр.16- 23'!G115+'[13]Уточнение Пр.17-23  '!G115</f>
        <v>81</v>
      </c>
      <c r="H115" s="660">
        <f>'[13]Диспан.набл.взрослых Пр.16- 23'!H115+'[13]Уточнение Пр.17-23  '!H115</f>
        <v>13</v>
      </c>
      <c r="I115" s="660">
        <f>'[13]Диспан.набл.взрослых Пр.16- 23'!I115+'[13]Уточнение Пр.17-23  '!I115</f>
        <v>0</v>
      </c>
      <c r="J115" s="660">
        <f>'[13]Диспан.набл.взрослых Пр.16- 23'!J115+'[13]Уточнение Пр.17-23  '!J115</f>
        <v>0</v>
      </c>
      <c r="K115" s="660">
        <f>'[13]Диспан.набл.взрослых Пр.16- 23'!K115+'[13]Уточнение Пр.17-23  '!K115</f>
        <v>1</v>
      </c>
      <c r="L115" s="660">
        <f>'[13]Диспан.набл.взрослых Пр.16- 23'!L115+'[13]Уточнение Пр.17-23  '!L115</f>
        <v>0</v>
      </c>
      <c r="M115" s="660">
        <f>'[13]Диспан.набл.взрослых Пр.16- 23'!M115+'[13]Уточнение Пр.17-23  '!M115</f>
        <v>1</v>
      </c>
      <c r="N115" s="660">
        <f>'[13]Диспан.набл.взрослых Пр.16- 23'!N115+'[13]Уточнение Пр.17-23  '!N115</f>
        <v>213</v>
      </c>
      <c r="O115" s="660">
        <f>'[13]Диспан.набл.взрослых Пр.16- 23'!O115+'[13]Уточнение Пр.17-23  '!O115</f>
        <v>8</v>
      </c>
      <c r="P115" s="660">
        <f>'[13]Диспан.набл.взрослых Пр.16- 23'!P115+'[13]Уточнение Пр.17-23  '!P115</f>
        <v>7</v>
      </c>
      <c r="Q115" s="660">
        <f>'[13]Диспан.набл.взрослых Пр.16- 23'!Q115+'[13]Уточнение Пр.17-23  '!Q115</f>
        <v>65</v>
      </c>
      <c r="R115" s="660">
        <f>'[13]Диспан.набл.взрослых Пр.16- 23'!R115+'[13]Уточнение Пр.17-23  '!R115</f>
        <v>1</v>
      </c>
      <c r="S115" s="660">
        <f t="shared" si="6"/>
        <v>10623</v>
      </c>
      <c r="T115" s="659"/>
    </row>
    <row r="116" spans="1:20" x14ac:dyDescent="0.25">
      <c r="A116" s="662">
        <v>101</v>
      </c>
      <c r="B116" s="665" t="s">
        <v>215</v>
      </c>
      <c r="C116" s="664" t="s">
        <v>216</v>
      </c>
      <c r="D116" s="660">
        <f t="shared" si="5"/>
        <v>7049</v>
      </c>
      <c r="E116" s="660">
        <f>'[13]Диспан.набл.взрослых Пр.16- 23'!E116+'[13]Уточнение Пр.17-23  '!E116</f>
        <v>6917</v>
      </c>
      <c r="F116" s="660">
        <f>'[13]Диспан.набл.взрослых Пр.16- 23'!F116+'[13]Уточнение Пр.17-23  '!F116</f>
        <v>0</v>
      </c>
      <c r="G116" s="660">
        <f>'[13]Диспан.набл.взрослых Пр.16- 23'!G116+'[13]Уточнение Пр.17-23  '!G116</f>
        <v>0</v>
      </c>
      <c r="H116" s="660">
        <f>'[13]Диспан.набл.взрослых Пр.16- 23'!H116+'[13]Уточнение Пр.17-23  '!H116</f>
        <v>3</v>
      </c>
      <c r="I116" s="660">
        <f>'[13]Диспан.набл.взрослых Пр.16- 23'!I116+'[13]Уточнение Пр.17-23  '!I116</f>
        <v>0</v>
      </c>
      <c r="J116" s="660">
        <f>'[13]Диспан.набл.взрослых Пр.16- 23'!J116+'[13]Уточнение Пр.17-23  '!J116</f>
        <v>0</v>
      </c>
      <c r="K116" s="660">
        <f>'[13]Диспан.набл.взрослых Пр.16- 23'!K116+'[13]Уточнение Пр.17-23  '!K116</f>
        <v>0</v>
      </c>
      <c r="L116" s="660">
        <f>'[13]Диспан.набл.взрослых Пр.16- 23'!L116+'[13]Уточнение Пр.17-23  '!L116</f>
        <v>0</v>
      </c>
      <c r="M116" s="660">
        <f>'[13]Диспан.набл.взрослых Пр.16- 23'!M116+'[13]Уточнение Пр.17-23  '!M116</f>
        <v>3</v>
      </c>
      <c r="N116" s="660">
        <f>'[13]Диспан.набл.взрослых Пр.16- 23'!N116+'[13]Уточнение Пр.17-23  '!N116</f>
        <v>3</v>
      </c>
      <c r="O116" s="660">
        <f>'[13]Диспан.набл.взрослых Пр.16- 23'!O116+'[13]Уточнение Пр.17-23  '!O116</f>
        <v>3</v>
      </c>
      <c r="P116" s="660">
        <f>'[13]Диспан.набл.взрослых Пр.16- 23'!P116+'[13]Уточнение Пр.17-23  '!P116</f>
        <v>0</v>
      </c>
      <c r="Q116" s="660">
        <f>'[13]Диспан.набл.взрослых Пр.16- 23'!Q116+'[13]Уточнение Пр.17-23  '!Q116</f>
        <v>84</v>
      </c>
      <c r="R116" s="660">
        <f>'[13]Диспан.набл.взрослых Пр.16- 23'!R116+'[13]Уточнение Пр.17-23  '!R116</f>
        <v>36</v>
      </c>
      <c r="S116" s="660">
        <f t="shared" si="6"/>
        <v>6917</v>
      </c>
      <c r="T116" s="659"/>
    </row>
    <row r="117" spans="1:20" x14ac:dyDescent="0.25">
      <c r="A117" s="662">
        <v>102</v>
      </c>
      <c r="B117" s="663" t="s">
        <v>217</v>
      </c>
      <c r="C117" s="434" t="s">
        <v>218</v>
      </c>
      <c r="D117" s="660">
        <f t="shared" si="5"/>
        <v>0</v>
      </c>
      <c r="E117" s="660">
        <f>'[13]Диспан.набл.взрослых Пр.16- 23'!E117+'[13]Уточнение Пр.17-23  '!E117</f>
        <v>0</v>
      </c>
      <c r="F117" s="660">
        <f>'[13]Диспан.набл.взрослых Пр.16- 23'!F117+'[13]Уточнение Пр.17-23  '!F117</f>
        <v>0</v>
      </c>
      <c r="G117" s="660">
        <f>'[13]Диспан.набл.взрослых Пр.16- 23'!G117+'[13]Уточнение Пр.17-23  '!G117</f>
        <v>0</v>
      </c>
      <c r="H117" s="660">
        <f>'[13]Диспан.набл.взрослых Пр.16- 23'!H117+'[13]Уточнение Пр.17-23  '!H117</f>
        <v>0</v>
      </c>
      <c r="I117" s="660">
        <f>'[13]Диспан.набл.взрослых Пр.16- 23'!I117+'[13]Уточнение Пр.17-23  '!I117</f>
        <v>0</v>
      </c>
      <c r="J117" s="660">
        <f>'[13]Диспан.набл.взрослых Пр.16- 23'!J117+'[13]Уточнение Пр.17-23  '!J117</f>
        <v>0</v>
      </c>
      <c r="K117" s="660">
        <f>'[13]Диспан.набл.взрослых Пр.16- 23'!K117+'[13]Уточнение Пр.17-23  '!K117</f>
        <v>0</v>
      </c>
      <c r="L117" s="660">
        <f>'[13]Диспан.набл.взрослых Пр.16- 23'!L117+'[13]Уточнение Пр.17-23  '!L117</f>
        <v>0</v>
      </c>
      <c r="M117" s="660">
        <f>'[13]Диспан.набл.взрослых Пр.16- 23'!M117+'[13]Уточнение Пр.17-23  '!M117</f>
        <v>0</v>
      </c>
      <c r="N117" s="660">
        <f>'[13]Диспан.набл.взрослых Пр.16- 23'!N117+'[13]Уточнение Пр.17-23  '!N117</f>
        <v>0</v>
      </c>
      <c r="O117" s="660">
        <f>'[13]Диспан.набл.взрослых Пр.16- 23'!O117+'[13]Уточнение Пр.17-23  '!O117</f>
        <v>0</v>
      </c>
      <c r="P117" s="660">
        <f>'[13]Диспан.набл.взрослых Пр.16- 23'!P117+'[13]Уточнение Пр.17-23  '!P117</f>
        <v>0</v>
      </c>
      <c r="Q117" s="660">
        <f>'[13]Диспан.набл.взрослых Пр.16- 23'!Q117+'[13]Уточнение Пр.17-23  '!Q117</f>
        <v>0</v>
      </c>
      <c r="R117" s="660">
        <f>'[13]Диспан.набл.взрослых Пр.16- 23'!R117+'[13]Уточнение Пр.17-23  '!R117</f>
        <v>0</v>
      </c>
      <c r="S117" s="660">
        <f t="shared" si="6"/>
        <v>0</v>
      </c>
      <c r="T117" s="659"/>
    </row>
    <row r="118" spans="1:20" x14ac:dyDescent="0.25">
      <c r="A118" s="662">
        <v>103</v>
      </c>
      <c r="B118" s="663" t="s">
        <v>219</v>
      </c>
      <c r="C118" s="664" t="s">
        <v>220</v>
      </c>
      <c r="D118" s="660">
        <f t="shared" si="5"/>
        <v>0</v>
      </c>
      <c r="E118" s="660">
        <f>'[13]Диспан.набл.взрослых Пр.16- 23'!E118+'[13]Уточнение Пр.17-23  '!E118</f>
        <v>0</v>
      </c>
      <c r="F118" s="660">
        <f>'[13]Диспан.набл.взрослых Пр.16- 23'!F118+'[13]Уточнение Пр.17-23  '!F118</f>
        <v>0</v>
      </c>
      <c r="G118" s="660">
        <f>'[13]Диспан.набл.взрослых Пр.16- 23'!G118+'[13]Уточнение Пр.17-23  '!G118</f>
        <v>0</v>
      </c>
      <c r="H118" s="660">
        <f>'[13]Диспан.набл.взрослых Пр.16- 23'!H118+'[13]Уточнение Пр.17-23  '!H118</f>
        <v>0</v>
      </c>
      <c r="I118" s="660">
        <f>'[13]Диспан.набл.взрослых Пр.16- 23'!I118+'[13]Уточнение Пр.17-23  '!I118</f>
        <v>0</v>
      </c>
      <c r="J118" s="660">
        <f>'[13]Диспан.набл.взрослых Пр.16- 23'!J118+'[13]Уточнение Пр.17-23  '!J118</f>
        <v>0</v>
      </c>
      <c r="K118" s="660">
        <f>'[13]Диспан.набл.взрослых Пр.16- 23'!K118+'[13]Уточнение Пр.17-23  '!K118</f>
        <v>0</v>
      </c>
      <c r="L118" s="660">
        <f>'[13]Диспан.набл.взрослых Пр.16- 23'!L118+'[13]Уточнение Пр.17-23  '!L118</f>
        <v>0</v>
      </c>
      <c r="M118" s="660">
        <f>'[13]Диспан.набл.взрослых Пр.16- 23'!M118+'[13]Уточнение Пр.17-23  '!M118</f>
        <v>0</v>
      </c>
      <c r="N118" s="660">
        <f>'[13]Диспан.набл.взрослых Пр.16- 23'!N118+'[13]Уточнение Пр.17-23  '!N118</f>
        <v>0</v>
      </c>
      <c r="O118" s="660">
        <f>'[13]Диспан.набл.взрослых Пр.16- 23'!O118+'[13]Уточнение Пр.17-23  '!O118</f>
        <v>0</v>
      </c>
      <c r="P118" s="660">
        <f>'[13]Диспан.набл.взрослых Пр.16- 23'!P118+'[13]Уточнение Пр.17-23  '!P118</f>
        <v>0</v>
      </c>
      <c r="Q118" s="660">
        <f>'[13]Диспан.набл.взрослых Пр.16- 23'!Q118+'[13]Уточнение Пр.17-23  '!Q118</f>
        <v>0</v>
      </c>
      <c r="R118" s="660">
        <f>'[13]Диспан.набл.взрослых Пр.16- 23'!R118+'[13]Уточнение Пр.17-23  '!R118</f>
        <v>0</v>
      </c>
      <c r="S118" s="660">
        <f t="shared" si="6"/>
        <v>0</v>
      </c>
      <c r="T118" s="659"/>
    </row>
    <row r="119" spans="1:20" x14ac:dyDescent="0.25">
      <c r="A119" s="662">
        <v>104</v>
      </c>
      <c r="B119" s="666" t="s">
        <v>221</v>
      </c>
      <c r="C119" s="434" t="s">
        <v>222</v>
      </c>
      <c r="D119" s="660">
        <f t="shared" si="5"/>
        <v>0</v>
      </c>
      <c r="E119" s="660">
        <f>'[13]Диспан.набл.взрослых Пр.16- 23'!E119+'[13]Уточнение Пр.17-23  '!E119</f>
        <v>0</v>
      </c>
      <c r="F119" s="660">
        <f>'[13]Диспан.набл.взрослых Пр.16- 23'!F119+'[13]Уточнение Пр.17-23  '!F119</f>
        <v>0</v>
      </c>
      <c r="G119" s="660">
        <f>'[13]Диспан.набл.взрослых Пр.16- 23'!G119+'[13]Уточнение Пр.17-23  '!G119</f>
        <v>0</v>
      </c>
      <c r="H119" s="660">
        <f>'[13]Диспан.набл.взрослых Пр.16- 23'!H119+'[13]Уточнение Пр.17-23  '!H119</f>
        <v>0</v>
      </c>
      <c r="I119" s="660">
        <f>'[13]Диспан.набл.взрослых Пр.16- 23'!I119+'[13]Уточнение Пр.17-23  '!I119</f>
        <v>0</v>
      </c>
      <c r="J119" s="660">
        <f>'[13]Диспан.набл.взрослых Пр.16- 23'!J119+'[13]Уточнение Пр.17-23  '!J119</f>
        <v>0</v>
      </c>
      <c r="K119" s="660">
        <f>'[13]Диспан.набл.взрослых Пр.16- 23'!K119+'[13]Уточнение Пр.17-23  '!K119</f>
        <v>0</v>
      </c>
      <c r="L119" s="660">
        <f>'[13]Диспан.набл.взрослых Пр.16- 23'!L119+'[13]Уточнение Пр.17-23  '!L119</f>
        <v>0</v>
      </c>
      <c r="M119" s="660">
        <f>'[13]Диспан.набл.взрослых Пр.16- 23'!M119+'[13]Уточнение Пр.17-23  '!M119</f>
        <v>0</v>
      </c>
      <c r="N119" s="660">
        <f>'[13]Диспан.набл.взрослых Пр.16- 23'!N119+'[13]Уточнение Пр.17-23  '!N119</f>
        <v>0</v>
      </c>
      <c r="O119" s="660">
        <f>'[13]Диспан.набл.взрослых Пр.16- 23'!O119+'[13]Уточнение Пр.17-23  '!O119</f>
        <v>0</v>
      </c>
      <c r="P119" s="660">
        <f>'[13]Диспан.набл.взрослых Пр.16- 23'!P119+'[13]Уточнение Пр.17-23  '!P119</f>
        <v>0</v>
      </c>
      <c r="Q119" s="660">
        <f>'[13]Диспан.набл.взрослых Пр.16- 23'!Q119+'[13]Уточнение Пр.17-23  '!Q119</f>
        <v>0</v>
      </c>
      <c r="R119" s="660">
        <f>'[13]Диспан.набл.взрослых Пр.16- 23'!R119+'[13]Уточнение Пр.17-23  '!R119</f>
        <v>0</v>
      </c>
      <c r="S119" s="660">
        <f t="shared" si="6"/>
        <v>0</v>
      </c>
      <c r="T119" s="659"/>
    </row>
    <row r="120" spans="1:20" x14ac:dyDescent="0.25">
      <c r="A120" s="662">
        <v>105</v>
      </c>
      <c r="B120" s="666" t="s">
        <v>223</v>
      </c>
      <c r="C120" s="434" t="s">
        <v>224</v>
      </c>
      <c r="D120" s="660">
        <f t="shared" si="5"/>
        <v>0</v>
      </c>
      <c r="E120" s="660">
        <f>'[13]Диспан.набл.взрослых Пр.16- 23'!E120+'[13]Уточнение Пр.17-23  '!E120</f>
        <v>0</v>
      </c>
      <c r="F120" s="660">
        <f>'[13]Диспан.набл.взрослых Пр.16- 23'!F120+'[13]Уточнение Пр.17-23  '!F120</f>
        <v>0</v>
      </c>
      <c r="G120" s="660">
        <f>'[13]Диспан.набл.взрослых Пр.16- 23'!G120+'[13]Уточнение Пр.17-23  '!G120</f>
        <v>0</v>
      </c>
      <c r="H120" s="660">
        <f>'[13]Диспан.набл.взрослых Пр.16- 23'!H120+'[13]Уточнение Пр.17-23  '!H120</f>
        <v>0</v>
      </c>
      <c r="I120" s="660">
        <f>'[13]Диспан.набл.взрослых Пр.16- 23'!I120+'[13]Уточнение Пр.17-23  '!I120</f>
        <v>0</v>
      </c>
      <c r="J120" s="660">
        <f>'[13]Диспан.набл.взрослых Пр.16- 23'!J120+'[13]Уточнение Пр.17-23  '!J120</f>
        <v>0</v>
      </c>
      <c r="K120" s="660">
        <f>'[13]Диспан.набл.взрослых Пр.16- 23'!K120+'[13]Уточнение Пр.17-23  '!K120</f>
        <v>0</v>
      </c>
      <c r="L120" s="660">
        <f>'[13]Диспан.набл.взрослых Пр.16- 23'!L120+'[13]Уточнение Пр.17-23  '!L120</f>
        <v>0</v>
      </c>
      <c r="M120" s="660">
        <f>'[13]Диспан.набл.взрослых Пр.16- 23'!M120+'[13]Уточнение Пр.17-23  '!M120</f>
        <v>0</v>
      </c>
      <c r="N120" s="660">
        <f>'[13]Диспан.набл.взрослых Пр.16- 23'!N120+'[13]Уточнение Пр.17-23  '!N120</f>
        <v>0</v>
      </c>
      <c r="O120" s="660">
        <f>'[13]Диспан.набл.взрослых Пр.16- 23'!O120+'[13]Уточнение Пр.17-23  '!O120</f>
        <v>0</v>
      </c>
      <c r="P120" s="660">
        <f>'[13]Диспан.набл.взрослых Пр.16- 23'!P120+'[13]Уточнение Пр.17-23  '!P120</f>
        <v>0</v>
      </c>
      <c r="Q120" s="660">
        <f>'[13]Диспан.набл.взрослых Пр.16- 23'!Q120+'[13]Уточнение Пр.17-23  '!Q120</f>
        <v>0</v>
      </c>
      <c r="R120" s="660">
        <f>'[13]Диспан.набл.взрослых Пр.16- 23'!R120+'[13]Уточнение Пр.17-23  '!R120</f>
        <v>0</v>
      </c>
      <c r="S120" s="660">
        <f t="shared" si="6"/>
        <v>0</v>
      </c>
      <c r="T120" s="659"/>
    </row>
    <row r="121" spans="1:20" x14ac:dyDescent="0.25">
      <c r="A121" s="662">
        <v>106</v>
      </c>
      <c r="B121" s="666" t="s">
        <v>225</v>
      </c>
      <c r="C121" s="434" t="s">
        <v>226</v>
      </c>
      <c r="D121" s="660">
        <f t="shared" si="5"/>
        <v>0</v>
      </c>
      <c r="E121" s="660">
        <f>'[13]Диспан.набл.взрослых Пр.16- 23'!E121+'[13]Уточнение Пр.17-23  '!E121</f>
        <v>0</v>
      </c>
      <c r="F121" s="660">
        <f>'[13]Диспан.набл.взрослых Пр.16- 23'!F121+'[13]Уточнение Пр.17-23  '!F121</f>
        <v>0</v>
      </c>
      <c r="G121" s="660">
        <f>'[13]Диспан.набл.взрослых Пр.16- 23'!G121+'[13]Уточнение Пр.17-23  '!G121</f>
        <v>0</v>
      </c>
      <c r="H121" s="660">
        <f>'[13]Диспан.набл.взрослых Пр.16- 23'!H121+'[13]Уточнение Пр.17-23  '!H121</f>
        <v>0</v>
      </c>
      <c r="I121" s="660">
        <f>'[13]Диспан.набл.взрослых Пр.16- 23'!I121+'[13]Уточнение Пр.17-23  '!I121</f>
        <v>0</v>
      </c>
      <c r="J121" s="660">
        <f>'[13]Диспан.набл.взрослых Пр.16- 23'!J121+'[13]Уточнение Пр.17-23  '!J121</f>
        <v>0</v>
      </c>
      <c r="K121" s="660">
        <f>'[13]Диспан.набл.взрослых Пр.16- 23'!K121+'[13]Уточнение Пр.17-23  '!K121</f>
        <v>0</v>
      </c>
      <c r="L121" s="660">
        <f>'[13]Диспан.набл.взрослых Пр.16- 23'!L121+'[13]Уточнение Пр.17-23  '!L121</f>
        <v>0</v>
      </c>
      <c r="M121" s="660">
        <f>'[13]Диспан.набл.взрослых Пр.16- 23'!M121+'[13]Уточнение Пр.17-23  '!M121</f>
        <v>0</v>
      </c>
      <c r="N121" s="660">
        <f>'[13]Диспан.набл.взрослых Пр.16- 23'!N121+'[13]Уточнение Пр.17-23  '!N121</f>
        <v>0</v>
      </c>
      <c r="O121" s="660">
        <f>'[13]Диспан.набл.взрослых Пр.16- 23'!O121+'[13]Уточнение Пр.17-23  '!O121</f>
        <v>0</v>
      </c>
      <c r="P121" s="660">
        <f>'[13]Диспан.набл.взрослых Пр.16- 23'!P121+'[13]Уточнение Пр.17-23  '!P121</f>
        <v>0</v>
      </c>
      <c r="Q121" s="660">
        <f>'[13]Диспан.набл.взрослых Пр.16- 23'!Q121+'[13]Уточнение Пр.17-23  '!Q121</f>
        <v>0</v>
      </c>
      <c r="R121" s="660">
        <f>'[13]Диспан.набл.взрослых Пр.16- 23'!R121+'[13]Уточнение Пр.17-23  '!R121</f>
        <v>0</v>
      </c>
      <c r="S121" s="660">
        <f t="shared" si="6"/>
        <v>0</v>
      </c>
      <c r="T121" s="659"/>
    </row>
    <row r="122" spans="1:20" ht="24" x14ac:dyDescent="0.25">
      <c r="A122" s="662">
        <v>107</v>
      </c>
      <c r="B122" s="666" t="s">
        <v>227</v>
      </c>
      <c r="C122" s="434" t="s">
        <v>228</v>
      </c>
      <c r="D122" s="660">
        <f t="shared" si="5"/>
        <v>0</v>
      </c>
      <c r="E122" s="660">
        <f>'[13]Диспан.набл.взрослых Пр.16- 23'!E122+'[13]Уточнение Пр.17-23  '!E122</f>
        <v>0</v>
      </c>
      <c r="F122" s="660">
        <f>'[13]Диспан.набл.взрослых Пр.16- 23'!F122+'[13]Уточнение Пр.17-23  '!F122</f>
        <v>0</v>
      </c>
      <c r="G122" s="660">
        <f>'[13]Диспан.набл.взрослых Пр.16- 23'!G122+'[13]Уточнение Пр.17-23  '!G122</f>
        <v>0</v>
      </c>
      <c r="H122" s="660">
        <f>'[13]Диспан.набл.взрослых Пр.16- 23'!H122+'[13]Уточнение Пр.17-23  '!H122</f>
        <v>0</v>
      </c>
      <c r="I122" s="660">
        <f>'[13]Диспан.набл.взрослых Пр.16- 23'!I122+'[13]Уточнение Пр.17-23  '!I122</f>
        <v>0</v>
      </c>
      <c r="J122" s="660">
        <f>'[13]Диспан.набл.взрослых Пр.16- 23'!J122+'[13]Уточнение Пр.17-23  '!J122</f>
        <v>0</v>
      </c>
      <c r="K122" s="660">
        <f>'[13]Диспан.набл.взрослых Пр.16- 23'!K122+'[13]Уточнение Пр.17-23  '!K122</f>
        <v>0</v>
      </c>
      <c r="L122" s="660">
        <f>'[13]Диспан.набл.взрослых Пр.16- 23'!L122+'[13]Уточнение Пр.17-23  '!L122</f>
        <v>0</v>
      </c>
      <c r="M122" s="660">
        <f>'[13]Диспан.набл.взрослых Пр.16- 23'!M122+'[13]Уточнение Пр.17-23  '!M122</f>
        <v>0</v>
      </c>
      <c r="N122" s="660">
        <f>'[13]Диспан.набл.взрослых Пр.16- 23'!N122+'[13]Уточнение Пр.17-23  '!N122</f>
        <v>0</v>
      </c>
      <c r="O122" s="660">
        <f>'[13]Диспан.набл.взрослых Пр.16- 23'!O122+'[13]Уточнение Пр.17-23  '!O122</f>
        <v>0</v>
      </c>
      <c r="P122" s="660">
        <f>'[13]Диспан.набл.взрослых Пр.16- 23'!P122+'[13]Уточнение Пр.17-23  '!P122</f>
        <v>0</v>
      </c>
      <c r="Q122" s="660">
        <f>'[13]Диспан.набл.взрослых Пр.16- 23'!Q122+'[13]Уточнение Пр.17-23  '!Q122</f>
        <v>0</v>
      </c>
      <c r="R122" s="660">
        <f>'[13]Диспан.набл.взрослых Пр.16- 23'!R122+'[13]Уточнение Пр.17-23  '!R122</f>
        <v>0</v>
      </c>
      <c r="S122" s="660">
        <f t="shared" si="6"/>
        <v>0</v>
      </c>
      <c r="T122" s="659"/>
    </row>
    <row r="123" spans="1:20" x14ac:dyDescent="0.25">
      <c r="A123" s="662">
        <v>108</v>
      </c>
      <c r="B123" s="666" t="s">
        <v>229</v>
      </c>
      <c r="C123" s="434" t="s">
        <v>230</v>
      </c>
      <c r="D123" s="660">
        <f t="shared" si="5"/>
        <v>0</v>
      </c>
      <c r="E123" s="660">
        <f>'[13]Диспан.набл.взрослых Пр.16- 23'!E123+'[13]Уточнение Пр.17-23  '!E123</f>
        <v>0</v>
      </c>
      <c r="F123" s="660">
        <f>'[13]Диспан.набл.взрослых Пр.16- 23'!F123+'[13]Уточнение Пр.17-23  '!F123</f>
        <v>0</v>
      </c>
      <c r="G123" s="660">
        <f>'[13]Диспан.набл.взрослых Пр.16- 23'!G123+'[13]Уточнение Пр.17-23  '!G123</f>
        <v>0</v>
      </c>
      <c r="H123" s="660">
        <f>'[13]Диспан.набл.взрослых Пр.16- 23'!H123+'[13]Уточнение Пр.17-23  '!H123</f>
        <v>0</v>
      </c>
      <c r="I123" s="660">
        <f>'[13]Диспан.набл.взрослых Пр.16- 23'!I123+'[13]Уточнение Пр.17-23  '!I123</f>
        <v>0</v>
      </c>
      <c r="J123" s="660">
        <f>'[13]Диспан.набл.взрослых Пр.16- 23'!J123+'[13]Уточнение Пр.17-23  '!J123</f>
        <v>0</v>
      </c>
      <c r="K123" s="660">
        <f>'[13]Диспан.набл.взрослых Пр.16- 23'!K123+'[13]Уточнение Пр.17-23  '!K123</f>
        <v>0</v>
      </c>
      <c r="L123" s="660">
        <f>'[13]Диспан.набл.взрослых Пр.16- 23'!L123+'[13]Уточнение Пр.17-23  '!L123</f>
        <v>0</v>
      </c>
      <c r="M123" s="660">
        <f>'[13]Диспан.набл.взрослых Пр.16- 23'!M123+'[13]Уточнение Пр.17-23  '!M123</f>
        <v>0</v>
      </c>
      <c r="N123" s="660">
        <f>'[13]Диспан.набл.взрослых Пр.16- 23'!N123+'[13]Уточнение Пр.17-23  '!N123</f>
        <v>0</v>
      </c>
      <c r="O123" s="660">
        <f>'[13]Диспан.набл.взрослых Пр.16- 23'!O123+'[13]Уточнение Пр.17-23  '!O123</f>
        <v>0</v>
      </c>
      <c r="P123" s="660">
        <f>'[13]Диспан.набл.взрослых Пр.16- 23'!P123+'[13]Уточнение Пр.17-23  '!P123</f>
        <v>0</v>
      </c>
      <c r="Q123" s="660">
        <f>'[13]Диспан.набл.взрослых Пр.16- 23'!Q123+'[13]Уточнение Пр.17-23  '!Q123</f>
        <v>0</v>
      </c>
      <c r="R123" s="660">
        <f>'[13]Диспан.набл.взрослых Пр.16- 23'!R123+'[13]Уточнение Пр.17-23  '!R123</f>
        <v>0</v>
      </c>
      <c r="S123" s="660">
        <f t="shared" si="6"/>
        <v>0</v>
      </c>
      <c r="T123" s="659"/>
    </row>
    <row r="124" spans="1:20" x14ac:dyDescent="0.25">
      <c r="A124" s="662">
        <v>109</v>
      </c>
      <c r="B124" s="666" t="s">
        <v>231</v>
      </c>
      <c r="C124" s="434" t="s">
        <v>232</v>
      </c>
      <c r="D124" s="660">
        <f t="shared" si="5"/>
        <v>0</v>
      </c>
      <c r="E124" s="660">
        <f>'[13]Диспан.набл.взрослых Пр.16- 23'!E124+'[13]Уточнение Пр.17-23  '!E124</f>
        <v>0</v>
      </c>
      <c r="F124" s="660">
        <f>'[13]Диспан.набл.взрослых Пр.16- 23'!F124+'[13]Уточнение Пр.17-23  '!F124</f>
        <v>0</v>
      </c>
      <c r="G124" s="660">
        <f>'[13]Диспан.набл.взрослых Пр.16- 23'!G124+'[13]Уточнение Пр.17-23  '!G124</f>
        <v>0</v>
      </c>
      <c r="H124" s="660">
        <f>'[13]Диспан.набл.взрослых Пр.16- 23'!H124+'[13]Уточнение Пр.17-23  '!H124</f>
        <v>0</v>
      </c>
      <c r="I124" s="660">
        <f>'[13]Диспан.набл.взрослых Пр.16- 23'!I124+'[13]Уточнение Пр.17-23  '!I124</f>
        <v>0</v>
      </c>
      <c r="J124" s="660">
        <f>'[13]Диспан.набл.взрослых Пр.16- 23'!J124+'[13]Уточнение Пр.17-23  '!J124</f>
        <v>0</v>
      </c>
      <c r="K124" s="660">
        <f>'[13]Диспан.набл.взрослых Пр.16- 23'!K124+'[13]Уточнение Пр.17-23  '!K124</f>
        <v>0</v>
      </c>
      <c r="L124" s="660">
        <f>'[13]Диспан.набл.взрослых Пр.16- 23'!L124+'[13]Уточнение Пр.17-23  '!L124</f>
        <v>0</v>
      </c>
      <c r="M124" s="660">
        <f>'[13]Диспан.набл.взрослых Пр.16- 23'!M124+'[13]Уточнение Пр.17-23  '!M124</f>
        <v>0</v>
      </c>
      <c r="N124" s="660">
        <f>'[13]Диспан.набл.взрослых Пр.16- 23'!N124+'[13]Уточнение Пр.17-23  '!N124</f>
        <v>0</v>
      </c>
      <c r="O124" s="660">
        <f>'[13]Диспан.набл.взрослых Пр.16- 23'!O124+'[13]Уточнение Пр.17-23  '!O124</f>
        <v>0</v>
      </c>
      <c r="P124" s="660">
        <f>'[13]Диспан.набл.взрослых Пр.16- 23'!P124+'[13]Уточнение Пр.17-23  '!P124</f>
        <v>0</v>
      </c>
      <c r="Q124" s="660">
        <f>'[13]Диспан.набл.взрослых Пр.16- 23'!Q124+'[13]Уточнение Пр.17-23  '!Q124</f>
        <v>0</v>
      </c>
      <c r="R124" s="660">
        <f>'[13]Диспан.набл.взрослых Пр.16- 23'!R124+'[13]Уточнение Пр.17-23  '!R124</f>
        <v>0</v>
      </c>
      <c r="S124" s="660">
        <f t="shared" si="6"/>
        <v>0</v>
      </c>
      <c r="T124" s="659"/>
    </row>
    <row r="125" spans="1:20" x14ac:dyDescent="0.25">
      <c r="A125" s="662">
        <v>110</v>
      </c>
      <c r="B125" s="670" t="s">
        <v>233</v>
      </c>
      <c r="C125" s="671" t="s">
        <v>234</v>
      </c>
      <c r="D125" s="660">
        <f t="shared" si="5"/>
        <v>0</v>
      </c>
      <c r="E125" s="660">
        <f>'[13]Диспан.набл.взрослых Пр.16- 23'!E125+'[13]Уточнение Пр.17-23  '!E125</f>
        <v>0</v>
      </c>
      <c r="F125" s="660">
        <f>'[13]Диспан.набл.взрослых Пр.16- 23'!F125+'[13]Уточнение Пр.17-23  '!F125</f>
        <v>0</v>
      </c>
      <c r="G125" s="660">
        <f>'[13]Диспан.набл.взрослых Пр.16- 23'!G125+'[13]Уточнение Пр.17-23  '!G125</f>
        <v>0</v>
      </c>
      <c r="H125" s="660">
        <f>'[13]Диспан.набл.взрослых Пр.16- 23'!H125+'[13]Уточнение Пр.17-23  '!H125</f>
        <v>0</v>
      </c>
      <c r="I125" s="660">
        <f>'[13]Диспан.набл.взрослых Пр.16- 23'!I125+'[13]Уточнение Пр.17-23  '!I125</f>
        <v>0</v>
      </c>
      <c r="J125" s="660">
        <f>'[13]Диспан.набл.взрослых Пр.16- 23'!J125+'[13]Уточнение Пр.17-23  '!J125</f>
        <v>0</v>
      </c>
      <c r="K125" s="660">
        <f>'[13]Диспан.набл.взрослых Пр.16- 23'!K125+'[13]Уточнение Пр.17-23  '!K125</f>
        <v>0</v>
      </c>
      <c r="L125" s="660">
        <f>'[13]Диспан.набл.взрослых Пр.16- 23'!L125+'[13]Уточнение Пр.17-23  '!L125</f>
        <v>0</v>
      </c>
      <c r="M125" s="660">
        <f>'[13]Диспан.набл.взрослых Пр.16- 23'!M125+'[13]Уточнение Пр.17-23  '!M125</f>
        <v>0</v>
      </c>
      <c r="N125" s="660">
        <f>'[13]Диспан.набл.взрослых Пр.16- 23'!N125+'[13]Уточнение Пр.17-23  '!N125</f>
        <v>0</v>
      </c>
      <c r="O125" s="660">
        <f>'[13]Диспан.набл.взрослых Пр.16- 23'!O125+'[13]Уточнение Пр.17-23  '!O125</f>
        <v>0</v>
      </c>
      <c r="P125" s="660">
        <f>'[13]Диспан.набл.взрослых Пр.16- 23'!P125+'[13]Уточнение Пр.17-23  '!P125</f>
        <v>0</v>
      </c>
      <c r="Q125" s="660">
        <f>'[13]Диспан.набл.взрослых Пр.16- 23'!Q125+'[13]Уточнение Пр.17-23  '!Q125</f>
        <v>0</v>
      </c>
      <c r="R125" s="660">
        <f>'[13]Диспан.набл.взрослых Пр.16- 23'!R125+'[13]Уточнение Пр.17-23  '!R125</f>
        <v>0</v>
      </c>
      <c r="S125" s="660">
        <f t="shared" si="6"/>
        <v>0</v>
      </c>
      <c r="T125" s="659"/>
    </row>
    <row r="126" spans="1:20" x14ac:dyDescent="0.25">
      <c r="A126" s="662">
        <v>111</v>
      </c>
      <c r="B126" s="670" t="s">
        <v>235</v>
      </c>
      <c r="C126" s="671" t="s">
        <v>236</v>
      </c>
      <c r="D126" s="660">
        <f t="shared" si="5"/>
        <v>0</v>
      </c>
      <c r="E126" s="660">
        <f>'[13]Диспан.набл.взрослых Пр.16- 23'!E126+'[13]Уточнение Пр.17-23  '!E126</f>
        <v>0</v>
      </c>
      <c r="F126" s="660">
        <f>'[13]Диспан.набл.взрослых Пр.16- 23'!F126+'[13]Уточнение Пр.17-23  '!F126</f>
        <v>0</v>
      </c>
      <c r="G126" s="660">
        <f>'[13]Диспан.набл.взрослых Пр.16- 23'!G126+'[13]Уточнение Пр.17-23  '!G126</f>
        <v>0</v>
      </c>
      <c r="H126" s="660">
        <f>'[13]Диспан.набл.взрослых Пр.16- 23'!H126+'[13]Уточнение Пр.17-23  '!H126</f>
        <v>0</v>
      </c>
      <c r="I126" s="660">
        <f>'[13]Диспан.набл.взрослых Пр.16- 23'!I126+'[13]Уточнение Пр.17-23  '!I126</f>
        <v>0</v>
      </c>
      <c r="J126" s="660">
        <f>'[13]Диспан.набл.взрослых Пр.16- 23'!J126+'[13]Уточнение Пр.17-23  '!J126</f>
        <v>0</v>
      </c>
      <c r="K126" s="660">
        <f>'[13]Диспан.набл.взрослых Пр.16- 23'!K126+'[13]Уточнение Пр.17-23  '!K126</f>
        <v>0</v>
      </c>
      <c r="L126" s="660">
        <f>'[13]Диспан.набл.взрослых Пр.16- 23'!L126+'[13]Уточнение Пр.17-23  '!L126</f>
        <v>0</v>
      </c>
      <c r="M126" s="660">
        <f>'[13]Диспан.набл.взрослых Пр.16- 23'!M126+'[13]Уточнение Пр.17-23  '!M126</f>
        <v>0</v>
      </c>
      <c r="N126" s="660">
        <f>'[13]Диспан.набл.взрослых Пр.16- 23'!N126+'[13]Уточнение Пр.17-23  '!N126</f>
        <v>0</v>
      </c>
      <c r="O126" s="660">
        <f>'[13]Диспан.набл.взрослых Пр.16- 23'!O126+'[13]Уточнение Пр.17-23  '!O126</f>
        <v>0</v>
      </c>
      <c r="P126" s="660">
        <f>'[13]Диспан.набл.взрослых Пр.16- 23'!P126+'[13]Уточнение Пр.17-23  '!P126</f>
        <v>0</v>
      </c>
      <c r="Q126" s="660">
        <f>'[13]Диспан.набл.взрослых Пр.16- 23'!Q126+'[13]Уточнение Пр.17-23  '!Q126</f>
        <v>0</v>
      </c>
      <c r="R126" s="660">
        <f>'[13]Диспан.набл.взрослых Пр.16- 23'!R126+'[13]Уточнение Пр.17-23  '!R126</f>
        <v>0</v>
      </c>
      <c r="S126" s="660">
        <f t="shared" si="6"/>
        <v>0</v>
      </c>
      <c r="T126" s="659"/>
    </row>
    <row r="127" spans="1:20" x14ac:dyDescent="0.25">
      <c r="A127" s="662">
        <v>112</v>
      </c>
      <c r="B127" s="665" t="s">
        <v>237</v>
      </c>
      <c r="C127" s="664" t="s">
        <v>238</v>
      </c>
      <c r="D127" s="660">
        <f t="shared" si="5"/>
        <v>0</v>
      </c>
      <c r="E127" s="660">
        <f>'[13]Диспан.набл.взрослых Пр.16- 23'!E127+'[13]Уточнение Пр.17-23  '!E127</f>
        <v>0</v>
      </c>
      <c r="F127" s="660">
        <f>'[13]Диспан.набл.взрослых Пр.16- 23'!F127+'[13]Уточнение Пр.17-23  '!F127</f>
        <v>0</v>
      </c>
      <c r="G127" s="660">
        <f>'[13]Диспан.набл.взрослых Пр.16- 23'!G127+'[13]Уточнение Пр.17-23  '!G127</f>
        <v>0</v>
      </c>
      <c r="H127" s="660">
        <f>'[13]Диспан.набл.взрослых Пр.16- 23'!H127+'[13]Уточнение Пр.17-23  '!H127</f>
        <v>0</v>
      </c>
      <c r="I127" s="660">
        <f>'[13]Диспан.набл.взрослых Пр.16- 23'!I127+'[13]Уточнение Пр.17-23  '!I127</f>
        <v>0</v>
      </c>
      <c r="J127" s="660">
        <f>'[13]Диспан.набл.взрослых Пр.16- 23'!J127+'[13]Уточнение Пр.17-23  '!J127</f>
        <v>0</v>
      </c>
      <c r="K127" s="660">
        <f>'[13]Диспан.набл.взрослых Пр.16- 23'!K127+'[13]Уточнение Пр.17-23  '!K127</f>
        <v>0</v>
      </c>
      <c r="L127" s="660">
        <f>'[13]Диспан.набл.взрослых Пр.16- 23'!L127+'[13]Уточнение Пр.17-23  '!L127</f>
        <v>0</v>
      </c>
      <c r="M127" s="660">
        <f>'[13]Диспан.набл.взрослых Пр.16- 23'!M127+'[13]Уточнение Пр.17-23  '!M127</f>
        <v>0</v>
      </c>
      <c r="N127" s="660">
        <f>'[13]Диспан.набл.взрослых Пр.16- 23'!N127+'[13]Уточнение Пр.17-23  '!N127</f>
        <v>0</v>
      </c>
      <c r="O127" s="660">
        <f>'[13]Диспан.набл.взрослых Пр.16- 23'!O127+'[13]Уточнение Пр.17-23  '!O127</f>
        <v>0</v>
      </c>
      <c r="P127" s="660">
        <f>'[13]Диспан.набл.взрослых Пр.16- 23'!P127+'[13]Уточнение Пр.17-23  '!P127</f>
        <v>0</v>
      </c>
      <c r="Q127" s="660">
        <f>'[13]Диспан.набл.взрослых Пр.16- 23'!Q127+'[13]Уточнение Пр.17-23  '!Q127</f>
        <v>0</v>
      </c>
      <c r="R127" s="660">
        <f>'[13]Диспан.набл.взрослых Пр.16- 23'!R127+'[13]Уточнение Пр.17-23  '!R127</f>
        <v>0</v>
      </c>
      <c r="S127" s="660">
        <f t="shared" si="6"/>
        <v>0</v>
      </c>
      <c r="T127" s="659"/>
    </row>
    <row r="128" spans="1:20" x14ac:dyDescent="0.25">
      <c r="A128" s="662">
        <v>113</v>
      </c>
      <c r="B128" s="666" t="s">
        <v>239</v>
      </c>
      <c r="C128" s="434" t="s">
        <v>240</v>
      </c>
      <c r="D128" s="660">
        <f t="shared" si="5"/>
        <v>0</v>
      </c>
      <c r="E128" s="660">
        <f>'[13]Диспан.набл.взрослых Пр.16- 23'!E128+'[13]Уточнение Пр.17-23  '!E128</f>
        <v>0</v>
      </c>
      <c r="F128" s="660">
        <f>'[13]Диспан.набл.взрослых Пр.16- 23'!F128+'[13]Уточнение Пр.17-23  '!F128</f>
        <v>0</v>
      </c>
      <c r="G128" s="660">
        <f>'[13]Диспан.набл.взрослых Пр.16- 23'!G128+'[13]Уточнение Пр.17-23  '!G128</f>
        <v>0</v>
      </c>
      <c r="H128" s="660">
        <f>'[13]Диспан.набл.взрослых Пр.16- 23'!H128+'[13]Уточнение Пр.17-23  '!H128</f>
        <v>0</v>
      </c>
      <c r="I128" s="660">
        <f>'[13]Диспан.набл.взрослых Пр.16- 23'!I128+'[13]Уточнение Пр.17-23  '!I128</f>
        <v>0</v>
      </c>
      <c r="J128" s="660">
        <f>'[13]Диспан.набл.взрослых Пр.16- 23'!J128+'[13]Уточнение Пр.17-23  '!J128</f>
        <v>0</v>
      </c>
      <c r="K128" s="660">
        <f>'[13]Диспан.набл.взрослых Пр.16- 23'!K128+'[13]Уточнение Пр.17-23  '!K128</f>
        <v>0</v>
      </c>
      <c r="L128" s="660">
        <f>'[13]Диспан.набл.взрослых Пр.16- 23'!L128+'[13]Уточнение Пр.17-23  '!L128</f>
        <v>0</v>
      </c>
      <c r="M128" s="660">
        <f>'[13]Диспан.набл.взрослых Пр.16- 23'!M128+'[13]Уточнение Пр.17-23  '!M128</f>
        <v>0</v>
      </c>
      <c r="N128" s="660">
        <f>'[13]Диспан.набл.взрослых Пр.16- 23'!N128+'[13]Уточнение Пр.17-23  '!N128</f>
        <v>0</v>
      </c>
      <c r="O128" s="660">
        <f>'[13]Диспан.набл.взрослых Пр.16- 23'!O128+'[13]Уточнение Пр.17-23  '!O128</f>
        <v>0</v>
      </c>
      <c r="P128" s="660">
        <f>'[13]Диспан.набл.взрослых Пр.16- 23'!P128+'[13]Уточнение Пр.17-23  '!P128</f>
        <v>0</v>
      </c>
      <c r="Q128" s="660">
        <f>'[13]Диспан.набл.взрослых Пр.16- 23'!Q128+'[13]Уточнение Пр.17-23  '!Q128</f>
        <v>0</v>
      </c>
      <c r="R128" s="660">
        <f>'[13]Диспан.набл.взрослых Пр.16- 23'!R128+'[13]Уточнение Пр.17-23  '!R128</f>
        <v>0</v>
      </c>
      <c r="S128" s="660">
        <f t="shared" si="6"/>
        <v>0</v>
      </c>
      <c r="T128" s="659"/>
    </row>
    <row r="129" spans="1:20" x14ac:dyDescent="0.25">
      <c r="A129" s="662">
        <v>114</v>
      </c>
      <c r="B129" s="663" t="s">
        <v>241</v>
      </c>
      <c r="C129" s="672" t="s">
        <v>242</v>
      </c>
      <c r="D129" s="660">
        <f t="shared" si="5"/>
        <v>0</v>
      </c>
      <c r="E129" s="660">
        <f>'[13]Диспан.набл.взрослых Пр.16- 23'!E129+'[13]Уточнение Пр.17-23  '!E129</f>
        <v>0</v>
      </c>
      <c r="F129" s="660">
        <f>'[13]Диспан.набл.взрослых Пр.16- 23'!F129+'[13]Уточнение Пр.17-23  '!F129</f>
        <v>0</v>
      </c>
      <c r="G129" s="660">
        <f>'[13]Диспан.набл.взрослых Пр.16- 23'!G129+'[13]Уточнение Пр.17-23  '!G129</f>
        <v>0</v>
      </c>
      <c r="H129" s="660">
        <f>'[13]Диспан.набл.взрослых Пр.16- 23'!H129+'[13]Уточнение Пр.17-23  '!H129</f>
        <v>0</v>
      </c>
      <c r="I129" s="660">
        <f>'[13]Диспан.набл.взрослых Пр.16- 23'!I129+'[13]Уточнение Пр.17-23  '!I129</f>
        <v>0</v>
      </c>
      <c r="J129" s="660">
        <f>'[13]Диспан.набл.взрослых Пр.16- 23'!J129+'[13]Уточнение Пр.17-23  '!J129</f>
        <v>0</v>
      </c>
      <c r="K129" s="660">
        <f>'[13]Диспан.набл.взрослых Пр.16- 23'!K129+'[13]Уточнение Пр.17-23  '!K129</f>
        <v>0</v>
      </c>
      <c r="L129" s="660">
        <f>'[13]Диспан.набл.взрослых Пр.16- 23'!L129+'[13]Уточнение Пр.17-23  '!L129</f>
        <v>0</v>
      </c>
      <c r="M129" s="660">
        <f>'[13]Диспан.набл.взрослых Пр.16- 23'!M129+'[13]Уточнение Пр.17-23  '!M129</f>
        <v>0</v>
      </c>
      <c r="N129" s="660">
        <f>'[13]Диспан.набл.взрослых Пр.16- 23'!N129+'[13]Уточнение Пр.17-23  '!N129</f>
        <v>0</v>
      </c>
      <c r="O129" s="660">
        <f>'[13]Диспан.набл.взрослых Пр.16- 23'!O129+'[13]Уточнение Пр.17-23  '!O129</f>
        <v>0</v>
      </c>
      <c r="P129" s="660">
        <f>'[13]Диспан.набл.взрослых Пр.16- 23'!P129+'[13]Уточнение Пр.17-23  '!P129</f>
        <v>0</v>
      </c>
      <c r="Q129" s="660">
        <f>'[13]Диспан.набл.взрослых Пр.16- 23'!Q129+'[13]Уточнение Пр.17-23  '!Q129</f>
        <v>0</v>
      </c>
      <c r="R129" s="660">
        <f>'[13]Диспан.набл.взрослых Пр.16- 23'!R129+'[13]Уточнение Пр.17-23  '!R129</f>
        <v>0</v>
      </c>
      <c r="S129" s="660">
        <f t="shared" si="6"/>
        <v>0</v>
      </c>
      <c r="T129" s="659"/>
    </row>
    <row r="130" spans="1:20" x14ac:dyDescent="0.25">
      <c r="A130" s="662">
        <v>115</v>
      </c>
      <c r="B130" s="666" t="s">
        <v>243</v>
      </c>
      <c r="C130" s="32" t="s">
        <v>385</v>
      </c>
      <c r="D130" s="660">
        <f t="shared" si="5"/>
        <v>0</v>
      </c>
      <c r="E130" s="660">
        <f>'[13]Диспан.набл.взрослых Пр.16- 23'!E130+'[13]Уточнение Пр.17-23  '!E130</f>
        <v>0</v>
      </c>
      <c r="F130" s="660">
        <f>'[13]Диспан.набл.взрослых Пр.16- 23'!F130+'[13]Уточнение Пр.17-23  '!F130</f>
        <v>0</v>
      </c>
      <c r="G130" s="660">
        <f>'[13]Диспан.набл.взрослых Пр.16- 23'!G130+'[13]Уточнение Пр.17-23  '!G130</f>
        <v>0</v>
      </c>
      <c r="H130" s="660">
        <f>'[13]Диспан.набл.взрослых Пр.16- 23'!H130+'[13]Уточнение Пр.17-23  '!H130</f>
        <v>0</v>
      </c>
      <c r="I130" s="660">
        <f>'[13]Диспан.набл.взрослых Пр.16- 23'!I130+'[13]Уточнение Пр.17-23  '!I130</f>
        <v>0</v>
      </c>
      <c r="J130" s="660">
        <f>'[13]Диспан.набл.взрослых Пр.16- 23'!J130+'[13]Уточнение Пр.17-23  '!J130</f>
        <v>0</v>
      </c>
      <c r="K130" s="660">
        <f>'[13]Диспан.набл.взрослых Пр.16- 23'!K130+'[13]Уточнение Пр.17-23  '!K130</f>
        <v>0</v>
      </c>
      <c r="L130" s="660">
        <f>'[13]Диспан.набл.взрослых Пр.16- 23'!L130+'[13]Уточнение Пр.17-23  '!L130</f>
        <v>0</v>
      </c>
      <c r="M130" s="660">
        <f>'[13]Диспан.набл.взрослых Пр.16- 23'!M130+'[13]Уточнение Пр.17-23  '!M130</f>
        <v>0</v>
      </c>
      <c r="N130" s="660">
        <f>'[13]Диспан.набл.взрослых Пр.16- 23'!N130+'[13]Уточнение Пр.17-23  '!N130</f>
        <v>0</v>
      </c>
      <c r="O130" s="660">
        <f>'[13]Диспан.набл.взрослых Пр.16- 23'!O130+'[13]Уточнение Пр.17-23  '!O130</f>
        <v>0</v>
      </c>
      <c r="P130" s="660">
        <f>'[13]Диспан.набл.взрослых Пр.16- 23'!P130+'[13]Уточнение Пр.17-23  '!P130</f>
        <v>0</v>
      </c>
      <c r="Q130" s="660">
        <f>'[13]Диспан.набл.взрослых Пр.16- 23'!Q130+'[13]Уточнение Пр.17-23  '!Q130</f>
        <v>0</v>
      </c>
      <c r="R130" s="660">
        <f>'[13]Диспан.набл.взрослых Пр.16- 23'!R130+'[13]Уточнение Пр.17-23  '!R130</f>
        <v>0</v>
      </c>
      <c r="S130" s="660">
        <f t="shared" si="6"/>
        <v>0</v>
      </c>
      <c r="T130" s="659"/>
    </row>
    <row r="131" spans="1:20" x14ac:dyDescent="0.25">
      <c r="A131" s="662">
        <v>116</v>
      </c>
      <c r="B131" s="665" t="s">
        <v>244</v>
      </c>
      <c r="C131" s="434" t="s">
        <v>245</v>
      </c>
      <c r="D131" s="660">
        <f t="shared" si="5"/>
        <v>0</v>
      </c>
      <c r="E131" s="660">
        <f>'[13]Диспан.набл.взрослых Пр.16- 23'!E131+'[13]Уточнение Пр.17-23  '!E131</f>
        <v>0</v>
      </c>
      <c r="F131" s="660">
        <f>'[13]Диспан.набл.взрослых Пр.16- 23'!F131+'[13]Уточнение Пр.17-23  '!F131</f>
        <v>0</v>
      </c>
      <c r="G131" s="660">
        <f>'[13]Диспан.набл.взрослых Пр.16- 23'!G131+'[13]Уточнение Пр.17-23  '!G131</f>
        <v>0</v>
      </c>
      <c r="H131" s="660">
        <f>'[13]Диспан.набл.взрослых Пр.16- 23'!H131+'[13]Уточнение Пр.17-23  '!H131</f>
        <v>0</v>
      </c>
      <c r="I131" s="660">
        <f>'[13]Диспан.набл.взрослых Пр.16- 23'!I131+'[13]Уточнение Пр.17-23  '!I131</f>
        <v>0</v>
      </c>
      <c r="J131" s="660">
        <f>'[13]Диспан.набл.взрослых Пр.16- 23'!J131+'[13]Уточнение Пр.17-23  '!J131</f>
        <v>0</v>
      </c>
      <c r="K131" s="660">
        <f>'[13]Диспан.набл.взрослых Пр.16- 23'!K131+'[13]Уточнение Пр.17-23  '!K131</f>
        <v>0</v>
      </c>
      <c r="L131" s="660">
        <f>'[13]Диспан.набл.взрослых Пр.16- 23'!L131+'[13]Уточнение Пр.17-23  '!L131</f>
        <v>0</v>
      </c>
      <c r="M131" s="660">
        <f>'[13]Диспан.набл.взрослых Пр.16- 23'!M131+'[13]Уточнение Пр.17-23  '!M131</f>
        <v>0</v>
      </c>
      <c r="N131" s="660">
        <f>'[13]Диспан.набл.взрослых Пр.16- 23'!N131+'[13]Уточнение Пр.17-23  '!N131</f>
        <v>0</v>
      </c>
      <c r="O131" s="660">
        <f>'[13]Диспан.набл.взрослых Пр.16- 23'!O131+'[13]Уточнение Пр.17-23  '!O131</f>
        <v>0</v>
      </c>
      <c r="P131" s="660">
        <f>'[13]Диспан.набл.взрослых Пр.16- 23'!P131+'[13]Уточнение Пр.17-23  '!P131</f>
        <v>0</v>
      </c>
      <c r="Q131" s="660">
        <f>'[13]Диспан.набл.взрослых Пр.16- 23'!Q131+'[13]Уточнение Пр.17-23  '!Q131</f>
        <v>0</v>
      </c>
      <c r="R131" s="660">
        <f>'[13]Диспан.набл.взрослых Пр.16- 23'!R131+'[13]Уточнение Пр.17-23  '!R131</f>
        <v>0</v>
      </c>
      <c r="S131" s="660">
        <f t="shared" si="6"/>
        <v>0</v>
      </c>
      <c r="T131" s="659"/>
    </row>
    <row r="132" spans="1:20" x14ac:dyDescent="0.25">
      <c r="A132" s="662">
        <v>117</v>
      </c>
      <c r="B132" s="665" t="s">
        <v>246</v>
      </c>
      <c r="C132" s="434" t="s">
        <v>247</v>
      </c>
      <c r="D132" s="660">
        <f t="shared" si="5"/>
        <v>0</v>
      </c>
      <c r="E132" s="660">
        <f>'[13]Диспан.набл.взрослых Пр.16- 23'!E132+'[13]Уточнение Пр.17-23  '!E132</f>
        <v>0</v>
      </c>
      <c r="F132" s="660">
        <f>'[13]Диспан.набл.взрослых Пр.16- 23'!F132+'[13]Уточнение Пр.17-23  '!F132</f>
        <v>0</v>
      </c>
      <c r="G132" s="660">
        <f>'[13]Диспан.набл.взрослых Пр.16- 23'!G132+'[13]Уточнение Пр.17-23  '!G132</f>
        <v>0</v>
      </c>
      <c r="H132" s="660">
        <f>'[13]Диспан.набл.взрослых Пр.16- 23'!H132+'[13]Уточнение Пр.17-23  '!H132</f>
        <v>0</v>
      </c>
      <c r="I132" s="660">
        <f>'[13]Диспан.набл.взрослых Пр.16- 23'!I132+'[13]Уточнение Пр.17-23  '!I132</f>
        <v>0</v>
      </c>
      <c r="J132" s="660">
        <f>'[13]Диспан.набл.взрослых Пр.16- 23'!J132+'[13]Уточнение Пр.17-23  '!J132</f>
        <v>0</v>
      </c>
      <c r="K132" s="660">
        <f>'[13]Диспан.набл.взрослых Пр.16- 23'!K132+'[13]Уточнение Пр.17-23  '!K132</f>
        <v>0</v>
      </c>
      <c r="L132" s="660">
        <f>'[13]Диспан.набл.взрослых Пр.16- 23'!L132+'[13]Уточнение Пр.17-23  '!L132</f>
        <v>0</v>
      </c>
      <c r="M132" s="660">
        <f>'[13]Диспан.набл.взрослых Пр.16- 23'!M132+'[13]Уточнение Пр.17-23  '!M132</f>
        <v>0</v>
      </c>
      <c r="N132" s="660">
        <f>'[13]Диспан.набл.взрослых Пр.16- 23'!N132+'[13]Уточнение Пр.17-23  '!N132</f>
        <v>0</v>
      </c>
      <c r="O132" s="660">
        <f>'[13]Диспан.набл.взрослых Пр.16- 23'!O132+'[13]Уточнение Пр.17-23  '!O132</f>
        <v>0</v>
      </c>
      <c r="P132" s="660">
        <f>'[13]Диспан.набл.взрослых Пр.16- 23'!P132+'[13]Уточнение Пр.17-23  '!P132</f>
        <v>0</v>
      </c>
      <c r="Q132" s="660">
        <f>'[13]Диспан.набл.взрослых Пр.16- 23'!Q132+'[13]Уточнение Пр.17-23  '!Q132</f>
        <v>0</v>
      </c>
      <c r="R132" s="660">
        <f>'[13]Диспан.набл.взрослых Пр.16- 23'!R132+'[13]Уточнение Пр.17-23  '!R132</f>
        <v>0</v>
      </c>
      <c r="S132" s="660">
        <f t="shared" si="6"/>
        <v>0</v>
      </c>
      <c r="T132" s="659"/>
    </row>
    <row r="133" spans="1:20" x14ac:dyDescent="0.25">
      <c r="A133" s="662">
        <v>118</v>
      </c>
      <c r="B133" s="665" t="s">
        <v>248</v>
      </c>
      <c r="C133" s="434" t="s">
        <v>249</v>
      </c>
      <c r="D133" s="660">
        <f t="shared" si="5"/>
        <v>0</v>
      </c>
      <c r="E133" s="660">
        <f>'[13]Диспан.набл.взрослых Пр.16- 23'!E133+'[13]Уточнение Пр.17-23  '!E133</f>
        <v>0</v>
      </c>
      <c r="F133" s="660">
        <f>'[13]Диспан.набл.взрослых Пр.16- 23'!F133+'[13]Уточнение Пр.17-23  '!F133</f>
        <v>0</v>
      </c>
      <c r="G133" s="660">
        <f>'[13]Диспан.набл.взрослых Пр.16- 23'!G133+'[13]Уточнение Пр.17-23  '!G133</f>
        <v>0</v>
      </c>
      <c r="H133" s="660">
        <f>'[13]Диспан.набл.взрослых Пр.16- 23'!H133+'[13]Уточнение Пр.17-23  '!H133</f>
        <v>0</v>
      </c>
      <c r="I133" s="660">
        <f>'[13]Диспан.набл.взрослых Пр.16- 23'!I133+'[13]Уточнение Пр.17-23  '!I133</f>
        <v>0</v>
      </c>
      <c r="J133" s="660">
        <f>'[13]Диспан.набл.взрослых Пр.16- 23'!J133+'[13]Уточнение Пр.17-23  '!J133</f>
        <v>0</v>
      </c>
      <c r="K133" s="660">
        <f>'[13]Диспан.набл.взрослых Пр.16- 23'!K133+'[13]Уточнение Пр.17-23  '!K133</f>
        <v>0</v>
      </c>
      <c r="L133" s="660">
        <f>'[13]Диспан.набл.взрослых Пр.16- 23'!L133+'[13]Уточнение Пр.17-23  '!L133</f>
        <v>0</v>
      </c>
      <c r="M133" s="660">
        <f>'[13]Диспан.набл.взрослых Пр.16- 23'!M133+'[13]Уточнение Пр.17-23  '!M133</f>
        <v>0</v>
      </c>
      <c r="N133" s="660">
        <f>'[13]Диспан.набл.взрослых Пр.16- 23'!N133+'[13]Уточнение Пр.17-23  '!N133</f>
        <v>0</v>
      </c>
      <c r="O133" s="660">
        <f>'[13]Диспан.набл.взрослых Пр.16- 23'!O133+'[13]Уточнение Пр.17-23  '!O133</f>
        <v>0</v>
      </c>
      <c r="P133" s="660">
        <f>'[13]Диспан.набл.взрослых Пр.16- 23'!P133+'[13]Уточнение Пр.17-23  '!P133</f>
        <v>0</v>
      </c>
      <c r="Q133" s="660">
        <f>'[13]Диспан.набл.взрослых Пр.16- 23'!Q133+'[13]Уточнение Пр.17-23  '!Q133</f>
        <v>0</v>
      </c>
      <c r="R133" s="660">
        <f>'[13]Диспан.набл.взрослых Пр.16- 23'!R133+'[13]Уточнение Пр.17-23  '!R133</f>
        <v>0</v>
      </c>
      <c r="S133" s="660">
        <f t="shared" si="6"/>
        <v>0</v>
      </c>
      <c r="T133" s="659"/>
    </row>
    <row r="134" spans="1:20" x14ac:dyDescent="0.25">
      <c r="A134" s="662">
        <v>119</v>
      </c>
      <c r="B134" s="663" t="s">
        <v>250</v>
      </c>
      <c r="C134" s="664" t="s">
        <v>251</v>
      </c>
      <c r="D134" s="660">
        <f t="shared" si="5"/>
        <v>0</v>
      </c>
      <c r="E134" s="660">
        <f>'[13]Диспан.набл.взрослых Пр.16- 23'!E134+'[13]Уточнение Пр.17-23  '!E134</f>
        <v>0</v>
      </c>
      <c r="F134" s="660">
        <f>'[13]Диспан.набл.взрослых Пр.16- 23'!F134+'[13]Уточнение Пр.17-23  '!F134</f>
        <v>0</v>
      </c>
      <c r="G134" s="660">
        <f>'[13]Диспан.набл.взрослых Пр.16- 23'!G134+'[13]Уточнение Пр.17-23  '!G134</f>
        <v>0</v>
      </c>
      <c r="H134" s="660">
        <f>'[13]Диспан.набл.взрослых Пр.16- 23'!H134+'[13]Уточнение Пр.17-23  '!H134</f>
        <v>0</v>
      </c>
      <c r="I134" s="660">
        <f>'[13]Диспан.набл.взрослых Пр.16- 23'!I134+'[13]Уточнение Пр.17-23  '!I134</f>
        <v>0</v>
      </c>
      <c r="J134" s="660">
        <f>'[13]Диспан.набл.взрослых Пр.16- 23'!J134+'[13]Уточнение Пр.17-23  '!J134</f>
        <v>0</v>
      </c>
      <c r="K134" s="660">
        <f>'[13]Диспан.набл.взрослых Пр.16- 23'!K134+'[13]Уточнение Пр.17-23  '!K134</f>
        <v>0</v>
      </c>
      <c r="L134" s="660">
        <f>'[13]Диспан.набл.взрослых Пр.16- 23'!L134+'[13]Уточнение Пр.17-23  '!L134</f>
        <v>0</v>
      </c>
      <c r="M134" s="660">
        <f>'[13]Диспан.набл.взрослых Пр.16- 23'!M134+'[13]Уточнение Пр.17-23  '!M134</f>
        <v>0</v>
      </c>
      <c r="N134" s="660">
        <f>'[13]Диспан.набл.взрослых Пр.16- 23'!N134+'[13]Уточнение Пр.17-23  '!N134</f>
        <v>0</v>
      </c>
      <c r="O134" s="660">
        <f>'[13]Диспан.набл.взрослых Пр.16- 23'!O134+'[13]Уточнение Пр.17-23  '!O134</f>
        <v>0</v>
      </c>
      <c r="P134" s="660">
        <f>'[13]Диспан.набл.взрослых Пр.16- 23'!P134+'[13]Уточнение Пр.17-23  '!P134</f>
        <v>0</v>
      </c>
      <c r="Q134" s="660">
        <f>'[13]Диспан.набл.взрослых Пр.16- 23'!Q134+'[13]Уточнение Пр.17-23  '!Q134</f>
        <v>0</v>
      </c>
      <c r="R134" s="660">
        <f>'[13]Диспан.набл.взрослых Пр.16- 23'!R134+'[13]Уточнение Пр.17-23  '!R134</f>
        <v>0</v>
      </c>
      <c r="S134" s="660">
        <f t="shared" si="6"/>
        <v>0</v>
      </c>
      <c r="T134" s="659"/>
    </row>
    <row r="135" spans="1:20" x14ac:dyDescent="0.25">
      <c r="A135" s="662">
        <v>120</v>
      </c>
      <c r="B135" s="665" t="s">
        <v>252</v>
      </c>
      <c r="C135" s="664" t="s">
        <v>253</v>
      </c>
      <c r="D135" s="660">
        <f t="shared" si="5"/>
        <v>0</v>
      </c>
      <c r="E135" s="660">
        <f>'[13]Диспан.набл.взрослых Пр.16- 23'!E135+'[13]Уточнение Пр.17-23  '!E135</f>
        <v>0</v>
      </c>
      <c r="F135" s="660">
        <f>'[13]Диспан.набл.взрослых Пр.16- 23'!F135+'[13]Уточнение Пр.17-23  '!F135</f>
        <v>0</v>
      </c>
      <c r="G135" s="660">
        <f>'[13]Диспан.набл.взрослых Пр.16- 23'!G135+'[13]Уточнение Пр.17-23  '!G135</f>
        <v>0</v>
      </c>
      <c r="H135" s="660">
        <f>'[13]Диспан.набл.взрослых Пр.16- 23'!H135+'[13]Уточнение Пр.17-23  '!H135</f>
        <v>0</v>
      </c>
      <c r="I135" s="660">
        <f>'[13]Диспан.набл.взрослых Пр.16- 23'!I135+'[13]Уточнение Пр.17-23  '!I135</f>
        <v>0</v>
      </c>
      <c r="J135" s="660">
        <f>'[13]Диспан.набл.взрослых Пр.16- 23'!J135+'[13]Уточнение Пр.17-23  '!J135</f>
        <v>0</v>
      </c>
      <c r="K135" s="660">
        <f>'[13]Диспан.набл.взрослых Пр.16- 23'!K135+'[13]Уточнение Пр.17-23  '!K135</f>
        <v>0</v>
      </c>
      <c r="L135" s="660">
        <f>'[13]Диспан.набл.взрослых Пр.16- 23'!L135+'[13]Уточнение Пр.17-23  '!L135</f>
        <v>0</v>
      </c>
      <c r="M135" s="660">
        <f>'[13]Диспан.набл.взрослых Пр.16- 23'!M135+'[13]Уточнение Пр.17-23  '!M135</f>
        <v>0</v>
      </c>
      <c r="N135" s="660">
        <f>'[13]Диспан.набл.взрослых Пр.16- 23'!N135+'[13]Уточнение Пр.17-23  '!N135</f>
        <v>0</v>
      </c>
      <c r="O135" s="660">
        <f>'[13]Диспан.набл.взрослых Пр.16- 23'!O135+'[13]Уточнение Пр.17-23  '!O135</f>
        <v>0</v>
      </c>
      <c r="P135" s="660">
        <f>'[13]Диспан.набл.взрослых Пр.16- 23'!P135+'[13]Уточнение Пр.17-23  '!P135</f>
        <v>0</v>
      </c>
      <c r="Q135" s="660">
        <f>'[13]Диспан.набл.взрослых Пр.16- 23'!Q135+'[13]Уточнение Пр.17-23  '!Q135</f>
        <v>0</v>
      </c>
      <c r="R135" s="660">
        <f>'[13]Диспан.набл.взрослых Пр.16- 23'!R135+'[13]Уточнение Пр.17-23  '!R135</f>
        <v>0</v>
      </c>
      <c r="S135" s="660">
        <f t="shared" si="6"/>
        <v>0</v>
      </c>
      <c r="T135" s="659"/>
    </row>
    <row r="136" spans="1:20" x14ac:dyDescent="0.25">
      <c r="A136" s="662">
        <v>121</v>
      </c>
      <c r="B136" s="666" t="s">
        <v>254</v>
      </c>
      <c r="C136" s="434" t="s">
        <v>255</v>
      </c>
      <c r="D136" s="660">
        <f t="shared" si="5"/>
        <v>0</v>
      </c>
      <c r="E136" s="660">
        <f>'[13]Диспан.набл.взрослых Пр.16- 23'!E136+'[13]Уточнение Пр.17-23  '!E136</f>
        <v>0</v>
      </c>
      <c r="F136" s="660">
        <f>'[13]Диспан.набл.взрослых Пр.16- 23'!F136+'[13]Уточнение Пр.17-23  '!F136</f>
        <v>0</v>
      </c>
      <c r="G136" s="660">
        <f>'[13]Диспан.набл.взрослых Пр.16- 23'!G136+'[13]Уточнение Пр.17-23  '!G136</f>
        <v>0</v>
      </c>
      <c r="H136" s="660">
        <f>'[13]Диспан.набл.взрослых Пр.16- 23'!H136+'[13]Уточнение Пр.17-23  '!H136</f>
        <v>0</v>
      </c>
      <c r="I136" s="660">
        <f>'[13]Диспан.набл.взрослых Пр.16- 23'!I136+'[13]Уточнение Пр.17-23  '!I136</f>
        <v>0</v>
      </c>
      <c r="J136" s="660">
        <f>'[13]Диспан.набл.взрослых Пр.16- 23'!J136+'[13]Уточнение Пр.17-23  '!J136</f>
        <v>0</v>
      </c>
      <c r="K136" s="660">
        <f>'[13]Диспан.набл.взрослых Пр.16- 23'!K136+'[13]Уточнение Пр.17-23  '!K136</f>
        <v>0</v>
      </c>
      <c r="L136" s="660">
        <f>'[13]Диспан.набл.взрослых Пр.16- 23'!L136+'[13]Уточнение Пр.17-23  '!L136</f>
        <v>0</v>
      </c>
      <c r="M136" s="660">
        <f>'[13]Диспан.набл.взрослых Пр.16- 23'!M136+'[13]Уточнение Пр.17-23  '!M136</f>
        <v>0</v>
      </c>
      <c r="N136" s="660">
        <f>'[13]Диспан.набл.взрослых Пр.16- 23'!N136+'[13]Уточнение Пр.17-23  '!N136</f>
        <v>0</v>
      </c>
      <c r="O136" s="660">
        <f>'[13]Диспан.набл.взрослых Пр.16- 23'!O136+'[13]Уточнение Пр.17-23  '!O136</f>
        <v>0</v>
      </c>
      <c r="P136" s="660">
        <f>'[13]Диспан.набл.взрослых Пр.16- 23'!P136+'[13]Уточнение Пр.17-23  '!P136</f>
        <v>0</v>
      </c>
      <c r="Q136" s="660">
        <f>'[13]Диспан.набл.взрослых Пр.16- 23'!Q136+'[13]Уточнение Пр.17-23  '!Q136</f>
        <v>0</v>
      </c>
      <c r="R136" s="660">
        <f>'[13]Диспан.набл.взрослых Пр.16- 23'!R136+'[13]Уточнение Пр.17-23  '!R136</f>
        <v>0</v>
      </c>
      <c r="S136" s="660">
        <f t="shared" si="6"/>
        <v>0</v>
      </c>
      <c r="T136" s="659"/>
    </row>
    <row r="137" spans="1:20" x14ac:dyDescent="0.25">
      <c r="A137" s="662">
        <v>122</v>
      </c>
      <c r="B137" s="666" t="s">
        <v>256</v>
      </c>
      <c r="C137" s="434" t="s">
        <v>257</v>
      </c>
      <c r="D137" s="660">
        <f t="shared" si="5"/>
        <v>0</v>
      </c>
      <c r="E137" s="660">
        <f>'[13]Диспан.набл.взрослых Пр.16- 23'!E137+'[13]Уточнение Пр.17-23  '!E137</f>
        <v>0</v>
      </c>
      <c r="F137" s="660">
        <f>'[13]Диспан.набл.взрослых Пр.16- 23'!F137+'[13]Уточнение Пр.17-23  '!F137</f>
        <v>0</v>
      </c>
      <c r="G137" s="660">
        <f>'[13]Диспан.набл.взрослых Пр.16- 23'!G137+'[13]Уточнение Пр.17-23  '!G137</f>
        <v>0</v>
      </c>
      <c r="H137" s="660">
        <f>'[13]Диспан.набл.взрослых Пр.16- 23'!H137+'[13]Уточнение Пр.17-23  '!H137</f>
        <v>0</v>
      </c>
      <c r="I137" s="660">
        <f>'[13]Диспан.набл.взрослых Пр.16- 23'!I137+'[13]Уточнение Пр.17-23  '!I137</f>
        <v>0</v>
      </c>
      <c r="J137" s="660">
        <f>'[13]Диспан.набл.взрослых Пр.16- 23'!J137+'[13]Уточнение Пр.17-23  '!J137</f>
        <v>0</v>
      </c>
      <c r="K137" s="660">
        <f>'[13]Диспан.набл.взрослых Пр.16- 23'!K137+'[13]Уточнение Пр.17-23  '!K137</f>
        <v>0</v>
      </c>
      <c r="L137" s="660">
        <f>'[13]Диспан.набл.взрослых Пр.16- 23'!L137+'[13]Уточнение Пр.17-23  '!L137</f>
        <v>0</v>
      </c>
      <c r="M137" s="660">
        <f>'[13]Диспан.набл.взрослых Пр.16- 23'!M137+'[13]Уточнение Пр.17-23  '!M137</f>
        <v>0</v>
      </c>
      <c r="N137" s="660">
        <f>'[13]Диспан.набл.взрослых Пр.16- 23'!N137+'[13]Уточнение Пр.17-23  '!N137</f>
        <v>0</v>
      </c>
      <c r="O137" s="660">
        <f>'[13]Диспан.набл.взрослых Пр.16- 23'!O137+'[13]Уточнение Пр.17-23  '!O137</f>
        <v>0</v>
      </c>
      <c r="P137" s="660">
        <f>'[13]Диспан.набл.взрослых Пр.16- 23'!P137+'[13]Уточнение Пр.17-23  '!P137</f>
        <v>0</v>
      </c>
      <c r="Q137" s="660">
        <f>'[13]Диспан.набл.взрослых Пр.16- 23'!Q137+'[13]Уточнение Пр.17-23  '!Q137</f>
        <v>0</v>
      </c>
      <c r="R137" s="660">
        <f>'[13]Диспан.набл.взрослых Пр.16- 23'!R137+'[13]Уточнение Пр.17-23  '!R137</f>
        <v>0</v>
      </c>
      <c r="S137" s="660">
        <f t="shared" si="6"/>
        <v>0</v>
      </c>
      <c r="T137" s="659"/>
    </row>
    <row r="138" spans="1:20" x14ac:dyDescent="0.25">
      <c r="A138" s="662">
        <v>123</v>
      </c>
      <c r="B138" s="666" t="s">
        <v>258</v>
      </c>
      <c r="C138" s="434" t="s">
        <v>259</v>
      </c>
      <c r="D138" s="660">
        <f t="shared" si="5"/>
        <v>0</v>
      </c>
      <c r="E138" s="660">
        <f>'[13]Диспан.набл.взрослых Пр.16- 23'!E138+'[13]Уточнение Пр.17-23  '!E138</f>
        <v>0</v>
      </c>
      <c r="F138" s="660">
        <f>'[13]Диспан.набл.взрослых Пр.16- 23'!F138+'[13]Уточнение Пр.17-23  '!F138</f>
        <v>0</v>
      </c>
      <c r="G138" s="660">
        <f>'[13]Диспан.набл.взрослых Пр.16- 23'!G138+'[13]Уточнение Пр.17-23  '!G138</f>
        <v>0</v>
      </c>
      <c r="H138" s="660">
        <f>'[13]Диспан.набл.взрослых Пр.16- 23'!H138+'[13]Уточнение Пр.17-23  '!H138</f>
        <v>0</v>
      </c>
      <c r="I138" s="660">
        <f>'[13]Диспан.набл.взрослых Пр.16- 23'!I138+'[13]Уточнение Пр.17-23  '!I138</f>
        <v>0</v>
      </c>
      <c r="J138" s="660">
        <f>'[13]Диспан.набл.взрослых Пр.16- 23'!J138+'[13]Уточнение Пр.17-23  '!J138</f>
        <v>0</v>
      </c>
      <c r="K138" s="660">
        <f>'[13]Диспан.набл.взрослых Пр.16- 23'!K138+'[13]Уточнение Пр.17-23  '!K138</f>
        <v>0</v>
      </c>
      <c r="L138" s="660">
        <f>'[13]Диспан.набл.взрослых Пр.16- 23'!L138+'[13]Уточнение Пр.17-23  '!L138</f>
        <v>0</v>
      </c>
      <c r="M138" s="660">
        <f>'[13]Диспан.набл.взрослых Пр.16- 23'!M138+'[13]Уточнение Пр.17-23  '!M138</f>
        <v>0</v>
      </c>
      <c r="N138" s="660">
        <f>'[13]Диспан.набл.взрослых Пр.16- 23'!N138+'[13]Уточнение Пр.17-23  '!N138</f>
        <v>0</v>
      </c>
      <c r="O138" s="660">
        <f>'[13]Диспан.набл.взрослых Пр.16- 23'!O138+'[13]Уточнение Пр.17-23  '!O138</f>
        <v>0</v>
      </c>
      <c r="P138" s="660">
        <f>'[13]Диспан.набл.взрослых Пр.16- 23'!P138+'[13]Уточнение Пр.17-23  '!P138</f>
        <v>0</v>
      </c>
      <c r="Q138" s="660">
        <f>'[13]Диспан.набл.взрослых Пр.16- 23'!Q138+'[13]Уточнение Пр.17-23  '!Q138</f>
        <v>0</v>
      </c>
      <c r="R138" s="660">
        <f>'[13]Диспан.набл.взрослых Пр.16- 23'!R138+'[13]Уточнение Пр.17-23  '!R138</f>
        <v>0</v>
      </c>
      <c r="S138" s="660">
        <f t="shared" si="6"/>
        <v>0</v>
      </c>
      <c r="T138" s="659"/>
    </row>
    <row r="139" spans="1:20" x14ac:dyDescent="0.25">
      <c r="A139" s="662">
        <v>124</v>
      </c>
      <c r="B139" s="666" t="s">
        <v>260</v>
      </c>
      <c r="C139" s="434" t="s">
        <v>261</v>
      </c>
      <c r="D139" s="660">
        <f t="shared" si="5"/>
        <v>0</v>
      </c>
      <c r="E139" s="660">
        <f>'[13]Диспан.набл.взрослых Пр.16- 23'!E139+'[13]Уточнение Пр.17-23  '!E139</f>
        <v>0</v>
      </c>
      <c r="F139" s="660">
        <f>'[13]Диспан.набл.взрослых Пр.16- 23'!F139+'[13]Уточнение Пр.17-23  '!F139</f>
        <v>0</v>
      </c>
      <c r="G139" s="660">
        <f>'[13]Диспан.набл.взрослых Пр.16- 23'!G139+'[13]Уточнение Пр.17-23  '!G139</f>
        <v>0</v>
      </c>
      <c r="H139" s="660">
        <f>'[13]Диспан.набл.взрослых Пр.16- 23'!H139+'[13]Уточнение Пр.17-23  '!H139</f>
        <v>0</v>
      </c>
      <c r="I139" s="660">
        <f>'[13]Диспан.набл.взрослых Пр.16- 23'!I139+'[13]Уточнение Пр.17-23  '!I139</f>
        <v>0</v>
      </c>
      <c r="J139" s="660">
        <f>'[13]Диспан.набл.взрослых Пр.16- 23'!J139+'[13]Уточнение Пр.17-23  '!J139</f>
        <v>0</v>
      </c>
      <c r="K139" s="660">
        <f>'[13]Диспан.набл.взрослых Пр.16- 23'!K139+'[13]Уточнение Пр.17-23  '!K139</f>
        <v>0</v>
      </c>
      <c r="L139" s="660">
        <f>'[13]Диспан.набл.взрослых Пр.16- 23'!L139+'[13]Уточнение Пр.17-23  '!L139</f>
        <v>0</v>
      </c>
      <c r="M139" s="660">
        <f>'[13]Диспан.набл.взрослых Пр.16- 23'!M139+'[13]Уточнение Пр.17-23  '!M139</f>
        <v>0</v>
      </c>
      <c r="N139" s="660">
        <f>'[13]Диспан.набл.взрослых Пр.16- 23'!N139+'[13]Уточнение Пр.17-23  '!N139</f>
        <v>0</v>
      </c>
      <c r="O139" s="660">
        <f>'[13]Диспан.набл.взрослых Пр.16- 23'!O139+'[13]Уточнение Пр.17-23  '!O139</f>
        <v>0</v>
      </c>
      <c r="P139" s="660">
        <f>'[13]Диспан.набл.взрослых Пр.16- 23'!P139+'[13]Уточнение Пр.17-23  '!P139</f>
        <v>0</v>
      </c>
      <c r="Q139" s="660">
        <f>'[13]Диспан.набл.взрослых Пр.16- 23'!Q139+'[13]Уточнение Пр.17-23  '!Q139</f>
        <v>0</v>
      </c>
      <c r="R139" s="660">
        <f>'[13]Диспан.набл.взрослых Пр.16- 23'!R139+'[13]Уточнение Пр.17-23  '!R139</f>
        <v>0</v>
      </c>
      <c r="S139" s="660">
        <f t="shared" si="6"/>
        <v>0</v>
      </c>
      <c r="T139" s="659"/>
    </row>
    <row r="140" spans="1:20" x14ac:dyDescent="0.25">
      <c r="A140" s="662">
        <v>125</v>
      </c>
      <c r="B140" s="666" t="s">
        <v>262</v>
      </c>
      <c r="C140" s="434" t="s">
        <v>263</v>
      </c>
      <c r="D140" s="660">
        <f t="shared" si="5"/>
        <v>0</v>
      </c>
      <c r="E140" s="660">
        <f>'[13]Диспан.набл.взрослых Пр.16- 23'!E140+'[13]Уточнение Пр.17-23  '!E140</f>
        <v>0</v>
      </c>
      <c r="F140" s="660">
        <f>'[13]Диспан.набл.взрослых Пр.16- 23'!F140+'[13]Уточнение Пр.17-23  '!F140</f>
        <v>0</v>
      </c>
      <c r="G140" s="660">
        <f>'[13]Диспан.набл.взрослых Пр.16- 23'!G140+'[13]Уточнение Пр.17-23  '!G140</f>
        <v>0</v>
      </c>
      <c r="H140" s="660">
        <f>'[13]Диспан.набл.взрослых Пр.16- 23'!H140+'[13]Уточнение Пр.17-23  '!H140</f>
        <v>0</v>
      </c>
      <c r="I140" s="660">
        <f>'[13]Диспан.набл.взрослых Пр.16- 23'!I140+'[13]Уточнение Пр.17-23  '!I140</f>
        <v>0</v>
      </c>
      <c r="J140" s="660">
        <f>'[13]Диспан.набл.взрослых Пр.16- 23'!J140+'[13]Уточнение Пр.17-23  '!J140</f>
        <v>0</v>
      </c>
      <c r="K140" s="660">
        <f>'[13]Диспан.набл.взрослых Пр.16- 23'!K140+'[13]Уточнение Пр.17-23  '!K140</f>
        <v>0</v>
      </c>
      <c r="L140" s="660">
        <f>'[13]Диспан.набл.взрослых Пр.16- 23'!L140+'[13]Уточнение Пр.17-23  '!L140</f>
        <v>0</v>
      </c>
      <c r="M140" s="660">
        <f>'[13]Диспан.набл.взрослых Пр.16- 23'!M140+'[13]Уточнение Пр.17-23  '!M140</f>
        <v>0</v>
      </c>
      <c r="N140" s="660">
        <f>'[13]Диспан.набл.взрослых Пр.16- 23'!N140+'[13]Уточнение Пр.17-23  '!N140</f>
        <v>0</v>
      </c>
      <c r="O140" s="660">
        <f>'[13]Диспан.набл.взрослых Пр.16- 23'!O140+'[13]Уточнение Пр.17-23  '!O140</f>
        <v>0</v>
      </c>
      <c r="P140" s="660">
        <f>'[13]Диспан.набл.взрослых Пр.16- 23'!P140+'[13]Уточнение Пр.17-23  '!P140</f>
        <v>0</v>
      </c>
      <c r="Q140" s="660">
        <f>'[13]Диспан.набл.взрослых Пр.16- 23'!Q140+'[13]Уточнение Пр.17-23  '!Q140</f>
        <v>0</v>
      </c>
      <c r="R140" s="660">
        <f>'[13]Диспан.набл.взрослых Пр.16- 23'!R140+'[13]Уточнение Пр.17-23  '!R140</f>
        <v>0</v>
      </c>
      <c r="S140" s="660">
        <f t="shared" si="6"/>
        <v>0</v>
      </c>
      <c r="T140" s="659"/>
    </row>
    <row r="141" spans="1:20" x14ac:dyDescent="0.25">
      <c r="A141" s="662">
        <v>126</v>
      </c>
      <c r="B141" s="663" t="s">
        <v>264</v>
      </c>
      <c r="C141" s="664" t="s">
        <v>265</v>
      </c>
      <c r="D141" s="660">
        <f t="shared" si="5"/>
        <v>0</v>
      </c>
      <c r="E141" s="660">
        <f>'[13]Диспан.набл.взрослых Пр.16- 23'!E141+'[13]Уточнение Пр.17-23  '!E141</f>
        <v>0</v>
      </c>
      <c r="F141" s="660">
        <f>'[13]Диспан.набл.взрослых Пр.16- 23'!F141+'[13]Уточнение Пр.17-23  '!F141</f>
        <v>0</v>
      </c>
      <c r="G141" s="660">
        <f>'[13]Диспан.набл.взрослых Пр.16- 23'!G141+'[13]Уточнение Пр.17-23  '!G141</f>
        <v>0</v>
      </c>
      <c r="H141" s="660">
        <f>'[13]Диспан.набл.взрослых Пр.16- 23'!H141+'[13]Уточнение Пр.17-23  '!H141</f>
        <v>0</v>
      </c>
      <c r="I141" s="660">
        <f>'[13]Диспан.набл.взрослых Пр.16- 23'!I141+'[13]Уточнение Пр.17-23  '!I141</f>
        <v>0</v>
      </c>
      <c r="J141" s="660">
        <f>'[13]Диспан.набл.взрослых Пр.16- 23'!J141+'[13]Уточнение Пр.17-23  '!J141</f>
        <v>0</v>
      </c>
      <c r="K141" s="660">
        <f>'[13]Диспан.набл.взрослых Пр.16- 23'!K141+'[13]Уточнение Пр.17-23  '!K141</f>
        <v>0</v>
      </c>
      <c r="L141" s="660">
        <f>'[13]Диспан.набл.взрослых Пр.16- 23'!L141+'[13]Уточнение Пр.17-23  '!L141</f>
        <v>0</v>
      </c>
      <c r="M141" s="660">
        <f>'[13]Диспан.набл.взрослых Пр.16- 23'!M141+'[13]Уточнение Пр.17-23  '!M141</f>
        <v>0</v>
      </c>
      <c r="N141" s="660">
        <f>'[13]Диспан.набл.взрослых Пр.16- 23'!N141+'[13]Уточнение Пр.17-23  '!N141</f>
        <v>0</v>
      </c>
      <c r="O141" s="660">
        <f>'[13]Диспан.набл.взрослых Пр.16- 23'!O141+'[13]Уточнение Пр.17-23  '!O141</f>
        <v>0</v>
      </c>
      <c r="P141" s="660">
        <f>'[13]Диспан.набл.взрослых Пр.16- 23'!P141+'[13]Уточнение Пр.17-23  '!P141</f>
        <v>0</v>
      </c>
      <c r="Q141" s="660">
        <f>'[13]Диспан.набл.взрослых Пр.16- 23'!Q141+'[13]Уточнение Пр.17-23  '!Q141</f>
        <v>0</v>
      </c>
      <c r="R141" s="660">
        <f>'[13]Диспан.набл.взрослых Пр.16- 23'!R141+'[13]Уточнение Пр.17-23  '!R141</f>
        <v>0</v>
      </c>
      <c r="S141" s="660">
        <f t="shared" si="6"/>
        <v>0</v>
      </c>
      <c r="T141" s="659"/>
    </row>
    <row r="142" spans="1:20" x14ac:dyDescent="0.25">
      <c r="A142" s="662">
        <v>127</v>
      </c>
      <c r="B142" s="663" t="s">
        <v>266</v>
      </c>
      <c r="C142" s="434" t="s">
        <v>267</v>
      </c>
      <c r="D142" s="660">
        <f t="shared" si="5"/>
        <v>0</v>
      </c>
      <c r="E142" s="660">
        <f>'[13]Диспан.набл.взрослых Пр.16- 23'!E142+'[13]Уточнение Пр.17-23  '!E142</f>
        <v>0</v>
      </c>
      <c r="F142" s="660">
        <f>'[13]Диспан.набл.взрослых Пр.16- 23'!F142+'[13]Уточнение Пр.17-23  '!F142</f>
        <v>0</v>
      </c>
      <c r="G142" s="660">
        <f>'[13]Диспан.набл.взрослых Пр.16- 23'!G142+'[13]Уточнение Пр.17-23  '!G142</f>
        <v>0</v>
      </c>
      <c r="H142" s="660">
        <f>'[13]Диспан.набл.взрослых Пр.16- 23'!H142+'[13]Уточнение Пр.17-23  '!H142</f>
        <v>0</v>
      </c>
      <c r="I142" s="660">
        <f>'[13]Диспан.набл.взрослых Пр.16- 23'!I142+'[13]Уточнение Пр.17-23  '!I142</f>
        <v>0</v>
      </c>
      <c r="J142" s="660">
        <f>'[13]Диспан.набл.взрослых Пр.16- 23'!J142+'[13]Уточнение Пр.17-23  '!J142</f>
        <v>0</v>
      </c>
      <c r="K142" s="660">
        <f>'[13]Диспан.набл.взрослых Пр.16- 23'!K142+'[13]Уточнение Пр.17-23  '!K142</f>
        <v>0</v>
      </c>
      <c r="L142" s="660">
        <f>'[13]Диспан.набл.взрослых Пр.16- 23'!L142+'[13]Уточнение Пр.17-23  '!L142</f>
        <v>0</v>
      </c>
      <c r="M142" s="660">
        <f>'[13]Диспан.набл.взрослых Пр.16- 23'!M142+'[13]Уточнение Пр.17-23  '!M142</f>
        <v>0</v>
      </c>
      <c r="N142" s="660">
        <f>'[13]Диспан.набл.взрослых Пр.16- 23'!N142+'[13]Уточнение Пр.17-23  '!N142</f>
        <v>0</v>
      </c>
      <c r="O142" s="660">
        <f>'[13]Диспан.набл.взрослых Пр.16- 23'!O142+'[13]Уточнение Пр.17-23  '!O142</f>
        <v>0</v>
      </c>
      <c r="P142" s="660">
        <f>'[13]Диспан.набл.взрослых Пр.16- 23'!P142+'[13]Уточнение Пр.17-23  '!P142</f>
        <v>0</v>
      </c>
      <c r="Q142" s="660">
        <f>'[13]Диспан.набл.взрослых Пр.16- 23'!Q142+'[13]Уточнение Пр.17-23  '!Q142</f>
        <v>0</v>
      </c>
      <c r="R142" s="660">
        <f>'[13]Диспан.набл.взрослых Пр.16- 23'!R142+'[13]Уточнение Пр.17-23  '!R142</f>
        <v>0</v>
      </c>
      <c r="S142" s="660">
        <f t="shared" si="6"/>
        <v>0</v>
      </c>
      <c r="T142" s="659"/>
    </row>
    <row r="143" spans="1:20" x14ac:dyDescent="0.25">
      <c r="A143" s="662">
        <v>128</v>
      </c>
      <c r="B143" s="667" t="s">
        <v>268</v>
      </c>
      <c r="C143" s="1" t="s">
        <v>269</v>
      </c>
      <c r="D143" s="660">
        <f t="shared" ref="D143:D155" si="7">SUM(E143:R143)</f>
        <v>0</v>
      </c>
      <c r="E143" s="660">
        <f>'[13]Диспан.набл.взрослых Пр.16- 23'!E143+'[13]Уточнение Пр.17-23  '!E143</f>
        <v>0</v>
      </c>
      <c r="F143" s="660">
        <f>'[13]Диспан.набл.взрослых Пр.16- 23'!F143+'[13]Уточнение Пр.17-23  '!F143</f>
        <v>0</v>
      </c>
      <c r="G143" s="660">
        <f>'[13]Диспан.набл.взрослых Пр.16- 23'!G143+'[13]Уточнение Пр.17-23  '!G143</f>
        <v>0</v>
      </c>
      <c r="H143" s="660">
        <f>'[13]Диспан.набл.взрослых Пр.16- 23'!H143+'[13]Уточнение Пр.17-23  '!H143</f>
        <v>0</v>
      </c>
      <c r="I143" s="660">
        <f>'[13]Диспан.набл.взрослых Пр.16- 23'!I143+'[13]Уточнение Пр.17-23  '!I143</f>
        <v>0</v>
      </c>
      <c r="J143" s="660">
        <f>'[13]Диспан.набл.взрослых Пр.16- 23'!J143+'[13]Уточнение Пр.17-23  '!J143</f>
        <v>0</v>
      </c>
      <c r="K143" s="660">
        <f>'[13]Диспан.набл.взрослых Пр.16- 23'!K143+'[13]Уточнение Пр.17-23  '!K143</f>
        <v>0</v>
      </c>
      <c r="L143" s="660">
        <f>'[13]Диспан.набл.взрослых Пр.16- 23'!L143+'[13]Уточнение Пр.17-23  '!L143</f>
        <v>0</v>
      </c>
      <c r="M143" s="660">
        <f>'[13]Диспан.набл.взрослых Пр.16- 23'!M143+'[13]Уточнение Пр.17-23  '!M143</f>
        <v>0</v>
      </c>
      <c r="N143" s="660">
        <f>'[13]Диспан.набл.взрослых Пр.16- 23'!N143+'[13]Уточнение Пр.17-23  '!N143</f>
        <v>0</v>
      </c>
      <c r="O143" s="660">
        <f>'[13]Диспан.набл.взрослых Пр.16- 23'!O143+'[13]Уточнение Пр.17-23  '!O143</f>
        <v>0</v>
      </c>
      <c r="P143" s="660">
        <f>'[13]Диспан.набл.взрослых Пр.16- 23'!P143+'[13]Уточнение Пр.17-23  '!P143</f>
        <v>0</v>
      </c>
      <c r="Q143" s="660">
        <f>'[13]Диспан.набл.взрослых Пр.16- 23'!Q143+'[13]Уточнение Пр.17-23  '!Q143</f>
        <v>0</v>
      </c>
      <c r="R143" s="660">
        <f>'[13]Диспан.набл.взрослых Пр.16- 23'!R143+'[13]Уточнение Пр.17-23  '!R143</f>
        <v>0</v>
      </c>
      <c r="S143" s="660">
        <f t="shared" ref="S143:S155" si="8">ROUND(E143/$E$13*$S$8,0)</f>
        <v>0</v>
      </c>
      <c r="T143" s="659"/>
    </row>
    <row r="144" spans="1:20" x14ac:dyDescent="0.25">
      <c r="A144" s="662">
        <v>129</v>
      </c>
      <c r="B144" s="666" t="s">
        <v>270</v>
      </c>
      <c r="C144" s="434" t="s">
        <v>271</v>
      </c>
      <c r="D144" s="660">
        <f t="shared" si="7"/>
        <v>0</v>
      </c>
      <c r="E144" s="660">
        <f>'[13]Диспан.набл.взрослых Пр.16- 23'!E144+'[13]Уточнение Пр.17-23  '!E144</f>
        <v>0</v>
      </c>
      <c r="F144" s="660">
        <f>'[13]Диспан.набл.взрослых Пр.16- 23'!F144+'[13]Уточнение Пр.17-23  '!F144</f>
        <v>0</v>
      </c>
      <c r="G144" s="660">
        <f>'[13]Диспан.набл.взрослых Пр.16- 23'!G144+'[13]Уточнение Пр.17-23  '!G144</f>
        <v>0</v>
      </c>
      <c r="H144" s="660">
        <f>'[13]Диспан.набл.взрослых Пр.16- 23'!H144+'[13]Уточнение Пр.17-23  '!H144</f>
        <v>0</v>
      </c>
      <c r="I144" s="660">
        <f>'[13]Диспан.набл.взрослых Пр.16- 23'!I144+'[13]Уточнение Пр.17-23  '!I144</f>
        <v>0</v>
      </c>
      <c r="J144" s="660">
        <f>'[13]Диспан.набл.взрослых Пр.16- 23'!J144+'[13]Уточнение Пр.17-23  '!J144</f>
        <v>0</v>
      </c>
      <c r="K144" s="660">
        <f>'[13]Диспан.набл.взрослых Пр.16- 23'!K144+'[13]Уточнение Пр.17-23  '!K144</f>
        <v>0</v>
      </c>
      <c r="L144" s="660">
        <f>'[13]Диспан.набл.взрослых Пр.16- 23'!L144+'[13]Уточнение Пр.17-23  '!L144</f>
        <v>0</v>
      </c>
      <c r="M144" s="660">
        <f>'[13]Диспан.набл.взрослых Пр.16- 23'!M144+'[13]Уточнение Пр.17-23  '!M144</f>
        <v>0</v>
      </c>
      <c r="N144" s="660">
        <f>'[13]Диспан.набл.взрослых Пр.16- 23'!N144+'[13]Уточнение Пр.17-23  '!N144</f>
        <v>0</v>
      </c>
      <c r="O144" s="660">
        <f>'[13]Диспан.набл.взрослых Пр.16- 23'!O144+'[13]Уточнение Пр.17-23  '!O144</f>
        <v>0</v>
      </c>
      <c r="P144" s="660">
        <f>'[13]Диспан.набл.взрослых Пр.16- 23'!P144+'[13]Уточнение Пр.17-23  '!P144</f>
        <v>0</v>
      </c>
      <c r="Q144" s="660">
        <f>'[13]Диспан.набл.взрослых Пр.16- 23'!Q144+'[13]Уточнение Пр.17-23  '!Q144</f>
        <v>0</v>
      </c>
      <c r="R144" s="660">
        <f>'[13]Диспан.набл.взрослых Пр.16- 23'!R144+'[13]Уточнение Пр.17-23  '!R144</f>
        <v>0</v>
      </c>
      <c r="S144" s="660">
        <f t="shared" si="8"/>
        <v>0</v>
      </c>
      <c r="T144" s="659"/>
    </row>
    <row r="145" spans="1:20" x14ac:dyDescent="0.25">
      <c r="A145" s="662">
        <v>130</v>
      </c>
      <c r="B145" s="666" t="s">
        <v>272</v>
      </c>
      <c r="C145" s="434" t="s">
        <v>273</v>
      </c>
      <c r="D145" s="660">
        <f t="shared" si="7"/>
        <v>0</v>
      </c>
      <c r="E145" s="660">
        <f>'[13]Диспан.набл.взрослых Пр.16- 23'!E145+'[13]Уточнение Пр.17-23  '!E145</f>
        <v>0</v>
      </c>
      <c r="F145" s="660">
        <f>'[13]Диспан.набл.взрослых Пр.16- 23'!F145+'[13]Уточнение Пр.17-23  '!F145</f>
        <v>0</v>
      </c>
      <c r="G145" s="660">
        <f>'[13]Диспан.набл.взрослых Пр.16- 23'!G145+'[13]Уточнение Пр.17-23  '!G145</f>
        <v>0</v>
      </c>
      <c r="H145" s="660">
        <f>'[13]Диспан.набл.взрослых Пр.16- 23'!H145+'[13]Уточнение Пр.17-23  '!H145</f>
        <v>0</v>
      </c>
      <c r="I145" s="660">
        <f>'[13]Диспан.набл.взрослых Пр.16- 23'!I145+'[13]Уточнение Пр.17-23  '!I145</f>
        <v>0</v>
      </c>
      <c r="J145" s="660">
        <f>'[13]Диспан.набл.взрослых Пр.16- 23'!J145+'[13]Уточнение Пр.17-23  '!J145</f>
        <v>0</v>
      </c>
      <c r="K145" s="660">
        <f>'[13]Диспан.набл.взрослых Пр.16- 23'!K145+'[13]Уточнение Пр.17-23  '!K145</f>
        <v>0</v>
      </c>
      <c r="L145" s="660">
        <f>'[13]Диспан.набл.взрослых Пр.16- 23'!L145+'[13]Уточнение Пр.17-23  '!L145</f>
        <v>0</v>
      </c>
      <c r="M145" s="660">
        <f>'[13]Диспан.набл.взрослых Пр.16- 23'!M145+'[13]Уточнение Пр.17-23  '!M145</f>
        <v>0</v>
      </c>
      <c r="N145" s="660">
        <f>'[13]Диспан.набл.взрослых Пр.16- 23'!N145+'[13]Уточнение Пр.17-23  '!N145</f>
        <v>0</v>
      </c>
      <c r="O145" s="660">
        <f>'[13]Диспан.набл.взрослых Пр.16- 23'!O145+'[13]Уточнение Пр.17-23  '!O145</f>
        <v>0</v>
      </c>
      <c r="P145" s="660">
        <f>'[13]Диспан.набл.взрослых Пр.16- 23'!P145+'[13]Уточнение Пр.17-23  '!P145</f>
        <v>0</v>
      </c>
      <c r="Q145" s="660">
        <f>'[13]Диспан.набл.взрослых Пр.16- 23'!Q145+'[13]Уточнение Пр.17-23  '!Q145</f>
        <v>0</v>
      </c>
      <c r="R145" s="660">
        <f>'[13]Диспан.набл.взрослых Пр.16- 23'!R145+'[13]Уточнение Пр.17-23  '!R145</f>
        <v>0</v>
      </c>
      <c r="S145" s="660">
        <f t="shared" si="8"/>
        <v>0</v>
      </c>
      <c r="T145" s="659"/>
    </row>
    <row r="146" spans="1:20" x14ac:dyDescent="0.25">
      <c r="A146" s="662">
        <v>131</v>
      </c>
      <c r="B146" s="666" t="s">
        <v>274</v>
      </c>
      <c r="C146" s="434" t="s">
        <v>275</v>
      </c>
      <c r="D146" s="660">
        <f t="shared" si="7"/>
        <v>0</v>
      </c>
      <c r="E146" s="660">
        <f>'[13]Диспан.набл.взрослых Пр.16- 23'!E146+'[13]Уточнение Пр.17-23  '!E146</f>
        <v>0</v>
      </c>
      <c r="F146" s="660">
        <f>'[13]Диспан.набл.взрослых Пр.16- 23'!F146+'[13]Уточнение Пр.17-23  '!F146</f>
        <v>0</v>
      </c>
      <c r="G146" s="660">
        <f>'[13]Диспан.набл.взрослых Пр.16- 23'!G146+'[13]Уточнение Пр.17-23  '!G146</f>
        <v>0</v>
      </c>
      <c r="H146" s="660">
        <f>'[13]Диспан.набл.взрослых Пр.16- 23'!H146+'[13]Уточнение Пр.17-23  '!H146</f>
        <v>0</v>
      </c>
      <c r="I146" s="660">
        <f>'[13]Диспан.набл.взрослых Пр.16- 23'!I146+'[13]Уточнение Пр.17-23  '!I146</f>
        <v>0</v>
      </c>
      <c r="J146" s="660">
        <f>'[13]Диспан.набл.взрослых Пр.16- 23'!J146+'[13]Уточнение Пр.17-23  '!J146</f>
        <v>0</v>
      </c>
      <c r="K146" s="660">
        <f>'[13]Диспан.набл.взрослых Пр.16- 23'!K146+'[13]Уточнение Пр.17-23  '!K146</f>
        <v>0</v>
      </c>
      <c r="L146" s="660">
        <f>'[13]Диспан.набл.взрослых Пр.16- 23'!L146+'[13]Уточнение Пр.17-23  '!L146</f>
        <v>0</v>
      </c>
      <c r="M146" s="660">
        <f>'[13]Диспан.набл.взрослых Пр.16- 23'!M146+'[13]Уточнение Пр.17-23  '!M146</f>
        <v>0</v>
      </c>
      <c r="N146" s="660">
        <f>'[13]Диспан.набл.взрослых Пр.16- 23'!N146+'[13]Уточнение Пр.17-23  '!N146</f>
        <v>0</v>
      </c>
      <c r="O146" s="660">
        <f>'[13]Диспан.набл.взрослых Пр.16- 23'!O146+'[13]Уточнение Пр.17-23  '!O146</f>
        <v>0</v>
      </c>
      <c r="P146" s="660">
        <f>'[13]Диспан.набл.взрослых Пр.16- 23'!P146+'[13]Уточнение Пр.17-23  '!P146</f>
        <v>0</v>
      </c>
      <c r="Q146" s="660">
        <f>'[13]Диспан.набл.взрослых Пр.16- 23'!Q146+'[13]Уточнение Пр.17-23  '!Q146</f>
        <v>0</v>
      </c>
      <c r="R146" s="660">
        <f>'[13]Диспан.набл.взрослых Пр.16- 23'!R146+'[13]Уточнение Пр.17-23  '!R146</f>
        <v>0</v>
      </c>
      <c r="S146" s="660">
        <f t="shared" si="8"/>
        <v>0</v>
      </c>
      <c r="T146" s="659"/>
    </row>
    <row r="147" spans="1:20" x14ac:dyDescent="0.25">
      <c r="A147" s="662">
        <v>132</v>
      </c>
      <c r="B147" s="667" t="s">
        <v>276</v>
      </c>
      <c r="C147" s="1" t="s">
        <v>277</v>
      </c>
      <c r="D147" s="660">
        <f t="shared" si="7"/>
        <v>20130</v>
      </c>
      <c r="E147" s="660">
        <f>'[13]Диспан.набл.взрослых Пр.16- 23'!E147+'[13]Уточнение Пр.17-23  '!E147</f>
        <v>15756</v>
      </c>
      <c r="F147" s="660">
        <f>'[13]Диспан.набл.взрослых Пр.16- 23'!F147+'[13]Уточнение Пр.17-23  '!F147</f>
        <v>3685</v>
      </c>
      <c r="G147" s="660">
        <f>'[13]Диспан.набл.взрослых Пр.16- 23'!G147+'[13]Уточнение Пр.17-23  '!G147</f>
        <v>376</v>
      </c>
      <c r="H147" s="660">
        <f>'[13]Диспан.набл.взрослых Пр.16- 23'!H147+'[13]Уточнение Пр.17-23  '!H147</f>
        <v>75</v>
      </c>
      <c r="I147" s="660">
        <f>'[13]Диспан.набл.взрослых Пр.16- 23'!I147+'[13]Уточнение Пр.17-23  '!I147</f>
        <v>0</v>
      </c>
      <c r="J147" s="660">
        <f>'[13]Диспан.набл.взрослых Пр.16- 23'!J147+'[13]Уточнение Пр.17-23  '!J147</f>
        <v>0</v>
      </c>
      <c r="K147" s="660">
        <f>'[13]Диспан.набл.взрослых Пр.16- 23'!K147+'[13]Уточнение Пр.17-23  '!K147</f>
        <v>13</v>
      </c>
      <c r="L147" s="660">
        <f>'[13]Диспан.набл.взрослых Пр.16- 23'!L147+'[13]Уточнение Пр.17-23  '!L147</f>
        <v>0</v>
      </c>
      <c r="M147" s="660">
        <f>'[13]Диспан.набл.взрослых Пр.16- 23'!M147+'[13]Уточнение Пр.17-23  '!M147</f>
        <v>11</v>
      </c>
      <c r="N147" s="660">
        <f>'[13]Диспан.набл.взрослых Пр.16- 23'!N147+'[13]Уточнение Пр.17-23  '!N147</f>
        <v>138</v>
      </c>
      <c r="O147" s="660">
        <f>'[13]Диспан.набл.взрослых Пр.16- 23'!O147+'[13]Уточнение Пр.17-23  '!O147</f>
        <v>0</v>
      </c>
      <c r="P147" s="660">
        <f>'[13]Диспан.набл.взрослых Пр.16- 23'!P147+'[13]Уточнение Пр.17-23  '!P147</f>
        <v>51</v>
      </c>
      <c r="Q147" s="660">
        <f>'[13]Диспан.набл.взрослых Пр.16- 23'!Q147+'[13]Уточнение Пр.17-23  '!Q147</f>
        <v>0</v>
      </c>
      <c r="R147" s="660">
        <f>'[13]Диспан.набл.взрослых Пр.16- 23'!R147+'[13]Уточнение Пр.17-23  '!R147</f>
        <v>25</v>
      </c>
      <c r="S147" s="660">
        <f t="shared" si="8"/>
        <v>15756</v>
      </c>
      <c r="T147" s="659"/>
    </row>
    <row r="148" spans="1:20" x14ac:dyDescent="0.25">
      <c r="A148" s="662">
        <v>133</v>
      </c>
      <c r="B148" s="665" t="s">
        <v>278</v>
      </c>
      <c r="C148" s="1" t="s">
        <v>279</v>
      </c>
      <c r="D148" s="660">
        <f t="shared" si="7"/>
        <v>24499</v>
      </c>
      <c r="E148" s="660">
        <f>'[13]Диспан.набл.взрослых Пр.16- 23'!E148+'[13]Уточнение Пр.17-23  '!E148</f>
        <v>20292</v>
      </c>
      <c r="F148" s="660">
        <f>'[13]Диспан.набл.взрослых Пр.16- 23'!F148+'[13]Уточнение Пр.17-23  '!F148</f>
        <v>3046</v>
      </c>
      <c r="G148" s="660">
        <f>'[13]Диспан.набл.взрослых Пр.16- 23'!G148+'[13]Уточнение Пр.17-23  '!G148</f>
        <v>706</v>
      </c>
      <c r="H148" s="660">
        <f>'[13]Диспан.набл.взрослых Пр.16- 23'!H148+'[13]Уточнение Пр.17-23  '!H148</f>
        <v>180</v>
      </c>
      <c r="I148" s="660">
        <f>'[13]Диспан.набл.взрослых Пр.16- 23'!I148+'[13]Уточнение Пр.17-23  '!I148</f>
        <v>0</v>
      </c>
      <c r="J148" s="660">
        <f>'[13]Диспан.набл.взрослых Пр.16- 23'!J148+'[13]Уточнение Пр.17-23  '!J148</f>
        <v>0</v>
      </c>
      <c r="K148" s="660">
        <f>'[13]Диспан.набл.взрослых Пр.16- 23'!K148+'[13]Уточнение Пр.17-23  '!K148</f>
        <v>0</v>
      </c>
      <c r="L148" s="660">
        <f>'[13]Диспан.набл.взрослых Пр.16- 23'!L148+'[13]Уточнение Пр.17-23  '!L148</f>
        <v>4</v>
      </c>
      <c r="M148" s="660">
        <f>'[13]Диспан.набл.взрослых Пр.16- 23'!M148+'[13]Уточнение Пр.17-23  '!M148</f>
        <v>13</v>
      </c>
      <c r="N148" s="660">
        <f>'[13]Диспан.набл.взрослых Пр.16- 23'!N148+'[13]Уточнение Пр.17-23  '!N148</f>
        <v>0</v>
      </c>
      <c r="O148" s="660">
        <f>'[13]Диспан.набл.взрослых Пр.16- 23'!O148+'[13]Уточнение Пр.17-23  '!O148</f>
        <v>2</v>
      </c>
      <c r="P148" s="660">
        <f>'[13]Диспан.набл.взрослых Пр.16- 23'!P148+'[13]Уточнение Пр.17-23  '!P148</f>
        <v>0</v>
      </c>
      <c r="Q148" s="660">
        <f>'[13]Диспан.набл.взрослых Пр.16- 23'!Q148+'[13]Уточнение Пр.17-23  '!Q148</f>
        <v>219</v>
      </c>
      <c r="R148" s="660">
        <f>'[13]Диспан.набл.взрослых Пр.16- 23'!R148+'[13]Уточнение Пр.17-23  '!R148</f>
        <v>37</v>
      </c>
      <c r="S148" s="660">
        <f t="shared" si="8"/>
        <v>20292</v>
      </c>
      <c r="T148" s="659"/>
    </row>
    <row r="149" spans="1:20" x14ac:dyDescent="0.25">
      <c r="A149" s="662">
        <v>134</v>
      </c>
      <c r="B149" s="666" t="s">
        <v>280</v>
      </c>
      <c r="C149" s="434" t="s">
        <v>281</v>
      </c>
      <c r="D149" s="660">
        <f t="shared" si="7"/>
        <v>0</v>
      </c>
      <c r="E149" s="660">
        <f>'[13]Диспан.набл.взрослых Пр.16- 23'!E149+'[13]Уточнение Пр.17-23  '!E149</f>
        <v>0</v>
      </c>
      <c r="F149" s="660">
        <f>'[13]Диспан.набл.взрослых Пр.16- 23'!F149+'[13]Уточнение Пр.17-23  '!F149</f>
        <v>0</v>
      </c>
      <c r="G149" s="660">
        <f>'[13]Диспан.набл.взрослых Пр.16- 23'!G149+'[13]Уточнение Пр.17-23  '!G149</f>
        <v>0</v>
      </c>
      <c r="H149" s="660">
        <f>'[13]Диспан.набл.взрослых Пр.16- 23'!H149+'[13]Уточнение Пр.17-23  '!H149</f>
        <v>0</v>
      </c>
      <c r="I149" s="660">
        <f>'[13]Диспан.набл.взрослых Пр.16- 23'!I149+'[13]Уточнение Пр.17-23  '!I149</f>
        <v>0</v>
      </c>
      <c r="J149" s="660">
        <f>'[13]Диспан.набл.взрослых Пр.16- 23'!J149+'[13]Уточнение Пр.17-23  '!J149</f>
        <v>0</v>
      </c>
      <c r="K149" s="660">
        <f>'[13]Диспан.набл.взрослых Пр.16- 23'!K149+'[13]Уточнение Пр.17-23  '!K149</f>
        <v>0</v>
      </c>
      <c r="L149" s="660">
        <f>'[13]Диспан.набл.взрослых Пр.16- 23'!L149+'[13]Уточнение Пр.17-23  '!L149</f>
        <v>0</v>
      </c>
      <c r="M149" s="660">
        <f>'[13]Диспан.набл.взрослых Пр.16- 23'!M149+'[13]Уточнение Пр.17-23  '!M149</f>
        <v>0</v>
      </c>
      <c r="N149" s="660">
        <f>'[13]Диспан.набл.взрослых Пр.16- 23'!N149+'[13]Уточнение Пр.17-23  '!N149</f>
        <v>0</v>
      </c>
      <c r="O149" s="660">
        <f>'[13]Диспан.набл.взрослых Пр.16- 23'!O149+'[13]Уточнение Пр.17-23  '!O149</f>
        <v>0</v>
      </c>
      <c r="P149" s="660">
        <f>'[13]Диспан.набл.взрослых Пр.16- 23'!P149+'[13]Уточнение Пр.17-23  '!P149</f>
        <v>0</v>
      </c>
      <c r="Q149" s="660">
        <f>'[13]Диспан.набл.взрослых Пр.16- 23'!Q149+'[13]Уточнение Пр.17-23  '!Q149</f>
        <v>0</v>
      </c>
      <c r="R149" s="660">
        <f>'[13]Диспан.набл.взрослых Пр.16- 23'!R149+'[13]Уточнение Пр.17-23  '!R149</f>
        <v>0</v>
      </c>
      <c r="S149" s="660">
        <f t="shared" si="8"/>
        <v>0</v>
      </c>
      <c r="T149" s="659"/>
    </row>
    <row r="150" spans="1:20" x14ac:dyDescent="0.25">
      <c r="A150" s="662">
        <v>135</v>
      </c>
      <c r="B150" s="663" t="s">
        <v>282</v>
      </c>
      <c r="C150" s="664" t="s">
        <v>283</v>
      </c>
      <c r="D150" s="660">
        <f t="shared" si="7"/>
        <v>0</v>
      </c>
      <c r="E150" s="660">
        <f>'[13]Диспан.набл.взрослых Пр.16- 23'!E150+'[13]Уточнение Пр.17-23  '!E150</f>
        <v>0</v>
      </c>
      <c r="F150" s="660">
        <f>'[13]Диспан.набл.взрослых Пр.16- 23'!F150+'[13]Уточнение Пр.17-23  '!F150</f>
        <v>0</v>
      </c>
      <c r="G150" s="660">
        <f>'[13]Диспан.набл.взрослых Пр.16- 23'!G150+'[13]Уточнение Пр.17-23  '!G150</f>
        <v>0</v>
      </c>
      <c r="H150" s="660">
        <f>'[13]Диспан.набл.взрослых Пр.16- 23'!H150+'[13]Уточнение Пр.17-23  '!H150</f>
        <v>0</v>
      </c>
      <c r="I150" s="660">
        <f>'[13]Диспан.набл.взрослых Пр.16- 23'!I150+'[13]Уточнение Пр.17-23  '!I150</f>
        <v>0</v>
      </c>
      <c r="J150" s="660">
        <f>'[13]Диспан.набл.взрослых Пр.16- 23'!J150+'[13]Уточнение Пр.17-23  '!J150</f>
        <v>0</v>
      </c>
      <c r="K150" s="660">
        <f>'[13]Диспан.набл.взрослых Пр.16- 23'!K150+'[13]Уточнение Пр.17-23  '!K150</f>
        <v>0</v>
      </c>
      <c r="L150" s="660">
        <f>'[13]Диспан.набл.взрослых Пр.16- 23'!L150+'[13]Уточнение Пр.17-23  '!L150</f>
        <v>0</v>
      </c>
      <c r="M150" s="660">
        <f>'[13]Диспан.набл.взрослых Пр.16- 23'!M150+'[13]Уточнение Пр.17-23  '!M150</f>
        <v>0</v>
      </c>
      <c r="N150" s="660">
        <f>'[13]Диспан.набл.взрослых Пр.16- 23'!N150+'[13]Уточнение Пр.17-23  '!N150</f>
        <v>0</v>
      </c>
      <c r="O150" s="660">
        <f>'[13]Диспан.набл.взрослых Пр.16- 23'!O150+'[13]Уточнение Пр.17-23  '!O150</f>
        <v>0</v>
      </c>
      <c r="P150" s="660">
        <f>'[13]Диспан.набл.взрослых Пр.16- 23'!P150+'[13]Уточнение Пр.17-23  '!P150</f>
        <v>0</v>
      </c>
      <c r="Q150" s="660">
        <f>'[13]Диспан.набл.взрослых Пр.16- 23'!Q150+'[13]Уточнение Пр.17-23  '!Q150</f>
        <v>0</v>
      </c>
      <c r="R150" s="660">
        <f>'[13]Диспан.набл.взрослых Пр.16- 23'!R150+'[13]Уточнение Пр.17-23  '!R150</f>
        <v>0</v>
      </c>
      <c r="S150" s="660">
        <f t="shared" si="8"/>
        <v>0</v>
      </c>
      <c r="T150" s="659"/>
    </row>
    <row r="151" spans="1:20" x14ac:dyDescent="0.25">
      <c r="A151" s="662">
        <v>136</v>
      </c>
      <c r="B151" s="666" t="s">
        <v>284</v>
      </c>
      <c r="C151" s="434" t="s">
        <v>285</v>
      </c>
      <c r="D151" s="660">
        <f t="shared" si="7"/>
        <v>0</v>
      </c>
      <c r="E151" s="660">
        <f>'[13]Диспан.набл.взрослых Пр.16- 23'!E151+'[13]Уточнение Пр.17-23  '!E151</f>
        <v>0</v>
      </c>
      <c r="F151" s="660">
        <f>'[13]Диспан.набл.взрослых Пр.16- 23'!F151+'[13]Уточнение Пр.17-23  '!F151</f>
        <v>0</v>
      </c>
      <c r="G151" s="660">
        <f>'[13]Диспан.набл.взрослых Пр.16- 23'!G151+'[13]Уточнение Пр.17-23  '!G151</f>
        <v>0</v>
      </c>
      <c r="H151" s="660">
        <f>'[13]Диспан.набл.взрослых Пр.16- 23'!H151+'[13]Уточнение Пр.17-23  '!H151</f>
        <v>0</v>
      </c>
      <c r="I151" s="660">
        <f>'[13]Диспан.набл.взрослых Пр.16- 23'!I151+'[13]Уточнение Пр.17-23  '!I151</f>
        <v>0</v>
      </c>
      <c r="J151" s="660">
        <f>'[13]Диспан.набл.взрослых Пр.16- 23'!J151+'[13]Уточнение Пр.17-23  '!J151</f>
        <v>0</v>
      </c>
      <c r="K151" s="660">
        <f>'[13]Диспан.набл.взрослых Пр.16- 23'!K151+'[13]Уточнение Пр.17-23  '!K151</f>
        <v>0</v>
      </c>
      <c r="L151" s="660">
        <f>'[13]Диспан.набл.взрослых Пр.16- 23'!L151+'[13]Уточнение Пр.17-23  '!L151</f>
        <v>0</v>
      </c>
      <c r="M151" s="660">
        <f>'[13]Диспан.набл.взрослых Пр.16- 23'!M151+'[13]Уточнение Пр.17-23  '!M151</f>
        <v>0</v>
      </c>
      <c r="N151" s="660">
        <f>'[13]Диспан.набл.взрослых Пр.16- 23'!N151+'[13]Уточнение Пр.17-23  '!N151</f>
        <v>0</v>
      </c>
      <c r="O151" s="660">
        <f>'[13]Диспан.набл.взрослых Пр.16- 23'!O151+'[13]Уточнение Пр.17-23  '!O151</f>
        <v>0</v>
      </c>
      <c r="P151" s="660">
        <f>'[13]Диспан.набл.взрослых Пр.16- 23'!P151+'[13]Уточнение Пр.17-23  '!P151</f>
        <v>0</v>
      </c>
      <c r="Q151" s="660">
        <f>'[13]Диспан.набл.взрослых Пр.16- 23'!Q151+'[13]Уточнение Пр.17-23  '!Q151</f>
        <v>0</v>
      </c>
      <c r="R151" s="660">
        <f>'[13]Диспан.набл.взрослых Пр.16- 23'!R151+'[13]Уточнение Пр.17-23  '!R151</f>
        <v>0</v>
      </c>
      <c r="S151" s="660">
        <f t="shared" si="8"/>
        <v>0</v>
      </c>
      <c r="T151" s="659"/>
    </row>
    <row r="152" spans="1:20" x14ac:dyDescent="0.25">
      <c r="A152" s="662">
        <v>137</v>
      </c>
      <c r="B152" s="40" t="s">
        <v>387</v>
      </c>
      <c r="C152" s="245" t="s">
        <v>388</v>
      </c>
      <c r="D152" s="660">
        <f t="shared" si="7"/>
        <v>0</v>
      </c>
      <c r="E152" s="660">
        <f>'[13]Диспан.набл.взрослых Пр.16- 23'!E152+'[13]Уточнение Пр.17-23  '!E152</f>
        <v>0</v>
      </c>
      <c r="F152" s="660">
        <f>'[13]Диспан.набл.взрослых Пр.16- 23'!F152+'[13]Уточнение Пр.17-23  '!F152</f>
        <v>0</v>
      </c>
      <c r="G152" s="660">
        <f>'[13]Диспан.набл.взрослых Пр.16- 23'!G152+'[13]Уточнение Пр.17-23  '!G152</f>
        <v>0</v>
      </c>
      <c r="H152" s="660">
        <f>'[13]Диспан.набл.взрослых Пр.16- 23'!H152+'[13]Уточнение Пр.17-23  '!H152</f>
        <v>0</v>
      </c>
      <c r="I152" s="660">
        <f>'[13]Диспан.набл.взрослых Пр.16- 23'!I152+'[13]Уточнение Пр.17-23  '!I152</f>
        <v>0</v>
      </c>
      <c r="J152" s="660">
        <f>'[13]Диспан.набл.взрослых Пр.16- 23'!J152+'[13]Уточнение Пр.17-23  '!J152</f>
        <v>0</v>
      </c>
      <c r="K152" s="660">
        <f>'[13]Диспан.набл.взрослых Пр.16- 23'!K152+'[13]Уточнение Пр.17-23  '!K152</f>
        <v>0</v>
      </c>
      <c r="L152" s="660">
        <f>'[13]Диспан.набл.взрослых Пр.16- 23'!L152+'[13]Уточнение Пр.17-23  '!L152</f>
        <v>0</v>
      </c>
      <c r="M152" s="660">
        <f>'[13]Диспан.набл.взрослых Пр.16- 23'!M152+'[13]Уточнение Пр.17-23  '!M152</f>
        <v>0</v>
      </c>
      <c r="N152" s="660">
        <f>'[13]Диспан.набл.взрослых Пр.16- 23'!N152+'[13]Уточнение Пр.17-23  '!N152</f>
        <v>0</v>
      </c>
      <c r="O152" s="660">
        <f>'[13]Диспан.набл.взрослых Пр.16- 23'!O152+'[13]Уточнение Пр.17-23  '!O152</f>
        <v>0</v>
      </c>
      <c r="P152" s="660">
        <f>'[13]Диспан.набл.взрослых Пр.16- 23'!P152+'[13]Уточнение Пр.17-23  '!P152</f>
        <v>0</v>
      </c>
      <c r="Q152" s="660">
        <f>'[13]Диспан.набл.взрослых Пр.16- 23'!Q152+'[13]Уточнение Пр.17-23  '!Q152</f>
        <v>0</v>
      </c>
      <c r="R152" s="660">
        <f>'[13]Диспан.набл.взрослых Пр.16- 23'!R152+'[13]Уточнение Пр.17-23  '!R152</f>
        <v>0</v>
      </c>
      <c r="S152" s="660">
        <f t="shared" si="8"/>
        <v>0</v>
      </c>
      <c r="T152" s="659"/>
    </row>
    <row r="153" spans="1:20" x14ac:dyDescent="0.25">
      <c r="A153" s="662">
        <v>138</v>
      </c>
      <c r="B153" s="41" t="s">
        <v>389</v>
      </c>
      <c r="C153" s="246" t="s">
        <v>390</v>
      </c>
      <c r="D153" s="660">
        <f t="shared" si="7"/>
        <v>0</v>
      </c>
      <c r="E153" s="660">
        <f>'[13]Диспан.набл.взрослых Пр.16- 23'!E153+'[13]Уточнение Пр.17-23  '!E153</f>
        <v>0</v>
      </c>
      <c r="F153" s="660">
        <f>'[13]Диспан.набл.взрослых Пр.16- 23'!F153+'[13]Уточнение Пр.17-23  '!F153</f>
        <v>0</v>
      </c>
      <c r="G153" s="660">
        <f>'[13]Диспан.набл.взрослых Пр.16- 23'!G153+'[13]Уточнение Пр.17-23  '!G153</f>
        <v>0</v>
      </c>
      <c r="H153" s="660">
        <f>'[13]Диспан.набл.взрослых Пр.16- 23'!H153+'[13]Уточнение Пр.17-23  '!H153</f>
        <v>0</v>
      </c>
      <c r="I153" s="660">
        <f>'[13]Диспан.набл.взрослых Пр.16- 23'!I153+'[13]Уточнение Пр.17-23  '!I153</f>
        <v>0</v>
      </c>
      <c r="J153" s="660">
        <f>'[13]Диспан.набл.взрослых Пр.16- 23'!J153+'[13]Уточнение Пр.17-23  '!J153</f>
        <v>0</v>
      </c>
      <c r="K153" s="660">
        <f>'[13]Диспан.набл.взрослых Пр.16- 23'!K153+'[13]Уточнение Пр.17-23  '!K153</f>
        <v>0</v>
      </c>
      <c r="L153" s="660">
        <f>'[13]Диспан.набл.взрослых Пр.16- 23'!L153+'[13]Уточнение Пр.17-23  '!L153</f>
        <v>0</v>
      </c>
      <c r="M153" s="660">
        <f>'[13]Диспан.набл.взрослых Пр.16- 23'!M153+'[13]Уточнение Пр.17-23  '!M153</f>
        <v>0</v>
      </c>
      <c r="N153" s="660">
        <f>'[13]Диспан.набл.взрослых Пр.16- 23'!N153+'[13]Уточнение Пр.17-23  '!N153</f>
        <v>0</v>
      </c>
      <c r="O153" s="660">
        <f>'[13]Диспан.набл.взрослых Пр.16- 23'!O153+'[13]Уточнение Пр.17-23  '!O153</f>
        <v>0</v>
      </c>
      <c r="P153" s="660">
        <f>'[13]Диспан.набл.взрослых Пр.16- 23'!P153+'[13]Уточнение Пр.17-23  '!P153</f>
        <v>0</v>
      </c>
      <c r="Q153" s="660">
        <f>'[13]Диспан.набл.взрослых Пр.16- 23'!Q153+'[13]Уточнение Пр.17-23  '!Q153</f>
        <v>0</v>
      </c>
      <c r="R153" s="660">
        <f>'[13]Диспан.набл.взрослых Пр.16- 23'!R153+'[13]Уточнение Пр.17-23  '!R153</f>
        <v>0</v>
      </c>
      <c r="S153" s="660">
        <f t="shared" si="8"/>
        <v>0</v>
      </c>
      <c r="T153" s="659"/>
    </row>
    <row r="154" spans="1:20" x14ac:dyDescent="0.25">
      <c r="A154" s="662">
        <v>139</v>
      </c>
      <c r="B154" s="42" t="s">
        <v>391</v>
      </c>
      <c r="C154" s="423" t="s">
        <v>392</v>
      </c>
      <c r="D154" s="660">
        <f t="shared" si="7"/>
        <v>0</v>
      </c>
      <c r="E154" s="660">
        <f>'[13]Диспан.набл.взрослых Пр.16- 23'!E154+'[13]Уточнение Пр.17-23  '!E154</f>
        <v>0</v>
      </c>
      <c r="F154" s="660">
        <f>'[13]Диспан.набл.взрослых Пр.16- 23'!F154+'[13]Уточнение Пр.17-23  '!F154</f>
        <v>0</v>
      </c>
      <c r="G154" s="660">
        <f>'[13]Диспан.набл.взрослых Пр.16- 23'!G154+'[13]Уточнение Пр.17-23  '!G154</f>
        <v>0</v>
      </c>
      <c r="H154" s="660">
        <f>'[13]Диспан.набл.взрослых Пр.16- 23'!H154+'[13]Уточнение Пр.17-23  '!H154</f>
        <v>0</v>
      </c>
      <c r="I154" s="660">
        <f>'[13]Диспан.набл.взрослых Пр.16- 23'!I154+'[13]Уточнение Пр.17-23  '!I154</f>
        <v>0</v>
      </c>
      <c r="J154" s="660">
        <f>'[13]Диспан.набл.взрослых Пр.16- 23'!J154+'[13]Уточнение Пр.17-23  '!J154</f>
        <v>0</v>
      </c>
      <c r="K154" s="660">
        <f>'[13]Диспан.набл.взрослых Пр.16- 23'!K154+'[13]Уточнение Пр.17-23  '!K154</f>
        <v>0</v>
      </c>
      <c r="L154" s="660">
        <f>'[13]Диспан.набл.взрослых Пр.16- 23'!L154+'[13]Уточнение Пр.17-23  '!L154</f>
        <v>0</v>
      </c>
      <c r="M154" s="660">
        <f>'[13]Диспан.набл.взрослых Пр.16- 23'!M154+'[13]Уточнение Пр.17-23  '!M154</f>
        <v>0</v>
      </c>
      <c r="N154" s="660">
        <f>'[13]Диспан.набл.взрослых Пр.16- 23'!N154+'[13]Уточнение Пр.17-23  '!N154</f>
        <v>0</v>
      </c>
      <c r="O154" s="660">
        <f>'[13]Диспан.набл.взрослых Пр.16- 23'!O154+'[13]Уточнение Пр.17-23  '!O154</f>
        <v>0</v>
      </c>
      <c r="P154" s="660">
        <f>'[13]Диспан.набл.взрослых Пр.16- 23'!P154+'[13]Уточнение Пр.17-23  '!P154</f>
        <v>0</v>
      </c>
      <c r="Q154" s="660">
        <f>'[13]Диспан.набл.взрослых Пр.16- 23'!Q154+'[13]Уточнение Пр.17-23  '!Q154</f>
        <v>0</v>
      </c>
      <c r="R154" s="660">
        <f>'[13]Диспан.набл.взрослых Пр.16- 23'!R154+'[13]Уточнение Пр.17-23  '!R154</f>
        <v>0</v>
      </c>
      <c r="S154" s="660">
        <f t="shared" si="8"/>
        <v>0</v>
      </c>
      <c r="T154" s="659"/>
    </row>
    <row r="155" spans="1:20" x14ac:dyDescent="0.25">
      <c r="A155" s="662">
        <v>140</v>
      </c>
      <c r="B155" s="247" t="s">
        <v>393</v>
      </c>
      <c r="C155" s="248" t="s">
        <v>394</v>
      </c>
      <c r="D155" s="660">
        <f t="shared" si="7"/>
        <v>0</v>
      </c>
      <c r="E155" s="660">
        <f>'[13]Диспан.набл.взрослых Пр.16- 23'!E155+'[13]Уточнение Пр.17-23  '!E155</f>
        <v>0</v>
      </c>
      <c r="F155" s="660">
        <f>'[13]Диспан.набл.взрослых Пр.16- 23'!F155+'[13]Уточнение Пр.17-23  '!F155</f>
        <v>0</v>
      </c>
      <c r="G155" s="660">
        <f>'[13]Диспан.набл.взрослых Пр.16- 23'!G155+'[13]Уточнение Пр.17-23  '!G155</f>
        <v>0</v>
      </c>
      <c r="H155" s="660">
        <f>'[13]Диспан.набл.взрослых Пр.16- 23'!H155+'[13]Уточнение Пр.17-23  '!H155</f>
        <v>0</v>
      </c>
      <c r="I155" s="660">
        <f>'[13]Диспан.набл.взрослых Пр.16- 23'!I155+'[13]Уточнение Пр.17-23  '!I155</f>
        <v>0</v>
      </c>
      <c r="J155" s="660">
        <f>'[13]Диспан.набл.взрослых Пр.16- 23'!J155+'[13]Уточнение Пр.17-23  '!J155</f>
        <v>0</v>
      </c>
      <c r="K155" s="660">
        <f>'[13]Диспан.набл.взрослых Пр.16- 23'!K155+'[13]Уточнение Пр.17-23  '!K155</f>
        <v>0</v>
      </c>
      <c r="L155" s="660">
        <f>'[13]Диспан.набл.взрослых Пр.16- 23'!L155+'[13]Уточнение Пр.17-23  '!L155</f>
        <v>0</v>
      </c>
      <c r="M155" s="660">
        <f>'[13]Диспан.набл.взрослых Пр.16- 23'!M155+'[13]Уточнение Пр.17-23  '!M155</f>
        <v>0</v>
      </c>
      <c r="N155" s="660">
        <f>'[13]Диспан.набл.взрослых Пр.16- 23'!N155+'[13]Уточнение Пр.17-23  '!N155</f>
        <v>0</v>
      </c>
      <c r="O155" s="660">
        <f>'[13]Диспан.набл.взрослых Пр.16- 23'!O155+'[13]Уточнение Пр.17-23  '!O155</f>
        <v>0</v>
      </c>
      <c r="P155" s="660">
        <f>'[13]Диспан.набл.взрослых Пр.16- 23'!P155+'[13]Уточнение Пр.17-23  '!P155</f>
        <v>0</v>
      </c>
      <c r="Q155" s="660">
        <f>'[13]Диспан.набл.взрослых Пр.16- 23'!Q155+'[13]Уточнение Пр.17-23  '!Q155</f>
        <v>0</v>
      </c>
      <c r="R155" s="660">
        <f>'[13]Диспан.набл.взрослых Пр.16- 23'!R155+'[13]Уточнение Пр.17-23  '!R155</f>
        <v>0</v>
      </c>
      <c r="S155" s="660">
        <f t="shared" si="8"/>
        <v>0</v>
      </c>
      <c r="T155" s="659"/>
    </row>
    <row r="160" spans="1:20" x14ac:dyDescent="0.25">
      <c r="E160" s="653"/>
    </row>
  </sheetData>
  <mergeCells count="25"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Q8:Q9"/>
    <mergeCell ref="R8:R9"/>
    <mergeCell ref="L8:L9"/>
    <mergeCell ref="M8:M9"/>
    <mergeCell ref="N8:N9"/>
    <mergeCell ref="A13:C13"/>
    <mergeCell ref="A96:A98"/>
    <mergeCell ref="B96:B98"/>
    <mergeCell ref="O8:O9"/>
    <mergeCell ref="P8:P9"/>
    <mergeCell ref="A11:C11"/>
    <mergeCell ref="A12:C12"/>
    <mergeCell ref="I8:I9"/>
    <mergeCell ref="J8:J9"/>
    <mergeCell ref="K8:K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53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N99" sqref="N99"/>
    </sheetView>
  </sheetViews>
  <sheetFormatPr defaultColWidth="10.7109375" defaultRowHeight="12.75" x14ac:dyDescent="0.2"/>
  <cols>
    <col min="1" max="1" width="7" style="424" customWidth="1"/>
    <col min="2" max="2" width="10.7109375" style="424"/>
    <col min="3" max="3" width="36.28515625" style="4" customWidth="1"/>
    <col min="4" max="6" width="15.7109375" style="4" customWidth="1"/>
    <col min="7" max="7" width="12.85546875" style="4" customWidth="1"/>
    <col min="8" max="8" width="16.7109375" style="4" customWidth="1"/>
    <col min="9" max="9" width="15.7109375" style="4" customWidth="1"/>
    <col min="10" max="10" width="17.42578125" style="4" customWidth="1"/>
    <col min="11" max="11" width="15.7109375" style="4" customWidth="1"/>
    <col min="12" max="16384" width="10.7109375" style="4"/>
  </cols>
  <sheetData>
    <row r="1" spans="1:12" ht="32.25" customHeight="1" x14ac:dyDescent="0.2">
      <c r="B1" s="1176" t="s">
        <v>332</v>
      </c>
      <c r="C1" s="1176"/>
      <c r="D1" s="1176"/>
      <c r="E1" s="1176"/>
      <c r="F1" s="1176"/>
      <c r="G1" s="1176"/>
      <c r="H1" s="1176"/>
      <c r="I1" s="1176"/>
      <c r="J1" s="1176"/>
      <c r="K1" s="730"/>
    </row>
    <row r="2" spans="1:12" ht="9.75" customHeight="1" x14ac:dyDescent="0.2">
      <c r="C2" s="425"/>
    </row>
    <row r="3" spans="1:12" s="388" customFormat="1" ht="47.25" customHeight="1" x14ac:dyDescent="0.2">
      <c r="A3" s="1177" t="s">
        <v>0</v>
      </c>
      <c r="B3" s="1178" t="s">
        <v>302</v>
      </c>
      <c r="C3" s="1180" t="s">
        <v>2</v>
      </c>
      <c r="D3" s="1182" t="s">
        <v>303</v>
      </c>
      <c r="E3" s="1183"/>
      <c r="F3" s="1183"/>
      <c r="G3" s="1183"/>
      <c r="H3" s="1183"/>
      <c r="I3" s="1183"/>
      <c r="J3" s="1184"/>
    </row>
    <row r="4" spans="1:12" s="388" customFormat="1" ht="25.5" customHeight="1" x14ac:dyDescent="0.2">
      <c r="A4" s="1177"/>
      <c r="B4" s="1179"/>
      <c r="C4" s="1181"/>
      <c r="D4" s="1185" t="s">
        <v>304</v>
      </c>
      <c r="E4" s="1186"/>
      <c r="F4" s="1186"/>
      <c r="G4" s="1187" t="s">
        <v>305</v>
      </c>
      <c r="H4" s="1188"/>
      <c r="I4" s="1188"/>
      <c r="J4" s="1189"/>
    </row>
    <row r="5" spans="1:12" s="388" customFormat="1" ht="25.5" customHeight="1" x14ac:dyDescent="0.2">
      <c r="A5" s="1177"/>
      <c r="B5" s="1179"/>
      <c r="C5" s="1181"/>
      <c r="D5" s="1190" t="s">
        <v>306</v>
      </c>
      <c r="E5" s="1192" t="s">
        <v>307</v>
      </c>
      <c r="F5" s="1192"/>
      <c r="G5" s="1193" t="s">
        <v>356</v>
      </c>
      <c r="H5" s="1192" t="s">
        <v>307</v>
      </c>
      <c r="I5" s="1192"/>
      <c r="J5" s="1192"/>
    </row>
    <row r="6" spans="1:12" s="388" customFormat="1" ht="66.75" customHeight="1" x14ac:dyDescent="0.2">
      <c r="A6" s="1177"/>
      <c r="B6" s="1179"/>
      <c r="C6" s="1181"/>
      <c r="D6" s="1191"/>
      <c r="E6" s="731" t="s">
        <v>380</v>
      </c>
      <c r="F6" s="731" t="s">
        <v>379</v>
      </c>
      <c r="G6" s="1191"/>
      <c r="H6" s="731" t="s">
        <v>381</v>
      </c>
      <c r="I6" s="731" t="s">
        <v>382</v>
      </c>
      <c r="J6" s="731" t="s">
        <v>383</v>
      </c>
    </row>
    <row r="7" spans="1:12" s="388" customFormat="1" ht="12.75" customHeight="1" x14ac:dyDescent="0.2">
      <c r="A7" s="426">
        <v>1</v>
      </c>
      <c r="B7" s="725">
        <v>2</v>
      </c>
      <c r="C7" s="726">
        <v>3</v>
      </c>
      <c r="D7" s="732">
        <v>4</v>
      </c>
      <c r="E7" s="733">
        <v>5</v>
      </c>
      <c r="F7" s="733">
        <v>6</v>
      </c>
      <c r="G7" s="733">
        <v>7</v>
      </c>
      <c r="H7" s="734">
        <v>8</v>
      </c>
      <c r="I7" s="734">
        <v>9</v>
      </c>
      <c r="J7" s="734">
        <v>10</v>
      </c>
    </row>
    <row r="8" spans="1:12" s="388" customFormat="1" ht="21" customHeight="1" x14ac:dyDescent="0.2">
      <c r="A8" s="1168" t="s">
        <v>308</v>
      </c>
      <c r="B8" s="1168"/>
      <c r="C8" s="1168"/>
      <c r="D8" s="735">
        <f>SUM(D9:D146)</f>
        <v>370242</v>
      </c>
      <c r="E8" s="735">
        <f t="shared" ref="E8:J8" si="0">SUM(E9:E146)</f>
        <v>125703</v>
      </c>
      <c r="F8" s="735">
        <f t="shared" si="0"/>
        <v>125703</v>
      </c>
      <c r="G8" s="735">
        <f t="shared" si="0"/>
        <v>37710</v>
      </c>
      <c r="H8" s="735">
        <f t="shared" si="0"/>
        <v>12570</v>
      </c>
      <c r="I8" s="735">
        <f t="shared" si="0"/>
        <v>12570</v>
      </c>
      <c r="J8" s="735">
        <f t="shared" si="0"/>
        <v>12570</v>
      </c>
      <c r="K8" s="736"/>
      <c r="L8" s="737"/>
    </row>
    <row r="9" spans="1:12" x14ac:dyDescent="0.2">
      <c r="A9" s="724">
        <v>1</v>
      </c>
      <c r="B9" s="427" t="s">
        <v>16</v>
      </c>
      <c r="C9" s="25" t="s">
        <v>17</v>
      </c>
      <c r="D9" s="410">
        <v>1855</v>
      </c>
      <c r="E9" s="410">
        <v>1729</v>
      </c>
      <c r="F9" s="410">
        <v>1729</v>
      </c>
      <c r="G9" s="410">
        <v>519</v>
      </c>
      <c r="H9" s="410">
        <v>173</v>
      </c>
      <c r="I9" s="410">
        <v>173</v>
      </c>
      <c r="J9" s="410">
        <v>173</v>
      </c>
      <c r="K9" s="736"/>
      <c r="L9" s="737"/>
    </row>
    <row r="10" spans="1:12" x14ac:dyDescent="0.2">
      <c r="A10" s="724">
        <v>2</v>
      </c>
      <c r="B10" s="428" t="s">
        <v>18</v>
      </c>
      <c r="C10" s="25" t="s">
        <v>19</v>
      </c>
      <c r="D10" s="410">
        <v>1867</v>
      </c>
      <c r="E10" s="410">
        <v>513</v>
      </c>
      <c r="F10" s="410">
        <v>513</v>
      </c>
      <c r="G10" s="410">
        <v>153</v>
      </c>
      <c r="H10" s="410">
        <v>51</v>
      </c>
      <c r="I10" s="410">
        <v>51</v>
      </c>
      <c r="J10" s="410">
        <v>51</v>
      </c>
      <c r="K10" s="736"/>
      <c r="L10" s="737"/>
    </row>
    <row r="11" spans="1:12" x14ac:dyDescent="0.2">
      <c r="A11" s="724">
        <v>3</v>
      </c>
      <c r="B11" s="429" t="s">
        <v>20</v>
      </c>
      <c r="C11" s="3" t="s">
        <v>21</v>
      </c>
      <c r="D11" s="410">
        <v>5561</v>
      </c>
      <c r="E11" s="410">
        <v>1221</v>
      </c>
      <c r="F11" s="410">
        <v>1221</v>
      </c>
      <c r="G11" s="410">
        <v>366</v>
      </c>
      <c r="H11" s="410">
        <v>122</v>
      </c>
      <c r="I11" s="410">
        <v>122</v>
      </c>
      <c r="J11" s="410">
        <v>122</v>
      </c>
      <c r="K11" s="736"/>
      <c r="L11" s="737"/>
    </row>
    <row r="12" spans="1:12" x14ac:dyDescent="0.2">
      <c r="A12" s="724">
        <v>4</v>
      </c>
      <c r="B12" s="427" t="s">
        <v>22</v>
      </c>
      <c r="C12" s="25" t="s">
        <v>23</v>
      </c>
      <c r="D12" s="410">
        <v>1724</v>
      </c>
      <c r="E12" s="410">
        <v>772</v>
      </c>
      <c r="F12" s="410">
        <v>772</v>
      </c>
      <c r="G12" s="410">
        <v>231</v>
      </c>
      <c r="H12" s="410">
        <v>77</v>
      </c>
      <c r="I12" s="410">
        <v>77</v>
      </c>
      <c r="J12" s="410">
        <v>77</v>
      </c>
      <c r="K12" s="736"/>
      <c r="L12" s="737"/>
    </row>
    <row r="13" spans="1:12" x14ac:dyDescent="0.2">
      <c r="A13" s="724">
        <v>5</v>
      </c>
      <c r="B13" s="427" t="s">
        <v>24</v>
      </c>
      <c r="C13" s="25" t="s">
        <v>25</v>
      </c>
      <c r="D13" s="410">
        <v>1481</v>
      </c>
      <c r="E13" s="410">
        <v>333</v>
      </c>
      <c r="F13" s="410">
        <v>333</v>
      </c>
      <c r="G13" s="410">
        <v>99</v>
      </c>
      <c r="H13" s="410">
        <v>33</v>
      </c>
      <c r="I13" s="410">
        <v>33</v>
      </c>
      <c r="J13" s="410">
        <v>33</v>
      </c>
      <c r="K13" s="736"/>
      <c r="L13" s="737"/>
    </row>
    <row r="14" spans="1:12" x14ac:dyDescent="0.2">
      <c r="A14" s="724">
        <v>6</v>
      </c>
      <c r="B14" s="429" t="s">
        <v>26</v>
      </c>
      <c r="C14" s="3" t="s">
        <v>27</v>
      </c>
      <c r="D14" s="410">
        <v>10094</v>
      </c>
      <c r="E14" s="410">
        <v>2322</v>
      </c>
      <c r="F14" s="410">
        <v>2322</v>
      </c>
      <c r="G14" s="410">
        <v>696</v>
      </c>
      <c r="H14" s="410">
        <v>232</v>
      </c>
      <c r="I14" s="410">
        <v>232</v>
      </c>
      <c r="J14" s="410">
        <v>232</v>
      </c>
      <c r="K14" s="736"/>
      <c r="L14" s="737"/>
    </row>
    <row r="15" spans="1:12" x14ac:dyDescent="0.2">
      <c r="A15" s="724">
        <v>7</v>
      </c>
      <c r="B15" s="430" t="s">
        <v>28</v>
      </c>
      <c r="C15" s="223" t="s">
        <v>29</v>
      </c>
      <c r="D15" s="410">
        <v>7459</v>
      </c>
      <c r="E15" s="410">
        <v>1107</v>
      </c>
      <c r="F15" s="410">
        <v>1107</v>
      </c>
      <c r="G15" s="410">
        <v>333</v>
      </c>
      <c r="H15" s="410">
        <v>111</v>
      </c>
      <c r="I15" s="410">
        <v>111</v>
      </c>
      <c r="J15" s="410">
        <v>111</v>
      </c>
      <c r="K15" s="736"/>
      <c r="L15" s="737"/>
    </row>
    <row r="16" spans="1:12" x14ac:dyDescent="0.2">
      <c r="A16" s="724">
        <v>8</v>
      </c>
      <c r="B16" s="429" t="s">
        <v>30</v>
      </c>
      <c r="C16" s="3" t="s">
        <v>31</v>
      </c>
      <c r="D16" s="410">
        <v>1855</v>
      </c>
      <c r="E16" s="410">
        <v>297</v>
      </c>
      <c r="F16" s="410">
        <v>297</v>
      </c>
      <c r="G16" s="410">
        <v>90</v>
      </c>
      <c r="H16" s="410">
        <v>30</v>
      </c>
      <c r="I16" s="410">
        <v>30</v>
      </c>
      <c r="J16" s="410">
        <v>30</v>
      </c>
      <c r="K16" s="736"/>
      <c r="L16" s="737"/>
    </row>
    <row r="17" spans="1:12" x14ac:dyDescent="0.2">
      <c r="A17" s="724">
        <v>9</v>
      </c>
      <c r="B17" s="429" t="s">
        <v>32</v>
      </c>
      <c r="C17" s="3" t="s">
        <v>33</v>
      </c>
      <c r="D17" s="410">
        <v>2065</v>
      </c>
      <c r="E17" s="410">
        <v>1391</v>
      </c>
      <c r="F17" s="410">
        <v>1391</v>
      </c>
      <c r="G17" s="410">
        <v>417</v>
      </c>
      <c r="H17" s="410">
        <v>139</v>
      </c>
      <c r="I17" s="410">
        <v>139</v>
      </c>
      <c r="J17" s="410">
        <v>139</v>
      </c>
      <c r="K17" s="736"/>
      <c r="L17" s="737"/>
    </row>
    <row r="18" spans="1:12" x14ac:dyDescent="0.2">
      <c r="A18" s="724">
        <v>10</v>
      </c>
      <c r="B18" s="429" t="s">
        <v>34</v>
      </c>
      <c r="C18" s="3" t="s">
        <v>35</v>
      </c>
      <c r="D18" s="410">
        <v>2290</v>
      </c>
      <c r="E18" s="410">
        <v>251</v>
      </c>
      <c r="F18" s="410">
        <v>251</v>
      </c>
      <c r="G18" s="410">
        <v>75</v>
      </c>
      <c r="H18" s="410">
        <v>25</v>
      </c>
      <c r="I18" s="410">
        <v>25</v>
      </c>
      <c r="J18" s="410">
        <v>25</v>
      </c>
      <c r="K18" s="736"/>
      <c r="L18" s="737"/>
    </row>
    <row r="19" spans="1:12" x14ac:dyDescent="0.2">
      <c r="A19" s="724">
        <v>11</v>
      </c>
      <c r="B19" s="429" t="s">
        <v>36</v>
      </c>
      <c r="C19" s="3" t="s">
        <v>37</v>
      </c>
      <c r="D19" s="410">
        <v>1619</v>
      </c>
      <c r="E19" s="410">
        <v>370</v>
      </c>
      <c r="F19" s="410">
        <v>370</v>
      </c>
      <c r="G19" s="410">
        <v>111</v>
      </c>
      <c r="H19" s="410">
        <v>37</v>
      </c>
      <c r="I19" s="410">
        <v>37</v>
      </c>
      <c r="J19" s="410">
        <v>37</v>
      </c>
      <c r="K19" s="736"/>
      <c r="L19" s="737"/>
    </row>
    <row r="20" spans="1:12" x14ac:dyDescent="0.2">
      <c r="A20" s="724">
        <v>12</v>
      </c>
      <c r="B20" s="429" t="s">
        <v>38</v>
      </c>
      <c r="C20" s="3" t="s">
        <v>39</v>
      </c>
      <c r="D20" s="410">
        <v>4547</v>
      </c>
      <c r="E20" s="410">
        <v>798</v>
      </c>
      <c r="F20" s="410">
        <v>798</v>
      </c>
      <c r="G20" s="410">
        <v>240</v>
      </c>
      <c r="H20" s="410">
        <v>80</v>
      </c>
      <c r="I20" s="410">
        <v>80</v>
      </c>
      <c r="J20" s="410">
        <v>80</v>
      </c>
      <c r="K20" s="736"/>
      <c r="L20" s="737"/>
    </row>
    <row r="21" spans="1:12" x14ac:dyDescent="0.2">
      <c r="A21" s="724">
        <v>13</v>
      </c>
      <c r="B21" s="429" t="s">
        <v>40</v>
      </c>
      <c r="C21" s="25" t="s">
        <v>41</v>
      </c>
      <c r="D21" s="410">
        <v>0</v>
      </c>
      <c r="E21" s="410">
        <v>0</v>
      </c>
      <c r="F21" s="410">
        <v>0</v>
      </c>
      <c r="G21" s="410">
        <v>0</v>
      </c>
      <c r="H21" s="410">
        <v>0</v>
      </c>
      <c r="I21" s="410">
        <v>0</v>
      </c>
      <c r="J21" s="410">
        <v>0</v>
      </c>
      <c r="K21" s="736"/>
      <c r="L21" s="737"/>
    </row>
    <row r="22" spans="1:12" x14ac:dyDescent="0.2">
      <c r="A22" s="724">
        <v>14</v>
      </c>
      <c r="B22" s="427" t="s">
        <v>42</v>
      </c>
      <c r="C22" s="3" t="s">
        <v>43</v>
      </c>
      <c r="D22" s="410">
        <v>0</v>
      </c>
      <c r="E22" s="410">
        <v>0</v>
      </c>
      <c r="F22" s="410">
        <v>0</v>
      </c>
      <c r="G22" s="410">
        <v>0</v>
      </c>
      <c r="H22" s="410">
        <v>0</v>
      </c>
      <c r="I22" s="410">
        <v>0</v>
      </c>
      <c r="J22" s="410">
        <v>0</v>
      </c>
      <c r="K22" s="736"/>
      <c r="L22" s="737"/>
    </row>
    <row r="23" spans="1:12" x14ac:dyDescent="0.2">
      <c r="A23" s="724">
        <v>15</v>
      </c>
      <c r="B23" s="429" t="s">
        <v>44</v>
      </c>
      <c r="C23" s="3" t="s">
        <v>45</v>
      </c>
      <c r="D23" s="410">
        <v>1120</v>
      </c>
      <c r="E23" s="410">
        <v>865</v>
      </c>
      <c r="F23" s="410">
        <v>865</v>
      </c>
      <c r="G23" s="410">
        <v>261</v>
      </c>
      <c r="H23" s="410">
        <v>87</v>
      </c>
      <c r="I23" s="410">
        <v>87</v>
      </c>
      <c r="J23" s="410">
        <v>87</v>
      </c>
      <c r="K23" s="736"/>
      <c r="L23" s="737"/>
    </row>
    <row r="24" spans="1:12" x14ac:dyDescent="0.2">
      <c r="A24" s="724">
        <v>16</v>
      </c>
      <c r="B24" s="429" t="s">
        <v>46</v>
      </c>
      <c r="C24" s="3" t="s">
        <v>47</v>
      </c>
      <c r="D24" s="410">
        <v>2446</v>
      </c>
      <c r="E24" s="410">
        <v>660</v>
      </c>
      <c r="F24" s="410">
        <v>660</v>
      </c>
      <c r="G24" s="410">
        <v>198</v>
      </c>
      <c r="H24" s="410">
        <v>66</v>
      </c>
      <c r="I24" s="410">
        <v>66</v>
      </c>
      <c r="J24" s="410">
        <v>66</v>
      </c>
      <c r="K24" s="736"/>
      <c r="L24" s="737"/>
    </row>
    <row r="25" spans="1:12" x14ac:dyDescent="0.2">
      <c r="A25" s="724">
        <v>17</v>
      </c>
      <c r="B25" s="429" t="s">
        <v>48</v>
      </c>
      <c r="C25" s="3" t="s">
        <v>49</v>
      </c>
      <c r="D25" s="410">
        <v>3695</v>
      </c>
      <c r="E25" s="410">
        <v>1519</v>
      </c>
      <c r="F25" s="410">
        <v>1519</v>
      </c>
      <c r="G25" s="410">
        <v>456</v>
      </c>
      <c r="H25" s="410">
        <v>152</v>
      </c>
      <c r="I25" s="410">
        <v>152</v>
      </c>
      <c r="J25" s="410">
        <v>152</v>
      </c>
      <c r="K25" s="736"/>
      <c r="L25" s="737"/>
    </row>
    <row r="26" spans="1:12" x14ac:dyDescent="0.2">
      <c r="A26" s="724">
        <v>18</v>
      </c>
      <c r="B26" s="429" t="s">
        <v>50</v>
      </c>
      <c r="C26" s="3" t="s">
        <v>51</v>
      </c>
      <c r="D26" s="410">
        <v>9303</v>
      </c>
      <c r="E26" s="410">
        <v>2958</v>
      </c>
      <c r="F26" s="410">
        <v>2958</v>
      </c>
      <c r="G26" s="410">
        <v>888</v>
      </c>
      <c r="H26" s="410">
        <v>296</v>
      </c>
      <c r="I26" s="410">
        <v>296</v>
      </c>
      <c r="J26" s="410">
        <v>296</v>
      </c>
      <c r="K26" s="736"/>
      <c r="L26" s="737"/>
    </row>
    <row r="27" spans="1:12" x14ac:dyDescent="0.2">
      <c r="A27" s="724">
        <v>19</v>
      </c>
      <c r="B27" s="427" t="s">
        <v>52</v>
      </c>
      <c r="C27" s="25" t="s">
        <v>53</v>
      </c>
      <c r="D27" s="410">
        <v>1308</v>
      </c>
      <c r="E27" s="410">
        <v>849</v>
      </c>
      <c r="F27" s="410">
        <v>849</v>
      </c>
      <c r="G27" s="410">
        <v>255</v>
      </c>
      <c r="H27" s="410">
        <v>85</v>
      </c>
      <c r="I27" s="410">
        <v>85</v>
      </c>
      <c r="J27" s="410">
        <v>85</v>
      </c>
      <c r="K27" s="736"/>
      <c r="L27" s="737"/>
    </row>
    <row r="28" spans="1:12" x14ac:dyDescent="0.2">
      <c r="A28" s="724">
        <v>20</v>
      </c>
      <c r="B28" s="427" t="s">
        <v>54</v>
      </c>
      <c r="C28" s="25" t="s">
        <v>55</v>
      </c>
      <c r="D28" s="410">
        <v>894</v>
      </c>
      <c r="E28" s="410">
        <v>395</v>
      </c>
      <c r="F28" s="410">
        <v>395</v>
      </c>
      <c r="G28" s="410">
        <v>120</v>
      </c>
      <c r="H28" s="410">
        <v>40</v>
      </c>
      <c r="I28" s="410">
        <v>40</v>
      </c>
      <c r="J28" s="410">
        <v>40</v>
      </c>
      <c r="K28" s="736"/>
      <c r="L28" s="737"/>
    </row>
    <row r="29" spans="1:12" x14ac:dyDescent="0.2">
      <c r="A29" s="724">
        <v>21</v>
      </c>
      <c r="B29" s="427" t="s">
        <v>56</v>
      </c>
      <c r="C29" s="25" t="s">
        <v>57</v>
      </c>
      <c r="D29" s="410">
        <v>5295</v>
      </c>
      <c r="E29" s="410">
        <v>1431</v>
      </c>
      <c r="F29" s="410">
        <v>1431</v>
      </c>
      <c r="G29" s="410">
        <v>429</v>
      </c>
      <c r="H29" s="410">
        <v>143</v>
      </c>
      <c r="I29" s="410">
        <v>143</v>
      </c>
      <c r="J29" s="410">
        <v>143</v>
      </c>
      <c r="K29" s="736"/>
      <c r="L29" s="737"/>
    </row>
    <row r="30" spans="1:12" x14ac:dyDescent="0.2">
      <c r="A30" s="724">
        <v>22</v>
      </c>
      <c r="B30" s="427" t="s">
        <v>58</v>
      </c>
      <c r="C30" s="25" t="s">
        <v>59</v>
      </c>
      <c r="D30" s="410">
        <v>6679</v>
      </c>
      <c r="E30" s="410">
        <v>1184</v>
      </c>
      <c r="F30" s="410">
        <v>1184</v>
      </c>
      <c r="G30" s="410">
        <v>354</v>
      </c>
      <c r="H30" s="410">
        <v>118</v>
      </c>
      <c r="I30" s="410">
        <v>118</v>
      </c>
      <c r="J30" s="410">
        <v>118</v>
      </c>
      <c r="K30" s="736"/>
      <c r="L30" s="737"/>
    </row>
    <row r="31" spans="1:12" x14ac:dyDescent="0.2">
      <c r="A31" s="724">
        <v>23</v>
      </c>
      <c r="B31" s="429" t="s">
        <v>60</v>
      </c>
      <c r="C31" s="3" t="s">
        <v>61</v>
      </c>
      <c r="D31" s="410">
        <v>1177</v>
      </c>
      <c r="E31" s="410">
        <v>159</v>
      </c>
      <c r="F31" s="410">
        <v>159</v>
      </c>
      <c r="G31" s="410">
        <v>48</v>
      </c>
      <c r="H31" s="410">
        <v>16</v>
      </c>
      <c r="I31" s="410">
        <v>16</v>
      </c>
      <c r="J31" s="410">
        <v>16</v>
      </c>
      <c r="K31" s="736"/>
      <c r="L31" s="737"/>
    </row>
    <row r="32" spans="1:12" x14ac:dyDescent="0.2">
      <c r="A32" s="724">
        <v>24</v>
      </c>
      <c r="B32" s="429" t="s">
        <v>62</v>
      </c>
      <c r="C32" s="3" t="s">
        <v>63</v>
      </c>
      <c r="D32" s="410">
        <v>0</v>
      </c>
      <c r="E32" s="410">
        <v>0</v>
      </c>
      <c r="F32" s="410">
        <v>0</v>
      </c>
      <c r="G32" s="410">
        <v>0</v>
      </c>
      <c r="H32" s="410">
        <v>0</v>
      </c>
      <c r="I32" s="410">
        <v>0</v>
      </c>
      <c r="J32" s="410">
        <v>0</v>
      </c>
      <c r="K32" s="736"/>
      <c r="L32" s="737"/>
    </row>
    <row r="33" spans="1:12" ht="25.5" x14ac:dyDescent="0.2">
      <c r="A33" s="724">
        <v>25</v>
      </c>
      <c r="B33" s="429" t="s">
        <v>64</v>
      </c>
      <c r="C33" s="3" t="s">
        <v>65</v>
      </c>
      <c r="D33" s="410">
        <v>0</v>
      </c>
      <c r="E33" s="410">
        <v>0</v>
      </c>
      <c r="F33" s="410">
        <v>0</v>
      </c>
      <c r="G33" s="410">
        <v>0</v>
      </c>
      <c r="H33" s="410">
        <v>0</v>
      </c>
      <c r="I33" s="410">
        <v>0</v>
      </c>
      <c r="J33" s="410">
        <v>0</v>
      </c>
      <c r="K33" s="736"/>
      <c r="L33" s="737"/>
    </row>
    <row r="34" spans="1:12" x14ac:dyDescent="0.2">
      <c r="A34" s="724">
        <v>26</v>
      </c>
      <c r="B34" s="427" t="s">
        <v>66</v>
      </c>
      <c r="C34" s="223" t="s">
        <v>67</v>
      </c>
      <c r="D34" s="410">
        <v>15380</v>
      </c>
      <c r="E34" s="410">
        <v>7315</v>
      </c>
      <c r="F34" s="410">
        <v>8443</v>
      </c>
      <c r="G34" s="410">
        <v>2602</v>
      </c>
      <c r="H34" s="410">
        <v>822</v>
      </c>
      <c r="I34" s="410">
        <v>865</v>
      </c>
      <c r="J34" s="410">
        <v>877</v>
      </c>
      <c r="K34" s="736"/>
      <c r="L34" s="737"/>
    </row>
    <row r="35" spans="1:12" x14ac:dyDescent="0.2">
      <c r="A35" s="724">
        <v>27</v>
      </c>
      <c r="B35" s="429" t="s">
        <v>68</v>
      </c>
      <c r="C35" s="3" t="s">
        <v>69</v>
      </c>
      <c r="D35" s="410">
        <v>3580</v>
      </c>
      <c r="E35" s="410">
        <v>1837</v>
      </c>
      <c r="F35" s="410">
        <v>709</v>
      </c>
      <c r="G35" s="410">
        <v>143</v>
      </c>
      <c r="H35" s="410">
        <v>93</v>
      </c>
      <c r="I35" s="410">
        <v>50</v>
      </c>
      <c r="J35" s="410">
        <v>38</v>
      </c>
      <c r="K35" s="736"/>
      <c r="L35" s="737"/>
    </row>
    <row r="36" spans="1:12" x14ac:dyDescent="0.2">
      <c r="A36" s="724">
        <v>28</v>
      </c>
      <c r="B36" s="429" t="s">
        <v>70</v>
      </c>
      <c r="C36" s="3" t="s">
        <v>71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736"/>
      <c r="L36" s="737"/>
    </row>
    <row r="37" spans="1:12" x14ac:dyDescent="0.2">
      <c r="A37" s="724">
        <v>29</v>
      </c>
      <c r="B37" s="428" t="s">
        <v>72</v>
      </c>
      <c r="C37" s="223" t="s">
        <v>73</v>
      </c>
      <c r="D37" s="410">
        <v>0</v>
      </c>
      <c r="E37" s="410">
        <v>0</v>
      </c>
      <c r="F37" s="410">
        <v>0</v>
      </c>
      <c r="G37" s="410">
        <v>0</v>
      </c>
      <c r="H37" s="410">
        <v>0</v>
      </c>
      <c r="I37" s="410">
        <v>0</v>
      </c>
      <c r="J37" s="410">
        <v>0</v>
      </c>
      <c r="K37" s="736"/>
      <c r="L37" s="737"/>
    </row>
    <row r="38" spans="1:12" x14ac:dyDescent="0.2">
      <c r="A38" s="724">
        <v>30</v>
      </c>
      <c r="B38" s="427" t="s">
        <v>74</v>
      </c>
      <c r="C38" s="25" t="s">
        <v>357</v>
      </c>
      <c r="D38" s="410">
        <v>0</v>
      </c>
      <c r="E38" s="410">
        <v>0</v>
      </c>
      <c r="F38" s="410">
        <v>0</v>
      </c>
      <c r="G38" s="410">
        <v>0</v>
      </c>
      <c r="H38" s="410">
        <v>0</v>
      </c>
      <c r="I38" s="410">
        <v>0</v>
      </c>
      <c r="J38" s="410">
        <v>0</v>
      </c>
      <c r="K38" s="736"/>
      <c r="L38" s="737"/>
    </row>
    <row r="39" spans="1:12" x14ac:dyDescent="0.2">
      <c r="A39" s="724">
        <v>31</v>
      </c>
      <c r="B39" s="429" t="s">
        <v>75</v>
      </c>
      <c r="C39" s="3" t="s">
        <v>76</v>
      </c>
      <c r="D39" s="410">
        <v>1046</v>
      </c>
      <c r="E39" s="410">
        <v>244</v>
      </c>
      <c r="F39" s="410">
        <v>244</v>
      </c>
      <c r="G39" s="410">
        <v>74</v>
      </c>
      <c r="H39" s="410">
        <v>25</v>
      </c>
      <c r="I39" s="410">
        <v>24</v>
      </c>
      <c r="J39" s="410">
        <v>25</v>
      </c>
      <c r="K39" s="736"/>
      <c r="L39" s="737"/>
    </row>
    <row r="40" spans="1:12" x14ac:dyDescent="0.2">
      <c r="A40" s="724">
        <v>32</v>
      </c>
      <c r="B40" s="428" t="s">
        <v>77</v>
      </c>
      <c r="C40" s="25" t="s">
        <v>78</v>
      </c>
      <c r="D40" s="410">
        <v>6434</v>
      </c>
      <c r="E40" s="410">
        <v>1122</v>
      </c>
      <c r="F40" s="410">
        <v>1122</v>
      </c>
      <c r="G40" s="410">
        <v>336</v>
      </c>
      <c r="H40" s="410">
        <v>112</v>
      </c>
      <c r="I40" s="410">
        <v>112</v>
      </c>
      <c r="J40" s="410">
        <v>112</v>
      </c>
      <c r="K40" s="736"/>
      <c r="L40" s="737"/>
    </row>
    <row r="41" spans="1:12" x14ac:dyDescent="0.2">
      <c r="A41" s="724">
        <v>33</v>
      </c>
      <c r="B41" s="430" t="s">
        <v>79</v>
      </c>
      <c r="C41" s="223" t="s">
        <v>80</v>
      </c>
      <c r="D41" s="410">
        <v>13810</v>
      </c>
      <c r="E41" s="410">
        <v>991</v>
      </c>
      <c r="F41" s="410">
        <v>991</v>
      </c>
      <c r="G41" s="410">
        <v>297</v>
      </c>
      <c r="H41" s="410">
        <v>99</v>
      </c>
      <c r="I41" s="410">
        <v>99</v>
      </c>
      <c r="J41" s="410">
        <v>99</v>
      </c>
      <c r="K41" s="736"/>
      <c r="L41" s="737"/>
    </row>
    <row r="42" spans="1:12" x14ac:dyDescent="0.2">
      <c r="A42" s="724">
        <v>34</v>
      </c>
      <c r="B42" s="428" t="s">
        <v>81</v>
      </c>
      <c r="C42" s="25" t="s">
        <v>82</v>
      </c>
      <c r="D42" s="410">
        <v>2397</v>
      </c>
      <c r="E42" s="410">
        <v>613</v>
      </c>
      <c r="F42" s="410">
        <v>613</v>
      </c>
      <c r="G42" s="410">
        <v>183</v>
      </c>
      <c r="H42" s="410">
        <v>61</v>
      </c>
      <c r="I42" s="410">
        <v>61</v>
      </c>
      <c r="J42" s="410">
        <v>61</v>
      </c>
      <c r="K42" s="736"/>
      <c r="L42" s="737"/>
    </row>
    <row r="43" spans="1:12" x14ac:dyDescent="0.2">
      <c r="A43" s="724">
        <v>35</v>
      </c>
      <c r="B43" s="429" t="s">
        <v>83</v>
      </c>
      <c r="C43" s="3" t="s">
        <v>84</v>
      </c>
      <c r="D43" s="410">
        <v>5724</v>
      </c>
      <c r="E43" s="410">
        <v>1057</v>
      </c>
      <c r="F43" s="410">
        <v>1057</v>
      </c>
      <c r="G43" s="410">
        <v>318</v>
      </c>
      <c r="H43" s="410">
        <v>106</v>
      </c>
      <c r="I43" s="410">
        <v>106</v>
      </c>
      <c r="J43" s="410">
        <v>106</v>
      </c>
      <c r="K43" s="736"/>
      <c r="L43" s="737"/>
    </row>
    <row r="44" spans="1:12" x14ac:dyDescent="0.2">
      <c r="A44" s="724">
        <v>36</v>
      </c>
      <c r="B44" s="428" t="s">
        <v>85</v>
      </c>
      <c r="C44" s="25" t="s">
        <v>86</v>
      </c>
      <c r="D44" s="410">
        <v>2206</v>
      </c>
      <c r="E44" s="410">
        <v>1600</v>
      </c>
      <c r="F44" s="410">
        <v>1600</v>
      </c>
      <c r="G44" s="410">
        <v>480</v>
      </c>
      <c r="H44" s="410">
        <v>160</v>
      </c>
      <c r="I44" s="410">
        <v>160</v>
      </c>
      <c r="J44" s="410">
        <v>160</v>
      </c>
      <c r="K44" s="736"/>
      <c r="L44" s="737"/>
    </row>
    <row r="45" spans="1:12" x14ac:dyDescent="0.2">
      <c r="A45" s="724">
        <v>37</v>
      </c>
      <c r="B45" s="427" t="s">
        <v>87</v>
      </c>
      <c r="C45" s="25" t="s">
        <v>88</v>
      </c>
      <c r="D45" s="410">
        <v>6475</v>
      </c>
      <c r="E45" s="410">
        <v>1073</v>
      </c>
      <c r="F45" s="410">
        <v>1073</v>
      </c>
      <c r="G45" s="410">
        <v>321</v>
      </c>
      <c r="H45" s="410">
        <v>107</v>
      </c>
      <c r="I45" s="410">
        <v>107</v>
      </c>
      <c r="J45" s="410">
        <v>107</v>
      </c>
      <c r="K45" s="736"/>
      <c r="L45" s="737"/>
    </row>
    <row r="46" spans="1:12" x14ac:dyDescent="0.2">
      <c r="A46" s="724">
        <v>38</v>
      </c>
      <c r="B46" s="431" t="s">
        <v>89</v>
      </c>
      <c r="C46" s="432" t="s">
        <v>90</v>
      </c>
      <c r="D46" s="410">
        <v>1898</v>
      </c>
      <c r="E46" s="410">
        <v>309</v>
      </c>
      <c r="F46" s="410">
        <v>309</v>
      </c>
      <c r="G46" s="410">
        <v>93</v>
      </c>
      <c r="H46" s="410">
        <v>31</v>
      </c>
      <c r="I46" s="410">
        <v>31</v>
      </c>
      <c r="J46" s="410">
        <v>31</v>
      </c>
      <c r="K46" s="736"/>
      <c r="L46" s="737"/>
    </row>
    <row r="47" spans="1:12" x14ac:dyDescent="0.2">
      <c r="A47" s="724">
        <v>39</v>
      </c>
      <c r="B47" s="427" t="s">
        <v>91</v>
      </c>
      <c r="C47" s="25" t="s">
        <v>92</v>
      </c>
      <c r="D47" s="410">
        <v>1102</v>
      </c>
      <c r="E47" s="410">
        <v>467</v>
      </c>
      <c r="F47" s="410">
        <v>467</v>
      </c>
      <c r="G47" s="410">
        <v>141</v>
      </c>
      <c r="H47" s="410">
        <v>47</v>
      </c>
      <c r="I47" s="410">
        <v>47</v>
      </c>
      <c r="J47" s="410">
        <v>47</v>
      </c>
      <c r="K47" s="736"/>
      <c r="L47" s="737"/>
    </row>
    <row r="48" spans="1:12" x14ac:dyDescent="0.2">
      <c r="A48" s="724">
        <v>40</v>
      </c>
      <c r="B48" s="430" t="s">
        <v>93</v>
      </c>
      <c r="C48" s="223" t="s">
        <v>94</v>
      </c>
      <c r="D48" s="410">
        <v>1954</v>
      </c>
      <c r="E48" s="410">
        <v>675</v>
      </c>
      <c r="F48" s="410">
        <v>675</v>
      </c>
      <c r="G48" s="410">
        <v>204</v>
      </c>
      <c r="H48" s="410">
        <v>68</v>
      </c>
      <c r="I48" s="410">
        <v>68</v>
      </c>
      <c r="J48" s="410">
        <v>68</v>
      </c>
      <c r="K48" s="736"/>
      <c r="L48" s="737"/>
    </row>
    <row r="49" spans="1:12" x14ac:dyDescent="0.2">
      <c r="A49" s="724">
        <v>41</v>
      </c>
      <c r="B49" s="429" t="s">
        <v>95</v>
      </c>
      <c r="C49" s="3" t="s">
        <v>96</v>
      </c>
      <c r="D49" s="410">
        <v>1237</v>
      </c>
      <c r="E49" s="410">
        <v>267</v>
      </c>
      <c r="F49" s="410">
        <v>267</v>
      </c>
      <c r="G49" s="410">
        <v>81</v>
      </c>
      <c r="H49" s="410">
        <v>27</v>
      </c>
      <c r="I49" s="410">
        <v>27</v>
      </c>
      <c r="J49" s="410">
        <v>27</v>
      </c>
      <c r="K49" s="736"/>
      <c r="L49" s="737"/>
    </row>
    <row r="50" spans="1:12" x14ac:dyDescent="0.2">
      <c r="A50" s="724">
        <v>42</v>
      </c>
      <c r="B50" s="428" t="s">
        <v>97</v>
      </c>
      <c r="C50" s="25" t="s">
        <v>98</v>
      </c>
      <c r="D50" s="410">
        <v>3959</v>
      </c>
      <c r="E50" s="410">
        <v>2061</v>
      </c>
      <c r="F50" s="410">
        <v>2061</v>
      </c>
      <c r="G50" s="410">
        <v>618</v>
      </c>
      <c r="H50" s="410">
        <v>206</v>
      </c>
      <c r="I50" s="410">
        <v>206</v>
      </c>
      <c r="J50" s="410">
        <v>206</v>
      </c>
      <c r="K50" s="736"/>
      <c r="L50" s="737"/>
    </row>
    <row r="51" spans="1:12" x14ac:dyDescent="0.2">
      <c r="A51" s="724">
        <v>43</v>
      </c>
      <c r="B51" s="429" t="s">
        <v>99</v>
      </c>
      <c r="C51" s="3" t="s">
        <v>100</v>
      </c>
      <c r="D51" s="410">
        <v>9280</v>
      </c>
      <c r="E51" s="410">
        <v>2500</v>
      </c>
      <c r="F51" s="410">
        <v>2500</v>
      </c>
      <c r="G51" s="410">
        <v>750</v>
      </c>
      <c r="H51" s="410">
        <v>250</v>
      </c>
      <c r="I51" s="410">
        <v>250</v>
      </c>
      <c r="J51" s="410">
        <v>250</v>
      </c>
      <c r="K51" s="736"/>
      <c r="L51" s="737"/>
    </row>
    <row r="52" spans="1:12" x14ac:dyDescent="0.2">
      <c r="A52" s="724">
        <v>44</v>
      </c>
      <c r="B52" s="427" t="s">
        <v>101</v>
      </c>
      <c r="C52" s="25" t="s">
        <v>102</v>
      </c>
      <c r="D52" s="410">
        <v>2035</v>
      </c>
      <c r="E52" s="410">
        <v>539</v>
      </c>
      <c r="F52" s="410">
        <v>539</v>
      </c>
      <c r="G52" s="410">
        <v>162</v>
      </c>
      <c r="H52" s="410">
        <v>54</v>
      </c>
      <c r="I52" s="410">
        <v>54</v>
      </c>
      <c r="J52" s="410">
        <v>54</v>
      </c>
      <c r="K52" s="736"/>
      <c r="L52" s="737"/>
    </row>
    <row r="53" spans="1:12" x14ac:dyDescent="0.2">
      <c r="A53" s="724">
        <v>45</v>
      </c>
      <c r="B53" s="427" t="s">
        <v>103</v>
      </c>
      <c r="C53" s="25" t="s">
        <v>104</v>
      </c>
      <c r="D53" s="410">
        <v>10946</v>
      </c>
      <c r="E53" s="410">
        <v>2744</v>
      </c>
      <c r="F53" s="410">
        <v>2744</v>
      </c>
      <c r="G53" s="410">
        <v>822</v>
      </c>
      <c r="H53" s="410">
        <v>274</v>
      </c>
      <c r="I53" s="410">
        <v>274</v>
      </c>
      <c r="J53" s="410">
        <v>274</v>
      </c>
      <c r="K53" s="736"/>
      <c r="L53" s="737"/>
    </row>
    <row r="54" spans="1:12" x14ac:dyDescent="0.2">
      <c r="A54" s="724">
        <v>46</v>
      </c>
      <c r="B54" s="429" t="s">
        <v>105</v>
      </c>
      <c r="C54" s="3" t="s">
        <v>106</v>
      </c>
      <c r="D54" s="410">
        <v>1573</v>
      </c>
      <c r="E54" s="410">
        <v>722</v>
      </c>
      <c r="F54" s="410">
        <v>722</v>
      </c>
      <c r="G54" s="410">
        <v>216</v>
      </c>
      <c r="H54" s="410">
        <v>72</v>
      </c>
      <c r="I54" s="410">
        <v>72</v>
      </c>
      <c r="J54" s="410">
        <v>72</v>
      </c>
      <c r="K54" s="736"/>
      <c r="L54" s="737"/>
    </row>
    <row r="55" spans="1:12" x14ac:dyDescent="0.2">
      <c r="A55" s="724">
        <v>47</v>
      </c>
      <c r="B55" s="429" t="s">
        <v>107</v>
      </c>
      <c r="C55" s="3" t="s">
        <v>108</v>
      </c>
      <c r="D55" s="410">
        <v>2447</v>
      </c>
      <c r="E55" s="410">
        <v>1580</v>
      </c>
      <c r="F55" s="410">
        <v>1580</v>
      </c>
      <c r="G55" s="410">
        <v>474</v>
      </c>
      <c r="H55" s="410">
        <v>158</v>
      </c>
      <c r="I55" s="410">
        <v>158</v>
      </c>
      <c r="J55" s="410">
        <v>158</v>
      </c>
      <c r="K55" s="736"/>
      <c r="L55" s="737"/>
    </row>
    <row r="56" spans="1:12" x14ac:dyDescent="0.2">
      <c r="A56" s="724">
        <v>48</v>
      </c>
      <c r="B56" s="428" t="s">
        <v>109</v>
      </c>
      <c r="C56" s="25" t="s">
        <v>110</v>
      </c>
      <c r="D56" s="410">
        <v>2756</v>
      </c>
      <c r="E56" s="410">
        <v>1133</v>
      </c>
      <c r="F56" s="410">
        <v>1133</v>
      </c>
      <c r="G56" s="410">
        <v>339</v>
      </c>
      <c r="H56" s="410">
        <v>113</v>
      </c>
      <c r="I56" s="410">
        <v>113</v>
      </c>
      <c r="J56" s="410">
        <v>113</v>
      </c>
      <c r="K56" s="736"/>
      <c r="L56" s="737"/>
    </row>
    <row r="57" spans="1:12" x14ac:dyDescent="0.2">
      <c r="A57" s="724">
        <v>49</v>
      </c>
      <c r="B57" s="429" t="s">
        <v>111</v>
      </c>
      <c r="C57" s="3" t="s">
        <v>112</v>
      </c>
      <c r="D57" s="410">
        <v>1170</v>
      </c>
      <c r="E57" s="410">
        <v>540</v>
      </c>
      <c r="F57" s="410">
        <v>540</v>
      </c>
      <c r="G57" s="410">
        <v>162</v>
      </c>
      <c r="H57" s="410">
        <v>54</v>
      </c>
      <c r="I57" s="410">
        <v>54</v>
      </c>
      <c r="J57" s="410">
        <v>54</v>
      </c>
      <c r="K57" s="736"/>
      <c r="L57" s="737"/>
    </row>
    <row r="58" spans="1:12" x14ac:dyDescent="0.2">
      <c r="A58" s="724">
        <v>50</v>
      </c>
      <c r="B58" s="428" t="s">
        <v>113</v>
      </c>
      <c r="C58" s="25" t="s">
        <v>114</v>
      </c>
      <c r="D58" s="410">
        <v>1388</v>
      </c>
      <c r="E58" s="410">
        <v>1024</v>
      </c>
      <c r="F58" s="410">
        <v>1024</v>
      </c>
      <c r="G58" s="410">
        <v>306</v>
      </c>
      <c r="H58" s="410">
        <v>102</v>
      </c>
      <c r="I58" s="410">
        <v>102</v>
      </c>
      <c r="J58" s="410">
        <v>102</v>
      </c>
      <c r="K58" s="736"/>
      <c r="L58" s="737"/>
    </row>
    <row r="59" spans="1:12" x14ac:dyDescent="0.2">
      <c r="A59" s="724">
        <v>51</v>
      </c>
      <c r="B59" s="429" t="s">
        <v>115</v>
      </c>
      <c r="C59" s="3" t="s">
        <v>116</v>
      </c>
      <c r="D59" s="410">
        <v>2426</v>
      </c>
      <c r="E59" s="410">
        <v>1931</v>
      </c>
      <c r="F59" s="410">
        <v>1931</v>
      </c>
      <c r="G59" s="410">
        <v>579</v>
      </c>
      <c r="H59" s="410">
        <v>193</v>
      </c>
      <c r="I59" s="410">
        <v>193</v>
      </c>
      <c r="J59" s="410">
        <v>193</v>
      </c>
      <c r="K59" s="736"/>
      <c r="L59" s="737"/>
    </row>
    <row r="60" spans="1:12" x14ac:dyDescent="0.2">
      <c r="A60" s="724">
        <v>52</v>
      </c>
      <c r="B60" s="429" t="s">
        <v>117</v>
      </c>
      <c r="C60" s="3" t="s">
        <v>118</v>
      </c>
      <c r="D60" s="410">
        <v>12247</v>
      </c>
      <c r="E60" s="410">
        <v>1430</v>
      </c>
      <c r="F60" s="410">
        <v>1430</v>
      </c>
      <c r="G60" s="410">
        <v>429</v>
      </c>
      <c r="H60" s="410">
        <v>143</v>
      </c>
      <c r="I60" s="410">
        <v>143</v>
      </c>
      <c r="J60" s="410">
        <v>143</v>
      </c>
      <c r="K60" s="736"/>
      <c r="L60" s="737"/>
    </row>
    <row r="61" spans="1:12" x14ac:dyDescent="0.2">
      <c r="A61" s="724">
        <v>53</v>
      </c>
      <c r="B61" s="429" t="s">
        <v>119</v>
      </c>
      <c r="C61" s="3" t="s">
        <v>120</v>
      </c>
      <c r="D61" s="410">
        <v>1810</v>
      </c>
      <c r="E61" s="410">
        <v>388</v>
      </c>
      <c r="F61" s="410">
        <v>388</v>
      </c>
      <c r="G61" s="410">
        <v>117</v>
      </c>
      <c r="H61" s="410">
        <v>39</v>
      </c>
      <c r="I61" s="410">
        <v>39</v>
      </c>
      <c r="J61" s="410">
        <v>39</v>
      </c>
      <c r="K61" s="736"/>
      <c r="L61" s="737"/>
    </row>
    <row r="62" spans="1:12" x14ac:dyDescent="0.2">
      <c r="A62" s="724">
        <v>54</v>
      </c>
      <c r="B62" s="429" t="s">
        <v>121</v>
      </c>
      <c r="C62" s="3" t="s">
        <v>122</v>
      </c>
      <c r="D62" s="410">
        <v>0</v>
      </c>
      <c r="E62" s="410">
        <v>0</v>
      </c>
      <c r="F62" s="410">
        <v>0</v>
      </c>
      <c r="G62" s="410">
        <v>0</v>
      </c>
      <c r="H62" s="410">
        <v>0</v>
      </c>
      <c r="I62" s="410">
        <v>0</v>
      </c>
      <c r="J62" s="410">
        <v>0</v>
      </c>
      <c r="K62" s="736"/>
      <c r="L62" s="737"/>
    </row>
    <row r="63" spans="1:12" x14ac:dyDescent="0.2">
      <c r="A63" s="724">
        <v>55</v>
      </c>
      <c r="B63" s="429" t="s">
        <v>123</v>
      </c>
      <c r="C63" s="3" t="s">
        <v>124</v>
      </c>
      <c r="D63" s="410">
        <v>0</v>
      </c>
      <c r="E63" s="410">
        <v>0</v>
      </c>
      <c r="F63" s="410">
        <v>0</v>
      </c>
      <c r="G63" s="410">
        <v>0</v>
      </c>
      <c r="H63" s="410">
        <v>0</v>
      </c>
      <c r="I63" s="410">
        <v>0</v>
      </c>
      <c r="J63" s="410">
        <v>0</v>
      </c>
      <c r="K63" s="736"/>
      <c r="L63" s="737"/>
    </row>
    <row r="64" spans="1:12" x14ac:dyDescent="0.2">
      <c r="A64" s="724">
        <v>56</v>
      </c>
      <c r="B64" s="433" t="s">
        <v>125</v>
      </c>
      <c r="C64" s="1" t="s">
        <v>126</v>
      </c>
      <c r="D64" s="410">
        <v>0</v>
      </c>
      <c r="E64" s="410">
        <v>0</v>
      </c>
      <c r="F64" s="410">
        <v>0</v>
      </c>
      <c r="G64" s="410">
        <v>0</v>
      </c>
      <c r="H64" s="410">
        <v>0</v>
      </c>
      <c r="I64" s="410">
        <v>0</v>
      </c>
      <c r="J64" s="410">
        <v>0</v>
      </c>
      <c r="K64" s="736"/>
      <c r="L64" s="737"/>
    </row>
    <row r="65" spans="1:12" x14ac:dyDescent="0.2">
      <c r="A65" s="724">
        <v>57</v>
      </c>
      <c r="B65" s="429" t="s">
        <v>127</v>
      </c>
      <c r="C65" s="3" t="s">
        <v>128</v>
      </c>
      <c r="D65" s="410">
        <v>0</v>
      </c>
      <c r="E65" s="410">
        <v>0</v>
      </c>
      <c r="F65" s="410">
        <v>0</v>
      </c>
      <c r="G65" s="410">
        <v>0</v>
      </c>
      <c r="H65" s="410">
        <v>0</v>
      </c>
      <c r="I65" s="410">
        <v>0</v>
      </c>
      <c r="J65" s="410">
        <v>0</v>
      </c>
      <c r="K65" s="736"/>
      <c r="L65" s="737"/>
    </row>
    <row r="66" spans="1:12" x14ac:dyDescent="0.2">
      <c r="A66" s="724">
        <v>58</v>
      </c>
      <c r="B66" s="428" t="s">
        <v>129</v>
      </c>
      <c r="C66" s="3" t="s">
        <v>309</v>
      </c>
      <c r="D66" s="410">
        <v>0</v>
      </c>
      <c r="E66" s="410">
        <v>0</v>
      </c>
      <c r="F66" s="410">
        <v>0</v>
      </c>
      <c r="G66" s="410">
        <v>0</v>
      </c>
      <c r="H66" s="410">
        <v>0</v>
      </c>
      <c r="I66" s="410">
        <v>0</v>
      </c>
      <c r="J66" s="410">
        <v>0</v>
      </c>
      <c r="K66" s="736"/>
      <c r="L66" s="737"/>
    </row>
    <row r="67" spans="1:12" x14ac:dyDescent="0.2">
      <c r="A67" s="724">
        <v>59</v>
      </c>
      <c r="B67" s="430" t="s">
        <v>131</v>
      </c>
      <c r="C67" s="223" t="s">
        <v>132</v>
      </c>
      <c r="D67" s="410">
        <v>0</v>
      </c>
      <c r="E67" s="410">
        <v>0</v>
      </c>
      <c r="F67" s="410">
        <v>0</v>
      </c>
      <c r="G67" s="410">
        <v>0</v>
      </c>
      <c r="H67" s="410">
        <v>0</v>
      </c>
      <c r="I67" s="410">
        <v>0</v>
      </c>
      <c r="J67" s="410">
        <v>0</v>
      </c>
      <c r="K67" s="736"/>
      <c r="L67" s="737"/>
    </row>
    <row r="68" spans="1:12" x14ac:dyDescent="0.2">
      <c r="A68" s="724">
        <v>60</v>
      </c>
      <c r="B68" s="428" t="s">
        <v>133</v>
      </c>
      <c r="C68" s="3" t="s">
        <v>310</v>
      </c>
      <c r="D68" s="410">
        <v>0</v>
      </c>
      <c r="E68" s="410">
        <v>0</v>
      </c>
      <c r="F68" s="410">
        <v>0</v>
      </c>
      <c r="G68" s="410">
        <v>0</v>
      </c>
      <c r="H68" s="410">
        <v>0</v>
      </c>
      <c r="I68" s="410">
        <v>0</v>
      </c>
      <c r="J68" s="410">
        <v>0</v>
      </c>
      <c r="K68" s="736"/>
      <c r="L68" s="737"/>
    </row>
    <row r="69" spans="1:12" ht="25.5" x14ac:dyDescent="0.2">
      <c r="A69" s="724">
        <v>61</v>
      </c>
      <c r="B69" s="429" t="s">
        <v>135</v>
      </c>
      <c r="C69" s="3" t="s">
        <v>136</v>
      </c>
      <c r="D69" s="410">
        <v>0</v>
      </c>
      <c r="E69" s="410">
        <v>0</v>
      </c>
      <c r="F69" s="410">
        <v>0</v>
      </c>
      <c r="G69" s="410">
        <v>0</v>
      </c>
      <c r="H69" s="410">
        <v>0</v>
      </c>
      <c r="I69" s="410">
        <v>0</v>
      </c>
      <c r="J69" s="410">
        <v>0</v>
      </c>
      <c r="K69" s="736"/>
      <c r="L69" s="737"/>
    </row>
    <row r="70" spans="1:12" ht="25.5" x14ac:dyDescent="0.2">
      <c r="A70" s="724">
        <v>62</v>
      </c>
      <c r="B70" s="427" t="s">
        <v>137</v>
      </c>
      <c r="C70" s="3" t="s">
        <v>311</v>
      </c>
      <c r="D70" s="410">
        <v>0</v>
      </c>
      <c r="E70" s="410">
        <v>0</v>
      </c>
      <c r="F70" s="410">
        <v>0</v>
      </c>
      <c r="G70" s="410">
        <v>0</v>
      </c>
      <c r="H70" s="410">
        <v>0</v>
      </c>
      <c r="I70" s="410">
        <v>0</v>
      </c>
      <c r="J70" s="410">
        <v>0</v>
      </c>
      <c r="K70" s="736"/>
      <c r="L70" s="737"/>
    </row>
    <row r="71" spans="1:12" ht="25.5" x14ac:dyDescent="0.2">
      <c r="A71" s="724">
        <v>63</v>
      </c>
      <c r="B71" s="427" t="s">
        <v>139</v>
      </c>
      <c r="C71" s="3" t="s">
        <v>312</v>
      </c>
      <c r="D71" s="410">
        <v>0</v>
      </c>
      <c r="E71" s="410">
        <v>0</v>
      </c>
      <c r="F71" s="410">
        <v>0</v>
      </c>
      <c r="G71" s="410">
        <v>0</v>
      </c>
      <c r="H71" s="410">
        <v>0</v>
      </c>
      <c r="I71" s="410">
        <v>0</v>
      </c>
      <c r="J71" s="410">
        <v>0</v>
      </c>
      <c r="K71" s="736"/>
      <c r="L71" s="737"/>
    </row>
    <row r="72" spans="1:12" x14ac:dyDescent="0.2">
      <c r="A72" s="724">
        <v>64</v>
      </c>
      <c r="B72" s="428" t="s">
        <v>141</v>
      </c>
      <c r="C72" s="3" t="s">
        <v>313</v>
      </c>
      <c r="D72" s="410">
        <v>11273</v>
      </c>
      <c r="E72" s="410">
        <v>3331</v>
      </c>
      <c r="F72" s="410">
        <v>3331</v>
      </c>
      <c r="G72" s="410">
        <v>999</v>
      </c>
      <c r="H72" s="410">
        <v>333</v>
      </c>
      <c r="I72" s="410">
        <v>333</v>
      </c>
      <c r="J72" s="410">
        <v>333</v>
      </c>
      <c r="K72" s="736"/>
      <c r="L72" s="737"/>
    </row>
    <row r="73" spans="1:12" x14ac:dyDescent="0.2">
      <c r="A73" s="724">
        <v>65</v>
      </c>
      <c r="B73" s="428" t="s">
        <v>143</v>
      </c>
      <c r="C73" s="25" t="s">
        <v>144</v>
      </c>
      <c r="D73" s="410">
        <v>10686</v>
      </c>
      <c r="E73" s="410">
        <v>2961</v>
      </c>
      <c r="F73" s="410">
        <v>2961</v>
      </c>
      <c r="G73" s="410">
        <v>888</v>
      </c>
      <c r="H73" s="410">
        <v>296</v>
      </c>
      <c r="I73" s="410">
        <v>296</v>
      </c>
      <c r="J73" s="410">
        <v>296</v>
      </c>
      <c r="K73" s="736"/>
      <c r="L73" s="737"/>
    </row>
    <row r="74" spans="1:12" x14ac:dyDescent="0.2">
      <c r="A74" s="724">
        <v>66</v>
      </c>
      <c r="B74" s="428" t="s">
        <v>145</v>
      </c>
      <c r="C74" s="3" t="s">
        <v>314</v>
      </c>
      <c r="D74" s="410">
        <v>12002</v>
      </c>
      <c r="E74" s="410">
        <v>4508</v>
      </c>
      <c r="F74" s="410">
        <v>4508</v>
      </c>
      <c r="G74" s="410">
        <v>1353</v>
      </c>
      <c r="H74" s="410">
        <v>451</v>
      </c>
      <c r="I74" s="410">
        <v>451</v>
      </c>
      <c r="J74" s="410">
        <v>451</v>
      </c>
      <c r="K74" s="736"/>
      <c r="L74" s="737"/>
    </row>
    <row r="75" spans="1:12" ht="25.5" x14ac:dyDescent="0.2">
      <c r="A75" s="724">
        <v>67</v>
      </c>
      <c r="B75" s="428" t="s">
        <v>147</v>
      </c>
      <c r="C75" s="3" t="s">
        <v>315</v>
      </c>
      <c r="D75" s="410">
        <v>0</v>
      </c>
      <c r="E75" s="410">
        <v>0</v>
      </c>
      <c r="F75" s="410">
        <v>0</v>
      </c>
      <c r="G75" s="410">
        <v>0</v>
      </c>
      <c r="H75" s="410">
        <v>0</v>
      </c>
      <c r="I75" s="410">
        <v>0</v>
      </c>
      <c r="J75" s="410">
        <v>0</v>
      </c>
      <c r="K75" s="736"/>
      <c r="L75" s="737"/>
    </row>
    <row r="76" spans="1:12" ht="25.5" x14ac:dyDescent="0.2">
      <c r="A76" s="724">
        <v>68</v>
      </c>
      <c r="B76" s="427" t="s">
        <v>149</v>
      </c>
      <c r="C76" s="3" t="s">
        <v>316</v>
      </c>
      <c r="D76" s="410">
        <v>0</v>
      </c>
      <c r="E76" s="410">
        <v>0</v>
      </c>
      <c r="F76" s="410">
        <v>0</v>
      </c>
      <c r="G76" s="410">
        <v>0</v>
      </c>
      <c r="H76" s="410">
        <v>0</v>
      </c>
      <c r="I76" s="410">
        <v>0</v>
      </c>
      <c r="J76" s="410">
        <v>0</v>
      </c>
      <c r="K76" s="736"/>
      <c r="L76" s="737"/>
    </row>
    <row r="77" spans="1:12" ht="25.5" x14ac:dyDescent="0.2">
      <c r="A77" s="724">
        <v>69</v>
      </c>
      <c r="B77" s="428" t="s">
        <v>151</v>
      </c>
      <c r="C77" s="3" t="s">
        <v>317</v>
      </c>
      <c r="D77" s="410">
        <v>0</v>
      </c>
      <c r="E77" s="410">
        <v>0</v>
      </c>
      <c r="F77" s="410">
        <v>0</v>
      </c>
      <c r="G77" s="410">
        <v>0</v>
      </c>
      <c r="H77" s="410">
        <v>0</v>
      </c>
      <c r="I77" s="410">
        <v>0</v>
      </c>
      <c r="J77" s="410">
        <v>0</v>
      </c>
      <c r="K77" s="736"/>
      <c r="L77" s="737"/>
    </row>
    <row r="78" spans="1:12" ht="25.5" x14ac:dyDescent="0.2">
      <c r="A78" s="724">
        <v>70</v>
      </c>
      <c r="B78" s="428" t="s">
        <v>153</v>
      </c>
      <c r="C78" s="3" t="s">
        <v>318</v>
      </c>
      <c r="D78" s="410">
        <v>0</v>
      </c>
      <c r="E78" s="410">
        <v>0</v>
      </c>
      <c r="F78" s="410">
        <v>0</v>
      </c>
      <c r="G78" s="410">
        <v>0</v>
      </c>
      <c r="H78" s="410">
        <v>0</v>
      </c>
      <c r="I78" s="410">
        <v>0</v>
      </c>
      <c r="J78" s="410">
        <v>0</v>
      </c>
      <c r="K78" s="736"/>
      <c r="L78" s="737"/>
    </row>
    <row r="79" spans="1:12" ht="25.5" x14ac:dyDescent="0.2">
      <c r="A79" s="724">
        <v>71</v>
      </c>
      <c r="B79" s="427" t="s">
        <v>155</v>
      </c>
      <c r="C79" s="3" t="s">
        <v>319</v>
      </c>
      <c r="D79" s="410">
        <v>0</v>
      </c>
      <c r="E79" s="410">
        <v>0</v>
      </c>
      <c r="F79" s="410">
        <v>0</v>
      </c>
      <c r="G79" s="410">
        <v>0</v>
      </c>
      <c r="H79" s="410">
        <v>0</v>
      </c>
      <c r="I79" s="410">
        <v>0</v>
      </c>
      <c r="J79" s="410">
        <v>0</v>
      </c>
      <c r="K79" s="736"/>
      <c r="L79" s="737"/>
    </row>
    <row r="80" spans="1:12" ht="25.5" x14ac:dyDescent="0.2">
      <c r="A80" s="724">
        <v>72</v>
      </c>
      <c r="B80" s="427" t="s">
        <v>157</v>
      </c>
      <c r="C80" s="3" t="s">
        <v>320</v>
      </c>
      <c r="D80" s="410">
        <v>0</v>
      </c>
      <c r="E80" s="410">
        <v>0</v>
      </c>
      <c r="F80" s="410">
        <v>0</v>
      </c>
      <c r="G80" s="410">
        <v>0</v>
      </c>
      <c r="H80" s="410">
        <v>0</v>
      </c>
      <c r="I80" s="410">
        <v>0</v>
      </c>
      <c r="J80" s="410">
        <v>0</v>
      </c>
      <c r="K80" s="736"/>
      <c r="L80" s="737"/>
    </row>
    <row r="81" spans="1:12" ht="25.5" x14ac:dyDescent="0.2">
      <c r="A81" s="724">
        <v>73</v>
      </c>
      <c r="B81" s="427" t="s">
        <v>159</v>
      </c>
      <c r="C81" s="3" t="s">
        <v>321</v>
      </c>
      <c r="D81" s="410">
        <v>0</v>
      </c>
      <c r="E81" s="410">
        <v>0</v>
      </c>
      <c r="F81" s="410">
        <v>0</v>
      </c>
      <c r="G81" s="410">
        <v>0</v>
      </c>
      <c r="H81" s="410">
        <v>0</v>
      </c>
      <c r="I81" s="410">
        <v>0</v>
      </c>
      <c r="J81" s="410">
        <v>0</v>
      </c>
      <c r="K81" s="736"/>
      <c r="L81" s="737"/>
    </row>
    <row r="82" spans="1:12" x14ac:dyDescent="0.2">
      <c r="A82" s="724">
        <v>74</v>
      </c>
      <c r="B82" s="429" t="s">
        <v>161</v>
      </c>
      <c r="C82" s="3" t="s">
        <v>162</v>
      </c>
      <c r="D82" s="410">
        <v>7739</v>
      </c>
      <c r="E82" s="410">
        <v>2742</v>
      </c>
      <c r="F82" s="410">
        <v>2742</v>
      </c>
      <c r="G82" s="410">
        <v>822</v>
      </c>
      <c r="H82" s="410">
        <v>274</v>
      </c>
      <c r="I82" s="410">
        <v>274</v>
      </c>
      <c r="J82" s="410">
        <v>274</v>
      </c>
      <c r="K82" s="736"/>
      <c r="L82" s="737"/>
    </row>
    <row r="83" spans="1:12" x14ac:dyDescent="0.2">
      <c r="A83" s="724">
        <v>75</v>
      </c>
      <c r="B83" s="427" t="s">
        <v>163</v>
      </c>
      <c r="C83" s="3" t="s">
        <v>322</v>
      </c>
      <c r="D83" s="410">
        <v>21642</v>
      </c>
      <c r="E83" s="410">
        <v>6053</v>
      </c>
      <c r="F83" s="410">
        <v>6053</v>
      </c>
      <c r="G83" s="410">
        <v>1812</v>
      </c>
      <c r="H83" s="410">
        <v>604</v>
      </c>
      <c r="I83" s="410">
        <v>604</v>
      </c>
      <c r="J83" s="410">
        <v>604</v>
      </c>
      <c r="K83" s="736"/>
      <c r="L83" s="737"/>
    </row>
    <row r="84" spans="1:12" x14ac:dyDescent="0.2">
      <c r="A84" s="724">
        <v>76</v>
      </c>
      <c r="B84" s="429" t="s">
        <v>165</v>
      </c>
      <c r="C84" s="3" t="s">
        <v>166</v>
      </c>
      <c r="D84" s="410">
        <v>9741</v>
      </c>
      <c r="E84" s="410">
        <v>3875</v>
      </c>
      <c r="F84" s="410">
        <v>3875</v>
      </c>
      <c r="G84" s="410">
        <v>1164</v>
      </c>
      <c r="H84" s="410">
        <v>388</v>
      </c>
      <c r="I84" s="410">
        <v>388</v>
      </c>
      <c r="J84" s="410">
        <v>388</v>
      </c>
      <c r="K84" s="736"/>
      <c r="L84" s="737"/>
    </row>
    <row r="85" spans="1:12" x14ac:dyDescent="0.2">
      <c r="A85" s="724">
        <v>77</v>
      </c>
      <c r="B85" s="430" t="s">
        <v>167</v>
      </c>
      <c r="C85" s="223" t="s">
        <v>168</v>
      </c>
      <c r="D85" s="410">
        <v>5065</v>
      </c>
      <c r="E85" s="410">
        <v>774</v>
      </c>
      <c r="F85" s="410">
        <v>774</v>
      </c>
      <c r="G85" s="410">
        <v>423</v>
      </c>
      <c r="H85" s="410">
        <v>77</v>
      </c>
      <c r="I85" s="410">
        <v>77</v>
      </c>
      <c r="J85" s="410">
        <v>77</v>
      </c>
      <c r="K85" s="736"/>
      <c r="L85" s="737"/>
    </row>
    <row r="86" spans="1:12" x14ac:dyDescent="0.2">
      <c r="A86" s="724">
        <v>78</v>
      </c>
      <c r="B86" s="427" t="s">
        <v>169</v>
      </c>
      <c r="C86" s="3" t="s">
        <v>170</v>
      </c>
      <c r="D86" s="410">
        <v>20949</v>
      </c>
      <c r="E86" s="410">
        <v>17557</v>
      </c>
      <c r="F86" s="410">
        <v>17557</v>
      </c>
      <c r="G86" s="410">
        <v>5268</v>
      </c>
      <c r="H86" s="410">
        <v>1756</v>
      </c>
      <c r="I86" s="410">
        <v>1756</v>
      </c>
      <c r="J86" s="410">
        <v>1756</v>
      </c>
      <c r="K86" s="736"/>
      <c r="L86" s="737"/>
    </row>
    <row r="87" spans="1:12" x14ac:dyDescent="0.2">
      <c r="A87" s="724">
        <v>79</v>
      </c>
      <c r="B87" s="430" t="s">
        <v>171</v>
      </c>
      <c r="C87" s="223" t="s">
        <v>172</v>
      </c>
      <c r="D87" s="410">
        <v>0</v>
      </c>
      <c r="E87" s="410">
        <v>0</v>
      </c>
      <c r="F87" s="410">
        <v>0</v>
      </c>
      <c r="G87" s="410">
        <v>0</v>
      </c>
      <c r="H87" s="410">
        <v>0</v>
      </c>
      <c r="I87" s="410">
        <v>0</v>
      </c>
      <c r="J87" s="410">
        <v>0</v>
      </c>
      <c r="K87" s="736"/>
      <c r="L87" s="737"/>
    </row>
    <row r="88" spans="1:12" x14ac:dyDescent="0.2">
      <c r="A88" s="724">
        <v>80</v>
      </c>
      <c r="B88" s="427" t="s">
        <v>173</v>
      </c>
      <c r="C88" s="3" t="s">
        <v>323</v>
      </c>
      <c r="D88" s="410">
        <v>18769</v>
      </c>
      <c r="E88" s="410">
        <v>8931</v>
      </c>
      <c r="F88" s="410">
        <v>8931</v>
      </c>
      <c r="G88" s="410">
        <v>2679</v>
      </c>
      <c r="H88" s="410">
        <v>893</v>
      </c>
      <c r="I88" s="410">
        <v>893</v>
      </c>
      <c r="J88" s="410">
        <v>893</v>
      </c>
      <c r="K88" s="736"/>
      <c r="L88" s="737"/>
    </row>
    <row r="89" spans="1:12" x14ac:dyDescent="0.2">
      <c r="A89" s="724">
        <v>81</v>
      </c>
      <c r="B89" s="430" t="s">
        <v>175</v>
      </c>
      <c r="C89" s="1" t="s">
        <v>742</v>
      </c>
      <c r="D89" s="410">
        <v>0</v>
      </c>
      <c r="E89" s="410">
        <v>0</v>
      </c>
      <c r="F89" s="410">
        <v>0</v>
      </c>
      <c r="G89" s="410">
        <v>0</v>
      </c>
      <c r="H89" s="410">
        <v>0</v>
      </c>
      <c r="I89" s="410">
        <v>0</v>
      </c>
      <c r="J89" s="410">
        <v>0</v>
      </c>
      <c r="K89" s="736"/>
      <c r="L89" s="737"/>
    </row>
    <row r="90" spans="1:12" x14ac:dyDescent="0.2">
      <c r="A90" s="724">
        <v>82</v>
      </c>
      <c r="B90" s="428" t="s">
        <v>177</v>
      </c>
      <c r="C90" s="3" t="s">
        <v>359</v>
      </c>
      <c r="D90" s="410">
        <v>0</v>
      </c>
      <c r="E90" s="410">
        <v>0</v>
      </c>
      <c r="F90" s="410">
        <v>0</v>
      </c>
      <c r="G90" s="410">
        <v>0</v>
      </c>
      <c r="H90" s="410">
        <v>0</v>
      </c>
      <c r="I90" s="410">
        <v>0</v>
      </c>
      <c r="J90" s="410">
        <v>0</v>
      </c>
      <c r="K90" s="736"/>
      <c r="L90" s="737"/>
    </row>
    <row r="91" spans="1:12" ht="42.75" customHeight="1" x14ac:dyDescent="0.2">
      <c r="A91" s="1169">
        <v>83</v>
      </c>
      <c r="B91" s="1172" t="s">
        <v>178</v>
      </c>
      <c r="C91" s="1" t="s">
        <v>740</v>
      </c>
      <c r="D91" s="410">
        <v>859</v>
      </c>
      <c r="E91" s="410">
        <v>149</v>
      </c>
      <c r="F91" s="410">
        <v>149</v>
      </c>
      <c r="G91" s="410">
        <v>45</v>
      </c>
      <c r="H91" s="410">
        <v>15</v>
      </c>
      <c r="I91" s="410">
        <v>15</v>
      </c>
      <c r="J91" s="410">
        <v>15</v>
      </c>
      <c r="K91" s="736"/>
      <c r="L91" s="737"/>
    </row>
    <row r="92" spans="1:12" ht="24" x14ac:dyDescent="0.2">
      <c r="A92" s="1170"/>
      <c r="B92" s="1173"/>
      <c r="C92" s="434" t="s">
        <v>180</v>
      </c>
      <c r="D92" s="410">
        <v>0</v>
      </c>
      <c r="E92" s="410">
        <v>0</v>
      </c>
      <c r="F92" s="410">
        <v>0</v>
      </c>
      <c r="G92" s="410">
        <v>0</v>
      </c>
      <c r="H92" s="410">
        <v>0</v>
      </c>
      <c r="I92" s="410">
        <v>0</v>
      </c>
      <c r="J92" s="410">
        <v>0</v>
      </c>
      <c r="K92" s="736"/>
      <c r="L92" s="737"/>
    </row>
    <row r="93" spans="1:12" ht="36" x14ac:dyDescent="0.2">
      <c r="A93" s="1171"/>
      <c r="B93" s="1174"/>
      <c r="C93" s="225" t="s">
        <v>741</v>
      </c>
      <c r="D93" s="410">
        <v>0</v>
      </c>
      <c r="E93" s="410">
        <v>0</v>
      </c>
      <c r="F93" s="410">
        <v>0</v>
      </c>
      <c r="G93" s="410">
        <v>0</v>
      </c>
      <c r="H93" s="410">
        <v>0</v>
      </c>
      <c r="I93" s="410">
        <v>0</v>
      </c>
      <c r="J93" s="410">
        <v>0</v>
      </c>
      <c r="K93" s="736"/>
      <c r="L93" s="737"/>
    </row>
    <row r="94" spans="1:12" ht="25.5" x14ac:dyDescent="0.2">
      <c r="A94" s="724">
        <v>84</v>
      </c>
      <c r="B94" s="428" t="s">
        <v>181</v>
      </c>
      <c r="C94" s="25" t="s">
        <v>182</v>
      </c>
      <c r="D94" s="410">
        <v>0</v>
      </c>
      <c r="E94" s="410">
        <v>0</v>
      </c>
      <c r="F94" s="410">
        <v>0</v>
      </c>
      <c r="G94" s="410">
        <v>0</v>
      </c>
      <c r="H94" s="410">
        <v>0</v>
      </c>
      <c r="I94" s="410">
        <v>0</v>
      </c>
      <c r="J94" s="410">
        <v>0</v>
      </c>
      <c r="K94" s="736"/>
      <c r="L94" s="737"/>
    </row>
    <row r="95" spans="1:12" x14ac:dyDescent="0.2">
      <c r="A95" s="724">
        <v>85</v>
      </c>
      <c r="B95" s="428" t="s">
        <v>183</v>
      </c>
      <c r="C95" s="223" t="s">
        <v>184</v>
      </c>
      <c r="D95" s="410">
        <v>788</v>
      </c>
      <c r="E95" s="410">
        <v>249</v>
      </c>
      <c r="F95" s="410">
        <v>249</v>
      </c>
      <c r="G95" s="410">
        <v>75</v>
      </c>
      <c r="H95" s="410">
        <v>25</v>
      </c>
      <c r="I95" s="410">
        <v>25</v>
      </c>
      <c r="J95" s="410">
        <v>25</v>
      </c>
      <c r="K95" s="736"/>
      <c r="L95" s="737"/>
    </row>
    <row r="96" spans="1:12" x14ac:dyDescent="0.2">
      <c r="A96" s="724">
        <v>86</v>
      </c>
      <c r="B96" s="429" t="s">
        <v>185</v>
      </c>
      <c r="C96" s="3" t="s">
        <v>186</v>
      </c>
      <c r="D96" s="410">
        <v>4494</v>
      </c>
      <c r="E96" s="410">
        <v>940</v>
      </c>
      <c r="F96" s="410">
        <v>940</v>
      </c>
      <c r="G96" s="410">
        <v>283</v>
      </c>
      <c r="H96" s="410">
        <v>94</v>
      </c>
      <c r="I96" s="410">
        <v>95</v>
      </c>
      <c r="J96" s="410">
        <v>94</v>
      </c>
      <c r="K96" s="736"/>
      <c r="L96" s="737"/>
    </row>
    <row r="97" spans="1:12" x14ac:dyDescent="0.2">
      <c r="A97" s="724">
        <v>87</v>
      </c>
      <c r="B97" s="428" t="s">
        <v>187</v>
      </c>
      <c r="C97" s="25" t="s">
        <v>188</v>
      </c>
      <c r="D97" s="410">
        <v>1400</v>
      </c>
      <c r="E97" s="410">
        <v>440</v>
      </c>
      <c r="F97" s="410">
        <v>440</v>
      </c>
      <c r="G97" s="410">
        <v>132</v>
      </c>
      <c r="H97" s="410">
        <v>44</v>
      </c>
      <c r="I97" s="410">
        <v>44</v>
      </c>
      <c r="J97" s="410">
        <v>44</v>
      </c>
      <c r="K97" s="736"/>
      <c r="L97" s="737"/>
    </row>
    <row r="98" spans="1:12" x14ac:dyDescent="0.2">
      <c r="A98" s="724">
        <v>88</v>
      </c>
      <c r="B98" s="429" t="s">
        <v>189</v>
      </c>
      <c r="C98" s="3" t="s">
        <v>190</v>
      </c>
      <c r="D98" s="410">
        <v>890</v>
      </c>
      <c r="E98" s="410">
        <v>100</v>
      </c>
      <c r="F98" s="410">
        <v>100</v>
      </c>
      <c r="G98" s="410">
        <v>30</v>
      </c>
      <c r="H98" s="410">
        <v>10</v>
      </c>
      <c r="I98" s="410">
        <v>10</v>
      </c>
      <c r="J98" s="410">
        <v>10</v>
      </c>
      <c r="K98" s="736"/>
      <c r="L98" s="737"/>
    </row>
    <row r="99" spans="1:12" x14ac:dyDescent="0.2">
      <c r="A99" s="724">
        <v>89</v>
      </c>
      <c r="B99" s="429" t="s">
        <v>191</v>
      </c>
      <c r="C99" s="3" t="s">
        <v>192</v>
      </c>
      <c r="D99" s="410">
        <v>4177</v>
      </c>
      <c r="E99" s="410">
        <v>1697</v>
      </c>
      <c r="F99" s="410">
        <v>1697</v>
      </c>
      <c r="G99" s="410">
        <v>510</v>
      </c>
      <c r="H99" s="410">
        <v>170</v>
      </c>
      <c r="I99" s="410">
        <v>170</v>
      </c>
      <c r="J99" s="410">
        <v>170</v>
      </c>
      <c r="K99" s="736"/>
      <c r="L99" s="737"/>
    </row>
    <row r="100" spans="1:12" x14ac:dyDescent="0.2">
      <c r="A100" s="724">
        <v>90</v>
      </c>
      <c r="B100" s="428" t="s">
        <v>193</v>
      </c>
      <c r="C100" s="223" t="s">
        <v>194</v>
      </c>
      <c r="D100" s="410">
        <v>1493</v>
      </c>
      <c r="E100" s="410">
        <v>1160</v>
      </c>
      <c r="F100" s="410">
        <v>1160</v>
      </c>
      <c r="G100" s="410">
        <v>348</v>
      </c>
      <c r="H100" s="410">
        <v>116</v>
      </c>
      <c r="I100" s="410">
        <v>116</v>
      </c>
      <c r="J100" s="410">
        <v>116</v>
      </c>
      <c r="K100" s="736"/>
      <c r="L100" s="737"/>
    </row>
    <row r="101" spans="1:12" x14ac:dyDescent="0.2">
      <c r="A101" s="724">
        <v>91</v>
      </c>
      <c r="B101" s="428" t="s">
        <v>195</v>
      </c>
      <c r="C101" s="25" t="s">
        <v>196</v>
      </c>
      <c r="D101" s="410">
        <v>3288</v>
      </c>
      <c r="E101" s="410">
        <v>307</v>
      </c>
      <c r="F101" s="410">
        <v>307</v>
      </c>
      <c r="G101" s="410">
        <v>93</v>
      </c>
      <c r="H101" s="410">
        <v>31</v>
      </c>
      <c r="I101" s="410">
        <v>31</v>
      </c>
      <c r="J101" s="410">
        <v>31</v>
      </c>
      <c r="K101" s="736"/>
      <c r="L101" s="737"/>
    </row>
    <row r="102" spans="1:12" x14ac:dyDescent="0.2">
      <c r="A102" s="724">
        <v>92</v>
      </c>
      <c r="B102" s="427" t="s">
        <v>197</v>
      </c>
      <c r="C102" s="25" t="s">
        <v>198</v>
      </c>
      <c r="D102" s="410">
        <v>2948</v>
      </c>
      <c r="E102" s="410">
        <v>1375</v>
      </c>
      <c r="F102" s="410">
        <v>1375</v>
      </c>
      <c r="G102" s="410">
        <v>414</v>
      </c>
      <c r="H102" s="410">
        <v>138</v>
      </c>
      <c r="I102" s="410">
        <v>138</v>
      </c>
      <c r="J102" s="410">
        <v>138</v>
      </c>
      <c r="K102" s="736"/>
      <c r="L102" s="737"/>
    </row>
    <row r="103" spans="1:12" x14ac:dyDescent="0.2">
      <c r="A103" s="724">
        <v>93</v>
      </c>
      <c r="B103" s="427" t="s">
        <v>199</v>
      </c>
      <c r="C103" s="25" t="s">
        <v>200</v>
      </c>
      <c r="D103" s="410">
        <v>3992</v>
      </c>
      <c r="E103" s="410">
        <v>1974</v>
      </c>
      <c r="F103" s="410">
        <v>1974</v>
      </c>
      <c r="G103" s="410">
        <v>591</v>
      </c>
      <c r="H103" s="410">
        <v>197</v>
      </c>
      <c r="I103" s="410">
        <v>197</v>
      </c>
      <c r="J103" s="410">
        <v>197</v>
      </c>
      <c r="K103" s="736"/>
      <c r="L103" s="737"/>
    </row>
    <row r="104" spans="1:12" x14ac:dyDescent="0.2">
      <c r="A104" s="724">
        <v>94</v>
      </c>
      <c r="B104" s="429" t="s">
        <v>201</v>
      </c>
      <c r="C104" s="3" t="s">
        <v>202</v>
      </c>
      <c r="D104" s="410">
        <v>770</v>
      </c>
      <c r="E104" s="410">
        <v>122</v>
      </c>
      <c r="F104" s="410">
        <v>122</v>
      </c>
      <c r="G104" s="410">
        <v>36</v>
      </c>
      <c r="H104" s="410">
        <v>12</v>
      </c>
      <c r="I104" s="410">
        <v>12</v>
      </c>
      <c r="J104" s="410">
        <v>12</v>
      </c>
      <c r="K104" s="736"/>
      <c r="L104" s="737"/>
    </row>
    <row r="105" spans="1:12" x14ac:dyDescent="0.2">
      <c r="A105" s="724">
        <v>95</v>
      </c>
      <c r="B105" s="430" t="s">
        <v>203</v>
      </c>
      <c r="C105" s="223" t="s">
        <v>204</v>
      </c>
      <c r="D105" s="410">
        <v>2356</v>
      </c>
      <c r="E105" s="410">
        <v>743</v>
      </c>
      <c r="F105" s="410">
        <v>743</v>
      </c>
      <c r="G105" s="410">
        <v>222</v>
      </c>
      <c r="H105" s="410">
        <v>74</v>
      </c>
      <c r="I105" s="410">
        <v>74</v>
      </c>
      <c r="J105" s="410">
        <v>74</v>
      </c>
      <c r="K105" s="736"/>
      <c r="L105" s="737"/>
    </row>
    <row r="106" spans="1:12" x14ac:dyDescent="0.2">
      <c r="A106" s="724">
        <v>96</v>
      </c>
      <c r="B106" s="427" t="s">
        <v>205</v>
      </c>
      <c r="C106" s="25" t="s">
        <v>206</v>
      </c>
      <c r="D106" s="410">
        <v>1013</v>
      </c>
      <c r="E106" s="410">
        <v>144</v>
      </c>
      <c r="F106" s="410">
        <v>144</v>
      </c>
      <c r="G106" s="410">
        <v>42</v>
      </c>
      <c r="H106" s="410">
        <v>14</v>
      </c>
      <c r="I106" s="410">
        <v>14</v>
      </c>
      <c r="J106" s="410">
        <v>14</v>
      </c>
      <c r="K106" s="736"/>
      <c r="L106" s="737"/>
    </row>
    <row r="107" spans="1:12" x14ac:dyDescent="0.2">
      <c r="A107" s="724">
        <v>97</v>
      </c>
      <c r="B107" s="428" t="s">
        <v>207</v>
      </c>
      <c r="C107" s="25" t="s">
        <v>208</v>
      </c>
      <c r="D107" s="410">
        <v>2072</v>
      </c>
      <c r="E107" s="410">
        <v>88</v>
      </c>
      <c r="F107" s="410">
        <v>88</v>
      </c>
      <c r="G107" s="410">
        <v>27</v>
      </c>
      <c r="H107" s="410">
        <v>9</v>
      </c>
      <c r="I107" s="410">
        <v>9</v>
      </c>
      <c r="J107" s="410">
        <v>9</v>
      </c>
      <c r="K107" s="736"/>
      <c r="L107" s="737"/>
    </row>
    <row r="108" spans="1:12" x14ac:dyDescent="0.2">
      <c r="A108" s="724">
        <v>98</v>
      </c>
      <c r="B108" s="429" t="s">
        <v>209</v>
      </c>
      <c r="C108" s="3" t="s">
        <v>210</v>
      </c>
      <c r="D108" s="410">
        <v>1593</v>
      </c>
      <c r="E108" s="410">
        <v>619</v>
      </c>
      <c r="F108" s="410">
        <v>619</v>
      </c>
      <c r="G108" s="410">
        <v>186</v>
      </c>
      <c r="H108" s="410">
        <v>62</v>
      </c>
      <c r="I108" s="410">
        <v>62</v>
      </c>
      <c r="J108" s="410">
        <v>62</v>
      </c>
      <c r="K108" s="736"/>
      <c r="L108" s="737"/>
    </row>
    <row r="109" spans="1:12" x14ac:dyDescent="0.2">
      <c r="A109" s="724">
        <v>99</v>
      </c>
      <c r="B109" s="429" t="s">
        <v>211</v>
      </c>
      <c r="C109" s="3" t="s">
        <v>212</v>
      </c>
      <c r="D109" s="410">
        <v>2049</v>
      </c>
      <c r="E109" s="410">
        <v>228</v>
      </c>
      <c r="F109" s="410">
        <v>228</v>
      </c>
      <c r="G109" s="410">
        <v>69</v>
      </c>
      <c r="H109" s="410">
        <v>23</v>
      </c>
      <c r="I109" s="410">
        <v>23</v>
      </c>
      <c r="J109" s="410">
        <v>23</v>
      </c>
      <c r="K109" s="736"/>
      <c r="L109" s="737"/>
    </row>
    <row r="110" spans="1:12" x14ac:dyDescent="0.2">
      <c r="A110" s="724">
        <v>100</v>
      </c>
      <c r="B110" s="427" t="s">
        <v>213</v>
      </c>
      <c r="C110" s="25" t="s">
        <v>214</v>
      </c>
      <c r="D110" s="410">
        <v>3063</v>
      </c>
      <c r="E110" s="410">
        <v>922</v>
      </c>
      <c r="F110" s="410">
        <v>922</v>
      </c>
      <c r="G110" s="410">
        <v>276</v>
      </c>
      <c r="H110" s="410">
        <v>92</v>
      </c>
      <c r="I110" s="410">
        <v>92</v>
      </c>
      <c r="J110" s="410">
        <v>92</v>
      </c>
      <c r="K110" s="736"/>
      <c r="L110" s="737"/>
    </row>
    <row r="111" spans="1:12" x14ac:dyDescent="0.2">
      <c r="A111" s="724">
        <v>101</v>
      </c>
      <c r="B111" s="428" t="s">
        <v>215</v>
      </c>
      <c r="C111" s="25" t="s">
        <v>216</v>
      </c>
      <c r="D111" s="410">
        <v>1846</v>
      </c>
      <c r="E111" s="410">
        <v>1116</v>
      </c>
      <c r="F111" s="410">
        <v>1116</v>
      </c>
      <c r="G111" s="410">
        <v>336</v>
      </c>
      <c r="H111" s="410">
        <v>112</v>
      </c>
      <c r="I111" s="410">
        <v>112</v>
      </c>
      <c r="J111" s="410">
        <v>112</v>
      </c>
      <c r="K111" s="736"/>
      <c r="L111" s="737"/>
    </row>
    <row r="112" spans="1:12" x14ac:dyDescent="0.2">
      <c r="A112" s="724">
        <v>102</v>
      </c>
      <c r="B112" s="427" t="s">
        <v>217</v>
      </c>
      <c r="C112" s="3" t="s">
        <v>218</v>
      </c>
      <c r="D112" s="410">
        <v>0</v>
      </c>
      <c r="E112" s="410">
        <v>0</v>
      </c>
      <c r="F112" s="410">
        <v>0</v>
      </c>
      <c r="G112" s="410">
        <v>0</v>
      </c>
      <c r="H112" s="410">
        <v>0</v>
      </c>
      <c r="I112" s="410">
        <v>0</v>
      </c>
      <c r="J112" s="410">
        <v>0</v>
      </c>
      <c r="K112" s="736"/>
      <c r="L112" s="737"/>
    </row>
    <row r="113" spans="1:12" x14ac:dyDescent="0.2">
      <c r="A113" s="724">
        <v>103</v>
      </c>
      <c r="B113" s="427" t="s">
        <v>219</v>
      </c>
      <c r="C113" s="25" t="s">
        <v>220</v>
      </c>
      <c r="D113" s="410">
        <v>0</v>
      </c>
      <c r="E113" s="410">
        <v>0</v>
      </c>
      <c r="F113" s="410">
        <v>0</v>
      </c>
      <c r="G113" s="410">
        <v>0</v>
      </c>
      <c r="H113" s="410">
        <v>0</v>
      </c>
      <c r="I113" s="410">
        <v>0</v>
      </c>
      <c r="J113" s="410">
        <v>0</v>
      </c>
      <c r="K113" s="736"/>
      <c r="L113" s="737"/>
    </row>
    <row r="114" spans="1:12" x14ac:dyDescent="0.2">
      <c r="A114" s="724">
        <v>104</v>
      </c>
      <c r="B114" s="429" t="s">
        <v>221</v>
      </c>
      <c r="C114" s="3" t="s">
        <v>222</v>
      </c>
      <c r="D114" s="410">
        <v>0</v>
      </c>
      <c r="E114" s="410">
        <v>0</v>
      </c>
      <c r="F114" s="410">
        <v>0</v>
      </c>
      <c r="G114" s="410">
        <v>0</v>
      </c>
      <c r="H114" s="410">
        <v>0</v>
      </c>
      <c r="I114" s="410">
        <v>0</v>
      </c>
      <c r="J114" s="410">
        <v>0</v>
      </c>
      <c r="K114" s="736"/>
      <c r="L114" s="737"/>
    </row>
    <row r="115" spans="1:12" x14ac:dyDescent="0.2">
      <c r="A115" s="724">
        <v>105</v>
      </c>
      <c r="B115" s="429" t="s">
        <v>223</v>
      </c>
      <c r="C115" s="3" t="s">
        <v>224</v>
      </c>
      <c r="D115" s="410">
        <v>0</v>
      </c>
      <c r="E115" s="410">
        <v>0</v>
      </c>
      <c r="F115" s="410">
        <v>0</v>
      </c>
      <c r="G115" s="410">
        <v>0</v>
      </c>
      <c r="H115" s="410">
        <v>0</v>
      </c>
      <c r="I115" s="410">
        <v>0</v>
      </c>
      <c r="J115" s="410">
        <v>0</v>
      </c>
      <c r="K115" s="736"/>
      <c r="L115" s="737"/>
    </row>
    <row r="116" spans="1:12" x14ac:dyDescent="0.2">
      <c r="A116" s="724">
        <v>106</v>
      </c>
      <c r="B116" s="429" t="s">
        <v>225</v>
      </c>
      <c r="C116" s="3" t="s">
        <v>226</v>
      </c>
      <c r="D116" s="410">
        <v>0</v>
      </c>
      <c r="E116" s="410">
        <v>0</v>
      </c>
      <c r="F116" s="410">
        <v>0</v>
      </c>
      <c r="G116" s="410">
        <v>0</v>
      </c>
      <c r="H116" s="410">
        <v>0</v>
      </c>
      <c r="I116" s="410">
        <v>0</v>
      </c>
      <c r="J116" s="410">
        <v>0</v>
      </c>
      <c r="K116" s="736"/>
      <c r="L116" s="737"/>
    </row>
    <row r="117" spans="1:12" x14ac:dyDescent="0.2">
      <c r="A117" s="724">
        <v>107</v>
      </c>
      <c r="B117" s="429" t="s">
        <v>227</v>
      </c>
      <c r="C117" s="3" t="s">
        <v>228</v>
      </c>
      <c r="D117" s="410">
        <v>0</v>
      </c>
      <c r="E117" s="410">
        <v>0</v>
      </c>
      <c r="F117" s="410">
        <v>0</v>
      </c>
      <c r="G117" s="410">
        <v>0</v>
      </c>
      <c r="H117" s="410">
        <v>0</v>
      </c>
      <c r="I117" s="410">
        <v>0</v>
      </c>
      <c r="J117" s="410">
        <v>0</v>
      </c>
      <c r="K117" s="736"/>
      <c r="L117" s="737"/>
    </row>
    <row r="118" spans="1:12" x14ac:dyDescent="0.2">
      <c r="A118" s="724">
        <v>108</v>
      </c>
      <c r="B118" s="429" t="s">
        <v>229</v>
      </c>
      <c r="C118" s="3" t="s">
        <v>230</v>
      </c>
      <c r="D118" s="410">
        <v>0</v>
      </c>
      <c r="E118" s="410">
        <v>0</v>
      </c>
      <c r="F118" s="410">
        <v>0</v>
      </c>
      <c r="G118" s="410">
        <v>0</v>
      </c>
      <c r="H118" s="410">
        <v>0</v>
      </c>
      <c r="I118" s="410">
        <v>0</v>
      </c>
      <c r="J118" s="410">
        <v>0</v>
      </c>
      <c r="K118" s="736"/>
      <c r="L118" s="737"/>
    </row>
    <row r="119" spans="1:12" x14ac:dyDescent="0.2">
      <c r="A119" s="724">
        <v>109</v>
      </c>
      <c r="B119" s="429" t="s">
        <v>231</v>
      </c>
      <c r="C119" s="3" t="s">
        <v>232</v>
      </c>
      <c r="D119" s="410">
        <v>0</v>
      </c>
      <c r="E119" s="410">
        <v>0</v>
      </c>
      <c r="F119" s="410">
        <v>0</v>
      </c>
      <c r="G119" s="410">
        <v>0</v>
      </c>
      <c r="H119" s="410">
        <v>0</v>
      </c>
      <c r="I119" s="410">
        <v>0</v>
      </c>
      <c r="J119" s="410">
        <v>0</v>
      </c>
      <c r="K119" s="736"/>
      <c r="L119" s="737"/>
    </row>
    <row r="120" spans="1:12" x14ac:dyDescent="0.2">
      <c r="A120" s="724">
        <v>110</v>
      </c>
      <c r="B120" s="409" t="s">
        <v>233</v>
      </c>
      <c r="C120" s="435" t="s">
        <v>234</v>
      </c>
      <c r="D120" s="410">
        <v>0</v>
      </c>
      <c r="E120" s="410">
        <v>0</v>
      </c>
      <c r="F120" s="410">
        <v>0</v>
      </c>
      <c r="G120" s="410">
        <v>0</v>
      </c>
      <c r="H120" s="410">
        <v>0</v>
      </c>
      <c r="I120" s="410">
        <v>0</v>
      </c>
      <c r="J120" s="410">
        <v>0</v>
      </c>
      <c r="K120" s="736"/>
      <c r="L120" s="737"/>
    </row>
    <row r="121" spans="1:12" x14ac:dyDescent="0.2">
      <c r="A121" s="724">
        <v>111</v>
      </c>
      <c r="B121" s="409" t="s">
        <v>235</v>
      </c>
      <c r="C121" s="435" t="s">
        <v>236</v>
      </c>
      <c r="D121" s="410">
        <v>0</v>
      </c>
      <c r="E121" s="410">
        <v>0</v>
      </c>
      <c r="F121" s="410">
        <v>0</v>
      </c>
      <c r="G121" s="410">
        <v>0</v>
      </c>
      <c r="H121" s="410">
        <v>0</v>
      </c>
      <c r="I121" s="410">
        <v>0</v>
      </c>
      <c r="J121" s="410">
        <v>0</v>
      </c>
      <c r="K121" s="736"/>
      <c r="L121" s="737"/>
    </row>
    <row r="122" spans="1:12" x14ac:dyDescent="0.2">
      <c r="A122" s="724">
        <v>112</v>
      </c>
      <c r="B122" s="428" t="s">
        <v>237</v>
      </c>
      <c r="C122" s="25" t="s">
        <v>238</v>
      </c>
      <c r="D122" s="410">
        <v>0</v>
      </c>
      <c r="E122" s="410">
        <v>0</v>
      </c>
      <c r="F122" s="410">
        <v>0</v>
      </c>
      <c r="G122" s="410">
        <v>0</v>
      </c>
      <c r="H122" s="410">
        <v>0</v>
      </c>
      <c r="I122" s="410">
        <v>0</v>
      </c>
      <c r="J122" s="410">
        <v>0</v>
      </c>
      <c r="K122" s="736"/>
      <c r="L122" s="737"/>
    </row>
    <row r="123" spans="1:12" x14ac:dyDescent="0.2">
      <c r="A123" s="724">
        <v>113</v>
      </c>
      <c r="B123" s="429" t="s">
        <v>239</v>
      </c>
      <c r="C123" s="3" t="s">
        <v>240</v>
      </c>
      <c r="D123" s="410">
        <v>0</v>
      </c>
      <c r="E123" s="410">
        <v>0</v>
      </c>
      <c r="F123" s="410">
        <v>0</v>
      </c>
      <c r="G123" s="410">
        <v>0</v>
      </c>
      <c r="H123" s="410">
        <v>0</v>
      </c>
      <c r="I123" s="410">
        <v>0</v>
      </c>
      <c r="J123" s="410">
        <v>0</v>
      </c>
      <c r="K123" s="736"/>
      <c r="L123" s="737"/>
    </row>
    <row r="124" spans="1:12" x14ac:dyDescent="0.2">
      <c r="A124" s="724">
        <v>114</v>
      </c>
      <c r="B124" s="427" t="s">
        <v>241</v>
      </c>
      <c r="C124" s="436" t="s">
        <v>242</v>
      </c>
      <c r="D124" s="410">
        <v>0</v>
      </c>
      <c r="E124" s="410">
        <v>0</v>
      </c>
      <c r="F124" s="410">
        <v>0</v>
      </c>
      <c r="G124" s="410">
        <v>0</v>
      </c>
      <c r="H124" s="410">
        <v>0</v>
      </c>
      <c r="I124" s="410">
        <v>0</v>
      </c>
      <c r="J124" s="410">
        <v>0</v>
      </c>
      <c r="K124" s="736"/>
      <c r="L124" s="737"/>
    </row>
    <row r="125" spans="1:12" x14ac:dyDescent="0.2">
      <c r="A125" s="724">
        <v>115</v>
      </c>
      <c r="B125" s="429" t="s">
        <v>243</v>
      </c>
      <c r="C125" s="33" t="s">
        <v>385</v>
      </c>
      <c r="D125" s="410">
        <v>0</v>
      </c>
      <c r="E125" s="410">
        <v>0</v>
      </c>
      <c r="F125" s="410">
        <v>0</v>
      </c>
      <c r="G125" s="410">
        <v>0</v>
      </c>
      <c r="H125" s="410">
        <v>0</v>
      </c>
      <c r="I125" s="410">
        <v>0</v>
      </c>
      <c r="J125" s="410">
        <v>0</v>
      </c>
      <c r="K125" s="736"/>
      <c r="L125" s="737"/>
    </row>
    <row r="126" spans="1:12" x14ac:dyDescent="0.2">
      <c r="A126" s="724">
        <v>116</v>
      </c>
      <c r="B126" s="428" t="s">
        <v>244</v>
      </c>
      <c r="C126" s="3" t="s">
        <v>325</v>
      </c>
      <c r="D126" s="410">
        <v>0</v>
      </c>
      <c r="E126" s="410">
        <v>0</v>
      </c>
      <c r="F126" s="410">
        <v>0</v>
      </c>
      <c r="G126" s="410">
        <v>0</v>
      </c>
      <c r="H126" s="410">
        <v>0</v>
      </c>
      <c r="I126" s="410">
        <v>0</v>
      </c>
      <c r="J126" s="410">
        <v>0</v>
      </c>
      <c r="K126" s="736"/>
      <c r="L126" s="737"/>
    </row>
    <row r="127" spans="1:12" x14ac:dyDescent="0.2">
      <c r="A127" s="724">
        <v>117</v>
      </c>
      <c r="B127" s="428" t="s">
        <v>246</v>
      </c>
      <c r="C127" s="3" t="s">
        <v>247</v>
      </c>
      <c r="D127" s="410">
        <v>0</v>
      </c>
      <c r="E127" s="410">
        <v>0</v>
      </c>
      <c r="F127" s="410">
        <v>0</v>
      </c>
      <c r="G127" s="410">
        <v>0</v>
      </c>
      <c r="H127" s="410">
        <v>0</v>
      </c>
      <c r="I127" s="410">
        <v>0</v>
      </c>
      <c r="J127" s="410">
        <v>0</v>
      </c>
      <c r="K127" s="736"/>
      <c r="L127" s="737"/>
    </row>
    <row r="128" spans="1:12" x14ac:dyDescent="0.2">
      <c r="A128" s="724">
        <v>118</v>
      </c>
      <c r="B128" s="428" t="s">
        <v>248</v>
      </c>
      <c r="C128" s="3" t="s">
        <v>249</v>
      </c>
      <c r="D128" s="410">
        <v>0</v>
      </c>
      <c r="E128" s="410">
        <v>0</v>
      </c>
      <c r="F128" s="410">
        <v>0</v>
      </c>
      <c r="G128" s="410">
        <v>0</v>
      </c>
      <c r="H128" s="410">
        <v>0</v>
      </c>
      <c r="I128" s="410">
        <v>0</v>
      </c>
      <c r="J128" s="410">
        <v>0</v>
      </c>
      <c r="K128" s="736"/>
      <c r="L128" s="737"/>
    </row>
    <row r="129" spans="1:12" x14ac:dyDescent="0.2">
      <c r="A129" s="724">
        <v>119</v>
      </c>
      <c r="B129" s="427" t="s">
        <v>250</v>
      </c>
      <c r="C129" s="25" t="s">
        <v>251</v>
      </c>
      <c r="D129" s="410">
        <v>0</v>
      </c>
      <c r="E129" s="410">
        <v>0</v>
      </c>
      <c r="F129" s="410">
        <v>0</v>
      </c>
      <c r="G129" s="410">
        <v>0</v>
      </c>
      <c r="H129" s="410">
        <v>0</v>
      </c>
      <c r="I129" s="410">
        <v>0</v>
      </c>
      <c r="J129" s="410">
        <v>0</v>
      </c>
      <c r="K129" s="736"/>
      <c r="L129" s="737"/>
    </row>
    <row r="130" spans="1:12" x14ac:dyDescent="0.2">
      <c r="A130" s="724">
        <v>120</v>
      </c>
      <c r="B130" s="428" t="s">
        <v>252</v>
      </c>
      <c r="C130" s="25" t="s">
        <v>253</v>
      </c>
      <c r="D130" s="410">
        <v>0</v>
      </c>
      <c r="E130" s="410">
        <v>0</v>
      </c>
      <c r="F130" s="410">
        <v>0</v>
      </c>
      <c r="G130" s="410">
        <v>0</v>
      </c>
      <c r="H130" s="410">
        <v>0</v>
      </c>
      <c r="I130" s="410">
        <v>0</v>
      </c>
      <c r="J130" s="410">
        <v>0</v>
      </c>
      <c r="K130" s="736"/>
      <c r="L130" s="737"/>
    </row>
    <row r="131" spans="1:12" x14ac:dyDescent="0.2">
      <c r="A131" s="724">
        <v>121</v>
      </c>
      <c r="B131" s="429" t="s">
        <v>254</v>
      </c>
      <c r="C131" s="3" t="s">
        <v>255</v>
      </c>
      <c r="D131" s="410">
        <v>0</v>
      </c>
      <c r="E131" s="410">
        <v>0</v>
      </c>
      <c r="F131" s="410">
        <v>0</v>
      </c>
      <c r="G131" s="410">
        <v>0</v>
      </c>
      <c r="H131" s="410">
        <v>0</v>
      </c>
      <c r="I131" s="410">
        <v>0</v>
      </c>
      <c r="J131" s="410">
        <v>0</v>
      </c>
      <c r="K131" s="736"/>
      <c r="L131" s="737"/>
    </row>
    <row r="132" spans="1:12" x14ac:dyDescent="0.2">
      <c r="A132" s="724">
        <v>122</v>
      </c>
      <c r="B132" s="429" t="s">
        <v>256</v>
      </c>
      <c r="C132" s="3" t="s">
        <v>257</v>
      </c>
      <c r="D132" s="410">
        <v>0</v>
      </c>
      <c r="E132" s="410">
        <v>0</v>
      </c>
      <c r="F132" s="410">
        <v>0</v>
      </c>
      <c r="G132" s="410">
        <v>0</v>
      </c>
      <c r="H132" s="410">
        <v>0</v>
      </c>
      <c r="I132" s="410">
        <v>0</v>
      </c>
      <c r="J132" s="410">
        <v>0</v>
      </c>
      <c r="K132" s="736"/>
      <c r="L132" s="737"/>
    </row>
    <row r="133" spans="1:12" x14ac:dyDescent="0.2">
      <c r="A133" s="724">
        <v>123</v>
      </c>
      <c r="B133" s="429" t="s">
        <v>258</v>
      </c>
      <c r="C133" s="3" t="s">
        <v>259</v>
      </c>
      <c r="D133" s="410">
        <v>0</v>
      </c>
      <c r="E133" s="410">
        <v>0</v>
      </c>
      <c r="F133" s="410">
        <v>0</v>
      </c>
      <c r="G133" s="410">
        <v>0</v>
      </c>
      <c r="H133" s="410">
        <v>0</v>
      </c>
      <c r="I133" s="410">
        <v>0</v>
      </c>
      <c r="J133" s="410">
        <v>0</v>
      </c>
      <c r="K133" s="736"/>
      <c r="L133" s="737"/>
    </row>
    <row r="134" spans="1:12" x14ac:dyDescent="0.2">
      <c r="A134" s="724">
        <v>124</v>
      </c>
      <c r="B134" s="429" t="s">
        <v>260</v>
      </c>
      <c r="C134" s="3" t="s">
        <v>261</v>
      </c>
      <c r="D134" s="410">
        <v>0</v>
      </c>
      <c r="E134" s="410">
        <v>0</v>
      </c>
      <c r="F134" s="410">
        <v>0</v>
      </c>
      <c r="G134" s="410">
        <v>0</v>
      </c>
      <c r="H134" s="410">
        <v>0</v>
      </c>
      <c r="I134" s="410">
        <v>0</v>
      </c>
      <c r="J134" s="410">
        <v>0</v>
      </c>
      <c r="K134" s="736"/>
      <c r="L134" s="737"/>
    </row>
    <row r="135" spans="1:12" x14ac:dyDescent="0.2">
      <c r="A135" s="724">
        <v>125</v>
      </c>
      <c r="B135" s="429" t="s">
        <v>262</v>
      </c>
      <c r="C135" s="3" t="s">
        <v>263</v>
      </c>
      <c r="D135" s="410">
        <v>0</v>
      </c>
      <c r="E135" s="410">
        <v>0</v>
      </c>
      <c r="F135" s="410">
        <v>0</v>
      </c>
      <c r="G135" s="410">
        <v>0</v>
      </c>
      <c r="H135" s="410">
        <v>0</v>
      </c>
      <c r="I135" s="410">
        <v>0</v>
      </c>
      <c r="J135" s="410">
        <v>0</v>
      </c>
      <c r="K135" s="736"/>
      <c r="L135" s="737"/>
    </row>
    <row r="136" spans="1:12" x14ac:dyDescent="0.2">
      <c r="A136" s="724">
        <v>126</v>
      </c>
      <c r="B136" s="427" t="s">
        <v>264</v>
      </c>
      <c r="C136" s="25" t="s">
        <v>265</v>
      </c>
      <c r="D136" s="410">
        <v>0</v>
      </c>
      <c r="E136" s="410">
        <v>0</v>
      </c>
      <c r="F136" s="410">
        <v>0</v>
      </c>
      <c r="G136" s="410">
        <v>0</v>
      </c>
      <c r="H136" s="410">
        <v>0</v>
      </c>
      <c r="I136" s="410">
        <v>0</v>
      </c>
      <c r="J136" s="410">
        <v>0</v>
      </c>
      <c r="K136" s="736"/>
      <c r="L136" s="737"/>
    </row>
    <row r="137" spans="1:12" x14ac:dyDescent="0.2">
      <c r="A137" s="724">
        <v>127</v>
      </c>
      <c r="B137" s="427" t="s">
        <v>266</v>
      </c>
      <c r="C137" s="3" t="s">
        <v>267</v>
      </c>
      <c r="D137" s="410">
        <v>0</v>
      </c>
      <c r="E137" s="410">
        <v>0</v>
      </c>
      <c r="F137" s="410">
        <v>0</v>
      </c>
      <c r="G137" s="410">
        <v>0</v>
      </c>
      <c r="H137" s="410">
        <v>0</v>
      </c>
      <c r="I137" s="410">
        <v>0</v>
      </c>
      <c r="J137" s="410">
        <v>0</v>
      </c>
      <c r="K137" s="736"/>
      <c r="L137" s="737"/>
    </row>
    <row r="138" spans="1:12" x14ac:dyDescent="0.2">
      <c r="A138" s="724">
        <v>128</v>
      </c>
      <c r="B138" s="430" t="s">
        <v>268</v>
      </c>
      <c r="C138" s="223" t="s">
        <v>269</v>
      </c>
      <c r="D138" s="410">
        <v>0</v>
      </c>
      <c r="E138" s="410">
        <v>0</v>
      </c>
      <c r="F138" s="410">
        <v>0</v>
      </c>
      <c r="G138" s="410">
        <v>0</v>
      </c>
      <c r="H138" s="410">
        <v>0</v>
      </c>
      <c r="I138" s="410">
        <v>0</v>
      </c>
      <c r="J138" s="410">
        <v>0</v>
      </c>
      <c r="K138" s="736"/>
      <c r="L138" s="737"/>
    </row>
    <row r="139" spans="1:12" x14ac:dyDescent="0.2">
      <c r="A139" s="724">
        <v>129</v>
      </c>
      <c r="B139" s="429" t="s">
        <v>270</v>
      </c>
      <c r="C139" s="3" t="s">
        <v>271</v>
      </c>
      <c r="D139" s="410">
        <v>0</v>
      </c>
      <c r="E139" s="410">
        <v>0</v>
      </c>
      <c r="F139" s="410">
        <v>0</v>
      </c>
      <c r="G139" s="410">
        <v>0</v>
      </c>
      <c r="H139" s="410">
        <v>0</v>
      </c>
      <c r="I139" s="410">
        <v>0</v>
      </c>
      <c r="J139" s="410">
        <v>0</v>
      </c>
      <c r="K139" s="736"/>
      <c r="L139" s="737"/>
    </row>
    <row r="140" spans="1:12" x14ac:dyDescent="0.2">
      <c r="A140" s="724">
        <v>130</v>
      </c>
      <c r="B140" s="429" t="s">
        <v>272</v>
      </c>
      <c r="C140" s="3" t="s">
        <v>273</v>
      </c>
      <c r="D140" s="410">
        <v>0</v>
      </c>
      <c r="E140" s="410">
        <v>0</v>
      </c>
      <c r="F140" s="410">
        <v>0</v>
      </c>
      <c r="G140" s="410">
        <v>0</v>
      </c>
      <c r="H140" s="410">
        <v>0</v>
      </c>
      <c r="I140" s="410">
        <v>0</v>
      </c>
      <c r="J140" s="410">
        <v>0</v>
      </c>
      <c r="K140" s="736"/>
      <c r="L140" s="737"/>
    </row>
    <row r="141" spans="1:12" x14ac:dyDescent="0.2">
      <c r="A141" s="724">
        <v>131</v>
      </c>
      <c r="B141" s="429" t="s">
        <v>274</v>
      </c>
      <c r="C141" s="3" t="s">
        <v>275</v>
      </c>
      <c r="D141" s="410">
        <v>0</v>
      </c>
      <c r="E141" s="410">
        <v>0</v>
      </c>
      <c r="F141" s="410">
        <v>0</v>
      </c>
      <c r="G141" s="410">
        <v>0</v>
      </c>
      <c r="H141" s="410">
        <v>0</v>
      </c>
      <c r="I141" s="410">
        <v>0</v>
      </c>
      <c r="J141" s="410">
        <v>0</v>
      </c>
      <c r="K141" s="736"/>
      <c r="L141" s="737"/>
    </row>
    <row r="142" spans="1:12" x14ac:dyDescent="0.2">
      <c r="A142" s="724">
        <v>132</v>
      </c>
      <c r="B142" s="430" t="s">
        <v>276</v>
      </c>
      <c r="C142" s="223" t="s">
        <v>277</v>
      </c>
      <c r="D142" s="410">
        <v>11210</v>
      </c>
      <c r="E142" s="410">
        <v>3022</v>
      </c>
      <c r="F142" s="410">
        <v>3022</v>
      </c>
      <c r="G142" s="410">
        <v>906</v>
      </c>
      <c r="H142" s="410">
        <v>302</v>
      </c>
      <c r="I142" s="410">
        <v>302</v>
      </c>
      <c r="J142" s="410">
        <v>302</v>
      </c>
      <c r="K142" s="736"/>
      <c r="L142" s="737"/>
    </row>
    <row r="143" spans="1:12" x14ac:dyDescent="0.2">
      <c r="A143" s="724">
        <v>133</v>
      </c>
      <c r="B143" s="428" t="s">
        <v>278</v>
      </c>
      <c r="C143" s="223" t="s">
        <v>279</v>
      </c>
      <c r="D143" s="410">
        <v>12461</v>
      </c>
      <c r="E143" s="410">
        <v>4290</v>
      </c>
      <c r="F143" s="410">
        <v>4290</v>
      </c>
      <c r="G143" s="410">
        <v>1095</v>
      </c>
      <c r="H143" s="410">
        <v>429</v>
      </c>
      <c r="I143" s="410">
        <v>429</v>
      </c>
      <c r="J143" s="410">
        <v>429</v>
      </c>
      <c r="K143" s="736"/>
      <c r="L143" s="737"/>
    </row>
    <row r="144" spans="1:12" x14ac:dyDescent="0.2">
      <c r="A144" s="724">
        <v>134</v>
      </c>
      <c r="B144" s="429" t="s">
        <v>280</v>
      </c>
      <c r="C144" s="3" t="s">
        <v>281</v>
      </c>
      <c r="D144" s="410">
        <v>0</v>
      </c>
      <c r="E144" s="410">
        <v>0</v>
      </c>
      <c r="F144" s="410">
        <v>0</v>
      </c>
      <c r="G144" s="410">
        <v>0</v>
      </c>
      <c r="H144" s="410">
        <v>0</v>
      </c>
      <c r="I144" s="410">
        <v>0</v>
      </c>
      <c r="J144" s="410">
        <v>0</v>
      </c>
      <c r="K144" s="736"/>
      <c r="L144" s="737"/>
    </row>
    <row r="145" spans="1:14" x14ac:dyDescent="0.2">
      <c r="A145" s="724">
        <v>135</v>
      </c>
      <c r="B145" s="427" t="s">
        <v>282</v>
      </c>
      <c r="C145" s="25" t="s">
        <v>283</v>
      </c>
      <c r="D145" s="410">
        <v>0</v>
      </c>
      <c r="E145" s="410">
        <v>0</v>
      </c>
      <c r="F145" s="410">
        <v>0</v>
      </c>
      <c r="G145" s="410">
        <v>0</v>
      </c>
      <c r="H145" s="410">
        <v>0</v>
      </c>
      <c r="I145" s="410">
        <v>0</v>
      </c>
      <c r="J145" s="410">
        <v>0</v>
      </c>
      <c r="K145" s="736"/>
      <c r="L145" s="737"/>
    </row>
    <row r="146" spans="1:14" x14ac:dyDescent="0.2">
      <c r="A146" s="724">
        <v>136</v>
      </c>
      <c r="B146" s="429" t="s">
        <v>284</v>
      </c>
      <c r="C146" s="3" t="s">
        <v>285</v>
      </c>
      <c r="D146" s="410">
        <v>0</v>
      </c>
      <c r="E146" s="410">
        <v>0</v>
      </c>
      <c r="F146" s="410">
        <v>0</v>
      </c>
      <c r="G146" s="410">
        <v>0</v>
      </c>
      <c r="H146" s="410">
        <v>0</v>
      </c>
      <c r="I146" s="410">
        <v>0</v>
      </c>
      <c r="J146" s="410">
        <v>0</v>
      </c>
      <c r="K146" s="736"/>
      <c r="L146" s="737"/>
    </row>
    <row r="147" spans="1:14" x14ac:dyDescent="0.2">
      <c r="A147" s="724">
        <v>137</v>
      </c>
      <c r="B147" s="34" t="s">
        <v>387</v>
      </c>
      <c r="C147" s="35" t="s">
        <v>388</v>
      </c>
      <c r="D147" s="410">
        <v>0</v>
      </c>
      <c r="E147" s="410">
        <v>0</v>
      </c>
      <c r="F147" s="410">
        <v>0</v>
      </c>
      <c r="G147" s="410">
        <f>'[14]Углуб.дисп.Пр. 16-23'!G147+'[14]Уточнение Пр.17-23 '!G147</f>
        <v>0</v>
      </c>
      <c r="H147" s="410">
        <v>0</v>
      </c>
      <c r="I147" s="410">
        <v>0</v>
      </c>
      <c r="J147" s="410">
        <v>0</v>
      </c>
      <c r="K147" s="736"/>
      <c r="L147" s="737"/>
    </row>
    <row r="148" spans="1:14" x14ac:dyDescent="0.2">
      <c r="A148" s="724">
        <v>138</v>
      </c>
      <c r="B148" s="36" t="s">
        <v>389</v>
      </c>
      <c r="C148" s="37" t="s">
        <v>390</v>
      </c>
      <c r="D148" s="410">
        <v>0</v>
      </c>
      <c r="E148" s="410">
        <v>0</v>
      </c>
      <c r="F148" s="410">
        <v>0</v>
      </c>
      <c r="G148" s="410">
        <f>'[14]Углуб.дисп.Пр. 16-23'!G148+'[14]Уточнение Пр.17-23 '!G148</f>
        <v>0</v>
      </c>
      <c r="H148" s="410">
        <v>0</v>
      </c>
      <c r="I148" s="410">
        <v>0</v>
      </c>
      <c r="J148" s="410">
        <v>0</v>
      </c>
      <c r="K148" s="736"/>
      <c r="L148" s="737"/>
    </row>
    <row r="149" spans="1:14" x14ac:dyDescent="0.2">
      <c r="A149" s="724">
        <v>139</v>
      </c>
      <c r="B149" s="38" t="s">
        <v>391</v>
      </c>
      <c r="C149" s="39" t="s">
        <v>392</v>
      </c>
      <c r="D149" s="410">
        <v>0</v>
      </c>
      <c r="E149" s="410">
        <v>0</v>
      </c>
      <c r="F149" s="410">
        <v>0</v>
      </c>
      <c r="G149" s="410">
        <f>'[14]Углуб.дисп.Пр. 16-23'!G149+'[14]Уточнение Пр.17-23 '!G149</f>
        <v>0</v>
      </c>
      <c r="H149" s="410">
        <v>0</v>
      </c>
      <c r="I149" s="410">
        <v>0</v>
      </c>
      <c r="J149" s="410">
        <v>0</v>
      </c>
      <c r="K149" s="736"/>
      <c r="L149" s="737"/>
    </row>
    <row r="150" spans="1:14" x14ac:dyDescent="0.2">
      <c r="A150" s="724">
        <v>140</v>
      </c>
      <c r="B150" s="724" t="s">
        <v>393</v>
      </c>
      <c r="C150" s="43" t="s">
        <v>394</v>
      </c>
      <c r="D150" s="410">
        <v>0</v>
      </c>
      <c r="E150" s="410">
        <v>0</v>
      </c>
      <c r="F150" s="410">
        <v>0</v>
      </c>
      <c r="G150" s="410">
        <f>'[14]Углуб.дисп.Пр. 16-23'!G150+'[14]Уточнение Пр.17-23 '!G150</f>
        <v>0</v>
      </c>
      <c r="H150" s="410">
        <v>0</v>
      </c>
      <c r="I150" s="410">
        <v>0</v>
      </c>
      <c r="J150" s="410">
        <v>0</v>
      </c>
      <c r="K150" s="736"/>
      <c r="L150" s="737"/>
    </row>
    <row r="151" spans="1:14" ht="12" customHeight="1" x14ac:dyDescent="0.2"/>
    <row r="153" spans="1:14" ht="48.75" customHeight="1" x14ac:dyDescent="0.2">
      <c r="A153" s="1175" t="s">
        <v>384</v>
      </c>
      <c r="B153" s="1175"/>
      <c r="C153" s="1175"/>
      <c r="D153" s="1175"/>
      <c r="E153" s="1175"/>
      <c r="F153" s="1175"/>
      <c r="G153" s="1175"/>
      <c r="H153" s="1175"/>
      <c r="I153" s="1175"/>
      <c r="J153" s="1175"/>
      <c r="K153" s="437"/>
      <c r="L153" s="437"/>
      <c r="M153" s="437"/>
      <c r="N153" s="437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33"/>
  <sheetViews>
    <sheetView zoomScaleNormal="100" zoomScaleSheetLayoutView="90" workbookViewId="0">
      <selection activeCell="I38" sqref="I38"/>
    </sheetView>
  </sheetViews>
  <sheetFormatPr defaultRowHeight="12.75" x14ac:dyDescent="0.2"/>
  <cols>
    <col min="1" max="1" width="5.28515625" style="842" customWidth="1"/>
    <col min="2" max="2" width="10.42578125" style="843" customWidth="1"/>
    <col min="3" max="3" width="37.28515625" style="844" customWidth="1"/>
    <col min="4" max="4" width="10" style="844" customWidth="1"/>
    <col min="5" max="5" width="18.28515625" style="844" customWidth="1"/>
    <col min="6" max="6" width="13.85546875" style="844" customWidth="1"/>
    <col min="7" max="7" width="9.140625" style="844" customWidth="1"/>
    <col min="8" max="8" width="17.140625" style="844" customWidth="1"/>
    <col min="9" max="9" width="12.42578125" style="844" customWidth="1"/>
    <col min="10" max="10" width="9.5703125" style="844" customWidth="1"/>
    <col min="11" max="11" width="16.85546875" style="844" customWidth="1"/>
    <col min="12" max="12" width="13" style="844" customWidth="1"/>
    <col min="13" max="16384" width="9.140625" style="844"/>
  </cols>
  <sheetData>
    <row r="1" spans="1:16" ht="18.75" x14ac:dyDescent="0.3">
      <c r="C1" s="1197" t="s">
        <v>291</v>
      </c>
      <c r="D1" s="1197"/>
      <c r="E1" s="1197"/>
      <c r="F1" s="1197"/>
      <c r="G1" s="1197"/>
      <c r="H1" s="1197"/>
      <c r="I1" s="1197"/>
      <c r="J1" s="1197"/>
      <c r="K1" s="1197"/>
      <c r="L1" s="1197"/>
    </row>
    <row r="3" spans="1:16" x14ac:dyDescent="0.2">
      <c r="A3" s="1194" t="s">
        <v>0</v>
      </c>
      <c r="B3" s="1194" t="s">
        <v>1</v>
      </c>
      <c r="C3" s="1194" t="s">
        <v>292</v>
      </c>
      <c r="D3" s="1194" t="s">
        <v>337</v>
      </c>
      <c r="E3" s="1194" t="s">
        <v>293</v>
      </c>
      <c r="F3" s="1194"/>
      <c r="G3" s="1198" t="s">
        <v>294</v>
      </c>
      <c r="H3" s="1199"/>
      <c r="I3" s="1199"/>
      <c r="J3" s="1199"/>
      <c r="K3" s="1199"/>
      <c r="L3" s="1200"/>
    </row>
    <row r="4" spans="1:16" ht="12.75" customHeight="1" x14ac:dyDescent="0.2">
      <c r="A4" s="1194"/>
      <c r="B4" s="1194"/>
      <c r="C4" s="1194"/>
      <c r="D4" s="1194"/>
      <c r="E4" s="1194"/>
      <c r="F4" s="1194"/>
      <c r="G4" s="1201" t="s">
        <v>295</v>
      </c>
      <c r="H4" s="1202"/>
      <c r="I4" s="1203"/>
      <c r="J4" s="1201" t="s">
        <v>296</v>
      </c>
      <c r="K4" s="1202"/>
      <c r="L4" s="1203"/>
    </row>
    <row r="5" spans="1:16" ht="12.75" customHeight="1" x14ac:dyDescent="0.2">
      <c r="A5" s="1194"/>
      <c r="B5" s="1194"/>
      <c r="C5" s="1194"/>
      <c r="D5" s="1194"/>
      <c r="E5" s="1194" t="s">
        <v>335</v>
      </c>
      <c r="F5" s="1194" t="s">
        <v>336</v>
      </c>
      <c r="G5" s="1195" t="s">
        <v>338</v>
      </c>
      <c r="H5" s="1194" t="s">
        <v>335</v>
      </c>
      <c r="I5" s="1194" t="s">
        <v>336</v>
      </c>
      <c r="J5" s="1195" t="s">
        <v>338</v>
      </c>
      <c r="K5" s="1194" t="s">
        <v>335</v>
      </c>
      <c r="L5" s="1194" t="s">
        <v>336</v>
      </c>
    </row>
    <row r="6" spans="1:16" ht="39.75" customHeight="1" x14ac:dyDescent="0.2">
      <c r="A6" s="1194"/>
      <c r="B6" s="1194"/>
      <c r="C6" s="1194"/>
      <c r="D6" s="1194"/>
      <c r="E6" s="1194"/>
      <c r="F6" s="1194"/>
      <c r="G6" s="1196"/>
      <c r="H6" s="1194"/>
      <c r="I6" s="1194"/>
      <c r="J6" s="1196"/>
      <c r="K6" s="1194"/>
      <c r="L6" s="1194"/>
    </row>
    <row r="7" spans="1:16" s="848" customFormat="1" ht="11.25" x14ac:dyDescent="0.2">
      <c r="A7" s="845">
        <v>1</v>
      </c>
      <c r="B7" s="846">
        <v>2</v>
      </c>
      <c r="C7" s="847">
        <v>3</v>
      </c>
      <c r="D7" s="845">
        <v>4</v>
      </c>
      <c r="E7" s="845">
        <v>5</v>
      </c>
      <c r="F7" s="845">
        <v>6</v>
      </c>
      <c r="G7" s="845">
        <v>7</v>
      </c>
      <c r="H7" s="845">
        <v>8</v>
      </c>
      <c r="I7" s="845">
        <v>9</v>
      </c>
      <c r="J7" s="845">
        <v>10</v>
      </c>
      <c r="K7" s="845">
        <v>11</v>
      </c>
      <c r="L7" s="845">
        <v>12</v>
      </c>
    </row>
    <row r="8" spans="1:16" s="848" customFormat="1" ht="19.5" customHeight="1" x14ac:dyDescent="0.2">
      <c r="A8" s="1177" t="s">
        <v>308</v>
      </c>
      <c r="B8" s="1177"/>
      <c r="C8" s="1177"/>
      <c r="D8" s="849">
        <f>E8+F8</f>
        <v>234970</v>
      </c>
      <c r="E8" s="849">
        <f>SUM(E9:E28)</f>
        <v>187978</v>
      </c>
      <c r="F8" s="849">
        <f>SUM(F9:F28)</f>
        <v>46992</v>
      </c>
      <c r="G8" s="849">
        <f>H8+I8</f>
        <v>181343</v>
      </c>
      <c r="H8" s="849">
        <f>SUM(H9:H28)</f>
        <v>145075</v>
      </c>
      <c r="I8" s="849">
        <f>SUM(I9:I28)</f>
        <v>36268</v>
      </c>
      <c r="J8" s="849">
        <f>K8+L8</f>
        <v>53627</v>
      </c>
      <c r="K8" s="849">
        <f t="shared" ref="K8:L8" si="0">SUM(K9:K28)</f>
        <v>42903</v>
      </c>
      <c r="L8" s="849">
        <f t="shared" si="0"/>
        <v>10724</v>
      </c>
      <c r="N8" s="850"/>
      <c r="O8" s="850"/>
    </row>
    <row r="9" spans="1:16" x14ac:dyDescent="0.2">
      <c r="A9" s="851">
        <v>1</v>
      </c>
      <c r="B9" s="852" t="s">
        <v>50</v>
      </c>
      <c r="C9" s="853" t="s">
        <v>51</v>
      </c>
      <c r="D9" s="854">
        <f>E9+F9</f>
        <v>14055</v>
      </c>
      <c r="E9" s="854">
        <f>H9+K9</f>
        <v>11233</v>
      </c>
      <c r="F9" s="854">
        <f>I9+L9</f>
        <v>2822</v>
      </c>
      <c r="G9" s="854">
        <f>H9+I9</f>
        <v>10493</v>
      </c>
      <c r="H9" s="854">
        <f>'[15]Центры здоровья Пр.15-23'!H9+'[15]ЦЗ Пр.1-24 уточнение'!H9</f>
        <v>8380</v>
      </c>
      <c r="I9" s="854">
        <f>'[15]Центры здоровья Пр.15-23'!I9+'[15]ЦЗ Пр.1-24 уточнение'!I9</f>
        <v>2113</v>
      </c>
      <c r="J9" s="854">
        <f>K9+L9</f>
        <v>3562</v>
      </c>
      <c r="K9" s="854">
        <f>'[15]Центры здоровья Пр.15-23'!K9+'[15]ЦЗ Пр.1-24 уточнение'!K9</f>
        <v>2853</v>
      </c>
      <c r="L9" s="854">
        <f>'[15]Центры здоровья Пр.15-23'!L9+'[15]ЦЗ Пр.1-24 уточнение'!L9</f>
        <v>709</v>
      </c>
      <c r="M9" s="855"/>
      <c r="N9" s="850"/>
      <c r="O9" s="850"/>
      <c r="P9" s="855"/>
    </row>
    <row r="10" spans="1:16" x14ac:dyDescent="0.2">
      <c r="A10" s="851">
        <v>2</v>
      </c>
      <c r="B10" s="852" t="s">
        <v>20</v>
      </c>
      <c r="C10" s="853" t="s">
        <v>21</v>
      </c>
      <c r="D10" s="854">
        <f t="shared" ref="D10:D27" si="1">E10+F10</f>
        <v>9344</v>
      </c>
      <c r="E10" s="854">
        <f t="shared" ref="E10:F27" si="2">H10+K10</f>
        <v>7433</v>
      </c>
      <c r="F10" s="854">
        <f t="shared" si="2"/>
        <v>1911</v>
      </c>
      <c r="G10" s="854">
        <f t="shared" ref="G10:G28" si="3">H10+I10</f>
        <v>7308</v>
      </c>
      <c r="H10" s="854">
        <f>'[15]Центры здоровья Пр.15-23'!H10+'[15]ЦЗ Пр.1-24 уточнение'!H10</f>
        <v>5804</v>
      </c>
      <c r="I10" s="854">
        <f>'[15]Центры здоровья Пр.15-23'!I10+'[15]ЦЗ Пр.1-24 уточнение'!I10</f>
        <v>1504</v>
      </c>
      <c r="J10" s="854">
        <f t="shared" ref="J10:J28" si="4">K10+L10</f>
        <v>2036</v>
      </c>
      <c r="K10" s="854">
        <f>'[15]Центры здоровья Пр.15-23'!K10+'[15]ЦЗ Пр.1-24 уточнение'!K10</f>
        <v>1629</v>
      </c>
      <c r="L10" s="854">
        <f>'[15]Центры здоровья Пр.15-23'!L10+'[15]ЦЗ Пр.1-24 уточнение'!L10</f>
        <v>407</v>
      </c>
      <c r="M10" s="855"/>
      <c r="N10" s="850"/>
      <c r="O10" s="850"/>
      <c r="P10" s="855"/>
    </row>
    <row r="11" spans="1:16" x14ac:dyDescent="0.2">
      <c r="A11" s="851">
        <v>3</v>
      </c>
      <c r="B11" s="852" t="s">
        <v>77</v>
      </c>
      <c r="C11" s="853" t="s">
        <v>78</v>
      </c>
      <c r="D11" s="854">
        <f t="shared" si="1"/>
        <v>8834</v>
      </c>
      <c r="E11" s="854">
        <f t="shared" si="2"/>
        <v>7233</v>
      </c>
      <c r="F11" s="854">
        <f t="shared" si="2"/>
        <v>1601</v>
      </c>
      <c r="G11" s="854">
        <f t="shared" si="3"/>
        <v>6264</v>
      </c>
      <c r="H11" s="854">
        <f>'[15]Центры здоровья Пр.15-23'!H11+'[15]ЦЗ Пр.1-24 уточнение'!H11</f>
        <v>5011</v>
      </c>
      <c r="I11" s="854">
        <f>'[15]Центры здоровья Пр.15-23'!I11+'[15]ЦЗ Пр.1-24 уточнение'!I11</f>
        <v>1253</v>
      </c>
      <c r="J11" s="854">
        <f t="shared" si="4"/>
        <v>2570</v>
      </c>
      <c r="K11" s="854">
        <f>'[15]Центры здоровья Пр.15-23'!K11+'[15]ЦЗ Пр.1-24 уточнение'!K11</f>
        <v>2222</v>
      </c>
      <c r="L11" s="854">
        <f>'[15]Центры здоровья Пр.15-23'!L11+'[15]ЦЗ Пр.1-24 уточнение'!L11</f>
        <v>348</v>
      </c>
      <c r="M11" s="855"/>
      <c r="N11" s="850"/>
      <c r="O11" s="850"/>
      <c r="P11" s="855"/>
    </row>
    <row r="12" spans="1:16" x14ac:dyDescent="0.2">
      <c r="A12" s="851">
        <v>4</v>
      </c>
      <c r="B12" s="852" t="s">
        <v>207</v>
      </c>
      <c r="C12" s="853" t="s">
        <v>208</v>
      </c>
      <c r="D12" s="854">
        <f t="shared" si="1"/>
        <v>6069</v>
      </c>
      <c r="E12" s="854">
        <f t="shared" si="2"/>
        <v>4855</v>
      </c>
      <c r="F12" s="854">
        <f t="shared" si="2"/>
        <v>1214</v>
      </c>
      <c r="G12" s="854">
        <f t="shared" si="3"/>
        <v>4557</v>
      </c>
      <c r="H12" s="854">
        <f>'[15]Центры здоровья Пр.15-23'!H12+'[15]ЦЗ Пр.1-24 уточнение'!H12</f>
        <v>3645</v>
      </c>
      <c r="I12" s="854">
        <f>'[15]Центры здоровья Пр.15-23'!I12+'[15]ЦЗ Пр.1-24 уточнение'!I12</f>
        <v>912</v>
      </c>
      <c r="J12" s="854">
        <f t="shared" si="4"/>
        <v>1512</v>
      </c>
      <c r="K12" s="854">
        <f>'[15]Центры здоровья Пр.15-23'!K12+'[15]ЦЗ Пр.1-24 уточнение'!K12</f>
        <v>1210</v>
      </c>
      <c r="L12" s="854">
        <f>'[15]Центры здоровья Пр.15-23'!L12+'[15]ЦЗ Пр.1-24 уточнение'!L12</f>
        <v>302</v>
      </c>
      <c r="M12" s="855"/>
      <c r="N12" s="850"/>
      <c r="O12" s="850"/>
      <c r="P12" s="855"/>
    </row>
    <row r="13" spans="1:16" x14ac:dyDescent="0.2">
      <c r="A13" s="851">
        <v>5</v>
      </c>
      <c r="B13" s="852" t="s">
        <v>26</v>
      </c>
      <c r="C13" s="853" t="s">
        <v>27</v>
      </c>
      <c r="D13" s="854">
        <f t="shared" si="1"/>
        <v>16157</v>
      </c>
      <c r="E13" s="854">
        <f t="shared" si="2"/>
        <v>12883</v>
      </c>
      <c r="F13" s="854">
        <f t="shared" si="2"/>
        <v>3274</v>
      </c>
      <c r="G13" s="854">
        <f t="shared" si="3"/>
        <v>12432</v>
      </c>
      <c r="H13" s="854">
        <f>'[15]Центры здоровья Пр.15-23'!H13+'[15]ЦЗ Пр.1-24 уточнение'!H13</f>
        <v>9902</v>
      </c>
      <c r="I13" s="854">
        <f>'[15]Центры здоровья Пр.15-23'!I13+'[15]ЦЗ Пр.1-24 уточнение'!I13</f>
        <v>2530</v>
      </c>
      <c r="J13" s="854">
        <f t="shared" si="4"/>
        <v>3725</v>
      </c>
      <c r="K13" s="854">
        <f>'[15]Центры здоровья Пр.15-23'!K13+'[15]ЦЗ Пр.1-24 уточнение'!K13</f>
        <v>2981</v>
      </c>
      <c r="L13" s="854">
        <f>'[15]Центры здоровья Пр.15-23'!L13+'[15]ЦЗ Пр.1-24 уточнение'!L13</f>
        <v>744</v>
      </c>
      <c r="M13" s="855"/>
      <c r="N13" s="850"/>
      <c r="O13" s="850"/>
      <c r="P13" s="855"/>
    </row>
    <row r="14" spans="1:16" x14ac:dyDescent="0.2">
      <c r="A14" s="851">
        <v>6</v>
      </c>
      <c r="B14" s="852" t="s">
        <v>58</v>
      </c>
      <c r="C14" s="853" t="s">
        <v>59</v>
      </c>
      <c r="D14" s="854">
        <f t="shared" si="1"/>
        <v>9166</v>
      </c>
      <c r="E14" s="854">
        <f t="shared" si="2"/>
        <v>7332</v>
      </c>
      <c r="F14" s="854">
        <f t="shared" si="2"/>
        <v>1834</v>
      </c>
      <c r="G14" s="854">
        <f t="shared" si="3"/>
        <v>6773</v>
      </c>
      <c r="H14" s="854">
        <f>'[15]Центры здоровья Пр.15-23'!H14+'[15]ЦЗ Пр.1-24 уточнение'!H14</f>
        <v>5418</v>
      </c>
      <c r="I14" s="854">
        <f>'[15]Центры здоровья Пр.15-23'!I14+'[15]ЦЗ Пр.1-24 уточнение'!I14</f>
        <v>1355</v>
      </c>
      <c r="J14" s="854">
        <f t="shared" si="4"/>
        <v>2393</v>
      </c>
      <c r="K14" s="854">
        <f>'[15]Центры здоровья Пр.15-23'!K14+'[15]ЦЗ Пр.1-24 уточнение'!K14</f>
        <v>1914</v>
      </c>
      <c r="L14" s="854">
        <f>'[15]Центры здоровья Пр.15-23'!L14+'[15]ЦЗ Пр.1-24 уточнение'!L14</f>
        <v>479</v>
      </c>
      <c r="M14" s="855"/>
      <c r="N14" s="850"/>
      <c r="O14" s="850"/>
      <c r="P14" s="855"/>
    </row>
    <row r="15" spans="1:16" x14ac:dyDescent="0.2">
      <c r="A15" s="851">
        <v>7</v>
      </c>
      <c r="B15" s="852" t="s">
        <v>66</v>
      </c>
      <c r="C15" s="853" t="s">
        <v>298</v>
      </c>
      <c r="D15" s="854">
        <f t="shared" si="1"/>
        <v>20642</v>
      </c>
      <c r="E15" s="854">
        <f t="shared" si="2"/>
        <v>16599</v>
      </c>
      <c r="F15" s="854">
        <f t="shared" si="2"/>
        <v>4043</v>
      </c>
      <c r="G15" s="854">
        <f t="shared" si="3"/>
        <v>20642</v>
      </c>
      <c r="H15" s="854">
        <f>'[15]Центры здоровья Пр.15-23'!H15+'[15]ЦЗ Пр.1-24 уточнение'!H15</f>
        <v>16599</v>
      </c>
      <c r="I15" s="854">
        <f>'[15]Центры здоровья Пр.15-23'!I15+'[15]ЦЗ Пр.1-24 уточнение'!I15</f>
        <v>4043</v>
      </c>
      <c r="J15" s="854">
        <f t="shared" si="4"/>
        <v>0</v>
      </c>
      <c r="K15" s="854">
        <f>'[15]Центры здоровья Пр.15-23'!K15+'[15]ЦЗ Пр.1-24 уточнение'!K15</f>
        <v>0</v>
      </c>
      <c r="L15" s="854">
        <f>'[15]Центры здоровья Пр.15-23'!L15+'[15]ЦЗ Пр.1-24 уточнение'!L15</f>
        <v>0</v>
      </c>
      <c r="M15" s="855"/>
      <c r="N15" s="850"/>
      <c r="O15" s="850"/>
      <c r="P15" s="855"/>
    </row>
    <row r="16" spans="1:16" x14ac:dyDescent="0.2">
      <c r="A16" s="851">
        <v>8</v>
      </c>
      <c r="B16" s="852" t="s">
        <v>99</v>
      </c>
      <c r="C16" s="853" t="s">
        <v>100</v>
      </c>
      <c r="D16" s="854">
        <f>E16+F16</f>
        <v>20419</v>
      </c>
      <c r="E16" s="854">
        <f t="shared" si="2"/>
        <v>16377</v>
      </c>
      <c r="F16" s="854">
        <f t="shared" si="2"/>
        <v>4042</v>
      </c>
      <c r="G16" s="854">
        <f t="shared" si="3"/>
        <v>19154</v>
      </c>
      <c r="H16" s="854">
        <f>'[15]Центры здоровья Пр.15-23'!H16+'[15]ЦЗ Пр.1-24 уточнение'!H16</f>
        <v>15415</v>
      </c>
      <c r="I16" s="854">
        <f>'[15]Центры здоровья Пр.15-23'!I16+'[15]ЦЗ Пр.1-24 уточнение'!I16</f>
        <v>3739</v>
      </c>
      <c r="J16" s="854">
        <f t="shared" si="4"/>
        <v>1265</v>
      </c>
      <c r="K16" s="854">
        <f>'[15]Центры здоровья Пр.15-23'!K16+'[15]ЦЗ Пр.1-24 уточнение'!K16</f>
        <v>962</v>
      </c>
      <c r="L16" s="854">
        <f>'[15]Центры здоровья Пр.15-23'!L16+'[15]ЦЗ Пр.1-24 уточнение'!L16</f>
        <v>303</v>
      </c>
      <c r="M16" s="855"/>
      <c r="N16" s="850"/>
      <c r="O16" s="850"/>
      <c r="P16" s="855"/>
    </row>
    <row r="17" spans="1:16" x14ac:dyDescent="0.2">
      <c r="A17" s="851">
        <v>9</v>
      </c>
      <c r="B17" s="852" t="s">
        <v>272</v>
      </c>
      <c r="C17" s="853" t="s">
        <v>273</v>
      </c>
      <c r="D17" s="854">
        <f t="shared" si="1"/>
        <v>12487</v>
      </c>
      <c r="E17" s="854">
        <f t="shared" si="2"/>
        <v>10148</v>
      </c>
      <c r="F17" s="854">
        <f t="shared" si="2"/>
        <v>2339</v>
      </c>
      <c r="G17" s="854">
        <f t="shared" si="3"/>
        <v>11103</v>
      </c>
      <c r="H17" s="854">
        <f>'[15]Центры здоровья Пр.15-23'!H17+'[15]ЦЗ Пр.1-24 уточнение'!H17</f>
        <v>9041</v>
      </c>
      <c r="I17" s="854">
        <f>'[15]Центры здоровья Пр.15-23'!I17+'[15]ЦЗ Пр.1-24 уточнение'!I17</f>
        <v>2062</v>
      </c>
      <c r="J17" s="854">
        <f t="shared" si="4"/>
        <v>1384</v>
      </c>
      <c r="K17" s="854">
        <f>'[15]Центры здоровья Пр.15-23'!K17+'[15]ЦЗ Пр.1-24 уточнение'!K17</f>
        <v>1107</v>
      </c>
      <c r="L17" s="854">
        <f>'[15]Центры здоровья Пр.15-23'!L17+'[15]ЦЗ Пр.1-24 уточнение'!L17</f>
        <v>277</v>
      </c>
      <c r="M17" s="855"/>
      <c r="N17" s="850"/>
      <c r="O17" s="850"/>
      <c r="P17" s="855"/>
    </row>
    <row r="18" spans="1:16" x14ac:dyDescent="0.2">
      <c r="A18" s="851">
        <v>10</v>
      </c>
      <c r="B18" s="852" t="s">
        <v>70</v>
      </c>
      <c r="C18" s="853" t="s">
        <v>71</v>
      </c>
      <c r="D18" s="854">
        <f t="shared" si="1"/>
        <v>6060</v>
      </c>
      <c r="E18" s="854">
        <f t="shared" si="2"/>
        <v>4846</v>
      </c>
      <c r="F18" s="854">
        <f t="shared" si="2"/>
        <v>1214</v>
      </c>
      <c r="G18" s="854">
        <f t="shared" si="3"/>
        <v>0</v>
      </c>
      <c r="H18" s="854">
        <f>'[15]Центры здоровья Пр.15-23'!H18+'[15]ЦЗ Пр.1-24 уточнение'!H18</f>
        <v>0</v>
      </c>
      <c r="I18" s="854">
        <f>'[15]Центры здоровья Пр.15-23'!I18+'[15]ЦЗ Пр.1-24 уточнение'!I18</f>
        <v>0</v>
      </c>
      <c r="J18" s="854">
        <f t="shared" si="4"/>
        <v>6060</v>
      </c>
      <c r="K18" s="854">
        <f>'[15]Центры здоровья Пр.15-23'!K18+'[15]ЦЗ Пр.1-24 уточнение'!K18</f>
        <v>4846</v>
      </c>
      <c r="L18" s="854">
        <f>'[15]Центры здоровья Пр.15-23'!L18+'[15]ЦЗ Пр.1-24 уточнение'!L18</f>
        <v>1214</v>
      </c>
      <c r="M18" s="855"/>
      <c r="N18" s="850"/>
      <c r="O18" s="850"/>
      <c r="P18" s="855"/>
    </row>
    <row r="19" spans="1:16" x14ac:dyDescent="0.2">
      <c r="A19" s="851">
        <v>11</v>
      </c>
      <c r="B19" s="852" t="s">
        <v>28</v>
      </c>
      <c r="C19" s="853" t="s">
        <v>29</v>
      </c>
      <c r="D19" s="854">
        <f t="shared" si="1"/>
        <v>8486</v>
      </c>
      <c r="E19" s="854">
        <f t="shared" si="2"/>
        <v>6830</v>
      </c>
      <c r="F19" s="854">
        <f t="shared" si="2"/>
        <v>1656</v>
      </c>
      <c r="G19" s="854">
        <f t="shared" si="3"/>
        <v>6737</v>
      </c>
      <c r="H19" s="854">
        <f>'[15]Центры здоровья Пр.15-23'!H19+'[15]ЦЗ Пр.1-24 уточнение'!H19</f>
        <v>5451</v>
      </c>
      <c r="I19" s="854">
        <f>'[15]Центры здоровья Пр.15-23'!I19+'[15]ЦЗ Пр.1-24 уточнение'!I19</f>
        <v>1286</v>
      </c>
      <c r="J19" s="854">
        <f t="shared" si="4"/>
        <v>1749</v>
      </c>
      <c r="K19" s="854">
        <f>'[15]Центры здоровья Пр.15-23'!K19+'[15]ЦЗ Пр.1-24 уточнение'!K19</f>
        <v>1379</v>
      </c>
      <c r="L19" s="854">
        <f>'[15]Центры здоровья Пр.15-23'!L19+'[15]ЦЗ Пр.1-24 уточнение'!L19</f>
        <v>370</v>
      </c>
      <c r="M19" s="855"/>
      <c r="N19" s="850"/>
      <c r="O19" s="850"/>
      <c r="P19" s="855"/>
    </row>
    <row r="20" spans="1:16" x14ac:dyDescent="0.2">
      <c r="A20" s="851">
        <v>12</v>
      </c>
      <c r="B20" s="852" t="s">
        <v>83</v>
      </c>
      <c r="C20" s="853" t="s">
        <v>84</v>
      </c>
      <c r="D20" s="854">
        <f t="shared" si="1"/>
        <v>4065</v>
      </c>
      <c r="E20" s="854">
        <f t="shared" si="2"/>
        <v>3210</v>
      </c>
      <c r="F20" s="854">
        <f t="shared" si="2"/>
        <v>855</v>
      </c>
      <c r="G20" s="854">
        <f t="shared" si="3"/>
        <v>3140</v>
      </c>
      <c r="H20" s="854">
        <f>'[15]Центры здоровья Пр.15-23'!H20+'[15]ЦЗ Пр.1-24 уточнение'!H20</f>
        <v>2480</v>
      </c>
      <c r="I20" s="854">
        <f>'[15]Центры здоровья Пр.15-23'!I20+'[15]ЦЗ Пр.1-24 уточнение'!I20</f>
        <v>660</v>
      </c>
      <c r="J20" s="854">
        <f t="shared" si="4"/>
        <v>925</v>
      </c>
      <c r="K20" s="854">
        <f>'[15]Центры здоровья Пр.15-23'!K20+'[15]ЦЗ Пр.1-24 уточнение'!K20</f>
        <v>730</v>
      </c>
      <c r="L20" s="854">
        <f>'[15]Центры здоровья Пр.15-23'!L20+'[15]ЦЗ Пр.1-24 уточнение'!L20</f>
        <v>195</v>
      </c>
      <c r="M20" s="855"/>
      <c r="N20" s="850"/>
      <c r="O20" s="850"/>
      <c r="P20" s="855"/>
    </row>
    <row r="21" spans="1:16" x14ac:dyDescent="0.2">
      <c r="A21" s="851">
        <v>13</v>
      </c>
      <c r="B21" s="852" t="s">
        <v>79</v>
      </c>
      <c r="C21" s="853" t="s">
        <v>80</v>
      </c>
      <c r="D21" s="854">
        <f t="shared" si="1"/>
        <v>13823</v>
      </c>
      <c r="E21" s="854">
        <f t="shared" si="2"/>
        <v>11052</v>
      </c>
      <c r="F21" s="854">
        <f t="shared" si="2"/>
        <v>2771</v>
      </c>
      <c r="G21" s="854">
        <f t="shared" si="3"/>
        <v>10921</v>
      </c>
      <c r="H21" s="854">
        <f>'[15]Центры здоровья Пр.15-23'!H21+'[15]ЦЗ Пр.1-24 уточнение'!H21</f>
        <v>8730</v>
      </c>
      <c r="I21" s="854">
        <f>'[15]Центры здоровья Пр.15-23'!I21+'[15]ЦЗ Пр.1-24 уточнение'!I21</f>
        <v>2191</v>
      </c>
      <c r="J21" s="854">
        <f t="shared" si="4"/>
        <v>2902</v>
      </c>
      <c r="K21" s="854">
        <f>'[15]Центры здоровья Пр.15-23'!K21+'[15]ЦЗ Пр.1-24 уточнение'!K21</f>
        <v>2322</v>
      </c>
      <c r="L21" s="854">
        <f>'[15]Центры здоровья Пр.15-23'!L21+'[15]ЦЗ Пр.1-24 уточнение'!L21</f>
        <v>580</v>
      </c>
      <c r="M21" s="855"/>
      <c r="N21" s="850"/>
      <c r="O21" s="850"/>
      <c r="P21" s="855"/>
    </row>
    <row r="22" spans="1:16" x14ac:dyDescent="0.2">
      <c r="A22" s="851">
        <v>14</v>
      </c>
      <c r="B22" s="852" t="s">
        <v>117</v>
      </c>
      <c r="C22" s="853" t="s">
        <v>118</v>
      </c>
      <c r="D22" s="854">
        <f t="shared" si="1"/>
        <v>3067</v>
      </c>
      <c r="E22" s="854">
        <f t="shared" si="2"/>
        <v>2454</v>
      </c>
      <c r="F22" s="854">
        <f t="shared" si="2"/>
        <v>613</v>
      </c>
      <c r="G22" s="854">
        <f t="shared" si="3"/>
        <v>0</v>
      </c>
      <c r="H22" s="854">
        <f>'[15]Центры здоровья Пр.15-23'!H22+'[15]ЦЗ Пр.1-24 уточнение'!H22</f>
        <v>0</v>
      </c>
      <c r="I22" s="854">
        <f>'[15]Центры здоровья Пр.15-23'!I22+'[15]ЦЗ Пр.1-24 уточнение'!I22</f>
        <v>0</v>
      </c>
      <c r="J22" s="854">
        <f t="shared" si="4"/>
        <v>3067</v>
      </c>
      <c r="K22" s="854">
        <f>'[15]Центры здоровья Пр.15-23'!K22+'[15]ЦЗ Пр.1-24 уточнение'!K22</f>
        <v>2454</v>
      </c>
      <c r="L22" s="854">
        <f>'[15]Центры здоровья Пр.15-23'!L22+'[15]ЦЗ Пр.1-24 уточнение'!L22</f>
        <v>613</v>
      </c>
      <c r="M22" s="855"/>
      <c r="N22" s="850"/>
      <c r="O22" s="850"/>
      <c r="P22" s="855"/>
    </row>
    <row r="23" spans="1:16" x14ac:dyDescent="0.2">
      <c r="A23" s="851">
        <v>15</v>
      </c>
      <c r="B23" s="852" t="s">
        <v>133</v>
      </c>
      <c r="C23" s="853" t="s">
        <v>299</v>
      </c>
      <c r="D23" s="854">
        <f t="shared" si="1"/>
        <v>9433</v>
      </c>
      <c r="E23" s="854">
        <f>H23+K23</f>
        <v>7546</v>
      </c>
      <c r="F23" s="854">
        <f t="shared" si="2"/>
        <v>1887</v>
      </c>
      <c r="G23" s="854">
        <f t="shared" si="3"/>
        <v>0</v>
      </c>
      <c r="H23" s="854">
        <f>'[15]Центры здоровья Пр.15-23'!H23+'[15]ЦЗ Пр.1-24 уточнение'!H23</f>
        <v>0</v>
      </c>
      <c r="I23" s="854">
        <f>'[15]Центры здоровья Пр.15-23'!I23+'[15]ЦЗ Пр.1-24 уточнение'!I23</f>
        <v>0</v>
      </c>
      <c r="J23" s="854">
        <f t="shared" si="4"/>
        <v>9433</v>
      </c>
      <c r="K23" s="854">
        <f>'[15]Центры здоровья Пр.15-23'!K23+'[15]ЦЗ Пр.1-24 уточнение'!K23</f>
        <v>7546</v>
      </c>
      <c r="L23" s="854">
        <f>'[15]Центры здоровья Пр.15-23'!L23+'[15]ЦЗ Пр.1-24 уточнение'!L23</f>
        <v>1887</v>
      </c>
      <c r="M23" s="855"/>
      <c r="N23" s="850"/>
      <c r="O23" s="850"/>
      <c r="P23" s="855"/>
    </row>
    <row r="24" spans="1:16" x14ac:dyDescent="0.2">
      <c r="A24" s="851">
        <v>16</v>
      </c>
      <c r="B24" s="852" t="s">
        <v>143</v>
      </c>
      <c r="C24" s="853" t="s">
        <v>144</v>
      </c>
      <c r="D24" s="854">
        <f t="shared" si="1"/>
        <v>10498</v>
      </c>
      <c r="E24" s="854">
        <f t="shared" si="2"/>
        <v>8290</v>
      </c>
      <c r="F24" s="854">
        <f t="shared" si="2"/>
        <v>2208</v>
      </c>
      <c r="G24" s="854">
        <f t="shared" si="3"/>
        <v>10498</v>
      </c>
      <c r="H24" s="854">
        <f>'[15]Центры здоровья Пр.15-23'!H24+'[15]ЦЗ Пр.1-24 уточнение'!H24</f>
        <v>8290</v>
      </c>
      <c r="I24" s="854">
        <f>'[15]Центры здоровья Пр.15-23'!I24+'[15]ЦЗ Пр.1-24 уточнение'!I24</f>
        <v>2208</v>
      </c>
      <c r="J24" s="854">
        <f t="shared" si="4"/>
        <v>0</v>
      </c>
      <c r="K24" s="854">
        <f>'[15]Центры здоровья Пр.15-23'!K24+'[15]ЦЗ Пр.1-24 уточнение'!K24</f>
        <v>0</v>
      </c>
      <c r="L24" s="854">
        <f>'[15]Центры здоровья Пр.15-23'!L24+'[15]ЦЗ Пр.1-24 уточнение'!L24</f>
        <v>0</v>
      </c>
      <c r="M24" s="855"/>
      <c r="N24" s="850"/>
      <c r="O24" s="850"/>
      <c r="P24" s="855"/>
    </row>
    <row r="25" spans="1:16" x14ac:dyDescent="0.2">
      <c r="A25" s="851">
        <v>17</v>
      </c>
      <c r="B25" s="852" t="s">
        <v>161</v>
      </c>
      <c r="C25" s="853" t="s">
        <v>300</v>
      </c>
      <c r="D25" s="854">
        <f t="shared" si="1"/>
        <v>8716</v>
      </c>
      <c r="E25" s="854">
        <f t="shared" si="2"/>
        <v>6852</v>
      </c>
      <c r="F25" s="854">
        <f t="shared" si="2"/>
        <v>1864</v>
      </c>
      <c r="G25" s="854">
        <f t="shared" si="3"/>
        <v>6611</v>
      </c>
      <c r="H25" s="854">
        <f>'[15]Центры здоровья Пр.15-23'!H25+'[15]ЦЗ Пр.1-24 уточнение'!H25</f>
        <v>5168</v>
      </c>
      <c r="I25" s="854">
        <f>'[15]Центры здоровья Пр.15-23'!I25+'[15]ЦЗ Пр.1-24 уточнение'!I25</f>
        <v>1443</v>
      </c>
      <c r="J25" s="854">
        <f t="shared" si="4"/>
        <v>2105</v>
      </c>
      <c r="K25" s="854">
        <f>'[15]Центры здоровья Пр.15-23'!K25+'[15]ЦЗ Пр.1-24 уточнение'!K25</f>
        <v>1684</v>
      </c>
      <c r="L25" s="854">
        <f>'[15]Центры здоровья Пр.15-23'!L25+'[15]ЦЗ Пр.1-24 уточнение'!L25</f>
        <v>421</v>
      </c>
      <c r="M25" s="855"/>
      <c r="N25" s="850"/>
      <c r="O25" s="850"/>
      <c r="P25" s="855"/>
    </row>
    <row r="26" spans="1:16" x14ac:dyDescent="0.2">
      <c r="A26" s="851">
        <v>18</v>
      </c>
      <c r="B26" s="852" t="s">
        <v>165</v>
      </c>
      <c r="C26" s="853" t="s">
        <v>166</v>
      </c>
      <c r="D26" s="854">
        <f t="shared" si="1"/>
        <v>9760</v>
      </c>
      <c r="E26" s="854">
        <f t="shared" si="2"/>
        <v>7693</v>
      </c>
      <c r="F26" s="854">
        <f t="shared" si="2"/>
        <v>2067</v>
      </c>
      <c r="G26" s="854">
        <f t="shared" si="3"/>
        <v>6928</v>
      </c>
      <c r="H26" s="854">
        <f>'[15]Центры здоровья Пр.15-23'!H26+'[15]ЦЗ Пр.1-24 уточнение'!H26</f>
        <v>5515</v>
      </c>
      <c r="I26" s="854">
        <f>'[15]Центры здоровья Пр.15-23'!I26+'[15]ЦЗ Пр.1-24 уточнение'!I26</f>
        <v>1413</v>
      </c>
      <c r="J26" s="854">
        <f t="shared" si="4"/>
        <v>2832</v>
      </c>
      <c r="K26" s="854">
        <f>'[15]Центры здоровья Пр.15-23'!K26+'[15]ЦЗ Пр.1-24 уточнение'!K26</f>
        <v>2178</v>
      </c>
      <c r="L26" s="854">
        <f>'[15]Центры здоровья Пр.15-23'!L26+'[15]ЦЗ Пр.1-24 уточнение'!L26</f>
        <v>654</v>
      </c>
      <c r="M26" s="855"/>
      <c r="N26" s="850"/>
      <c r="O26" s="850"/>
      <c r="P26" s="855"/>
    </row>
    <row r="27" spans="1:16" x14ac:dyDescent="0.2">
      <c r="A27" s="851">
        <v>19</v>
      </c>
      <c r="B27" s="852" t="s">
        <v>171</v>
      </c>
      <c r="C27" s="853" t="s">
        <v>172</v>
      </c>
      <c r="D27" s="854">
        <f t="shared" si="1"/>
        <v>6107</v>
      </c>
      <c r="E27" s="854">
        <f t="shared" si="2"/>
        <v>4886</v>
      </c>
      <c r="F27" s="854">
        <f t="shared" si="2"/>
        <v>1221</v>
      </c>
      <c r="G27" s="854">
        <f t="shared" si="3"/>
        <v>0</v>
      </c>
      <c r="H27" s="854">
        <f>'[15]Центры здоровья Пр.15-23'!H27+'[15]ЦЗ Пр.1-24 уточнение'!H27</f>
        <v>0</v>
      </c>
      <c r="I27" s="854">
        <f>'[15]Центры здоровья Пр.15-23'!I27+'[15]ЦЗ Пр.1-24 уточнение'!I27</f>
        <v>0</v>
      </c>
      <c r="J27" s="854">
        <f t="shared" si="4"/>
        <v>6107</v>
      </c>
      <c r="K27" s="854">
        <f>'[15]Центры здоровья Пр.15-23'!K27+'[15]ЦЗ Пр.1-24 уточнение'!K27</f>
        <v>4886</v>
      </c>
      <c r="L27" s="854">
        <f>'[15]Центры здоровья Пр.15-23'!L27+'[15]ЦЗ Пр.1-24 уточнение'!L27</f>
        <v>1221</v>
      </c>
      <c r="M27" s="855"/>
      <c r="N27" s="850"/>
      <c r="O27" s="850"/>
      <c r="P27" s="855"/>
    </row>
    <row r="28" spans="1:16" x14ac:dyDescent="0.2">
      <c r="A28" s="851">
        <v>20</v>
      </c>
      <c r="B28" s="852" t="s">
        <v>173</v>
      </c>
      <c r="C28" s="853" t="s">
        <v>301</v>
      </c>
      <c r="D28" s="854">
        <f>E28+F28</f>
        <v>37782</v>
      </c>
      <c r="E28" s="854">
        <f>H28+K28</f>
        <v>30226</v>
      </c>
      <c r="F28" s="854">
        <f>I28+L28</f>
        <v>7556</v>
      </c>
      <c r="G28" s="854">
        <f t="shared" si="3"/>
        <v>37782</v>
      </c>
      <c r="H28" s="854">
        <f>'[15]Центры здоровья Пр.15-23'!H28+'[15]ЦЗ Пр.1-24 уточнение'!H28</f>
        <v>30226</v>
      </c>
      <c r="I28" s="854">
        <f>'[15]Центры здоровья Пр.15-23'!I28+'[15]ЦЗ Пр.1-24 уточнение'!I28</f>
        <v>7556</v>
      </c>
      <c r="J28" s="854">
        <f t="shared" si="4"/>
        <v>0</v>
      </c>
      <c r="K28" s="854">
        <f>'[15]Центры здоровья Пр.15-23'!K28+'[15]ЦЗ Пр.1-24 уточнение'!K28</f>
        <v>0</v>
      </c>
      <c r="L28" s="854">
        <f>'[15]Центры здоровья Пр.15-23'!L28+'[15]ЦЗ Пр.1-24 уточнение'!L28</f>
        <v>0</v>
      </c>
      <c r="M28" s="855"/>
      <c r="N28" s="850"/>
      <c r="O28" s="850"/>
      <c r="P28" s="855"/>
    </row>
    <row r="31" spans="1:16" x14ac:dyDescent="0.2">
      <c r="D31" s="855"/>
      <c r="E31" s="855"/>
      <c r="F31" s="855"/>
      <c r="G31" s="855"/>
      <c r="H31" s="855"/>
      <c r="I31" s="855"/>
      <c r="J31" s="855"/>
      <c r="K31" s="855"/>
      <c r="L31" s="855"/>
    </row>
    <row r="33" spans="4:12" x14ac:dyDescent="0.2">
      <c r="D33" s="855"/>
      <c r="E33" s="855"/>
      <c r="F33" s="855"/>
      <c r="G33" s="855"/>
      <c r="H33" s="855"/>
      <c r="I33" s="855"/>
      <c r="J33" s="855"/>
      <c r="K33" s="855"/>
      <c r="L33" s="855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8"/>
  <sheetViews>
    <sheetView workbookViewId="0">
      <selection activeCell="E28" sqref="E28"/>
    </sheetView>
  </sheetViews>
  <sheetFormatPr defaultRowHeight="12.75" x14ac:dyDescent="0.2"/>
  <cols>
    <col min="1" max="1" width="6.5703125" style="4" customWidth="1"/>
    <col min="2" max="2" width="11.85546875" style="4" customWidth="1"/>
    <col min="3" max="3" width="42.85546875" style="4" customWidth="1"/>
    <col min="4" max="4" width="40.7109375" style="4" customWidth="1"/>
    <col min="5" max="6" width="9.140625" style="4" customWidth="1"/>
    <col min="7" max="7" width="10.7109375" style="4" customWidth="1"/>
    <col min="8" max="8" width="10.42578125" style="4" customWidth="1"/>
    <col min="9" max="16384" width="9.140625" style="4"/>
  </cols>
  <sheetData>
    <row r="1" spans="1:6" ht="42.75" customHeight="1" x14ac:dyDescent="0.2">
      <c r="A1" s="1207" t="s">
        <v>334</v>
      </c>
      <c r="B1" s="1207"/>
      <c r="C1" s="1207"/>
      <c r="D1" s="1207"/>
    </row>
    <row r="2" spans="1:6" x14ac:dyDescent="0.2">
      <c r="A2" s="5"/>
      <c r="B2" s="5"/>
      <c r="C2" s="6"/>
      <c r="D2" s="6"/>
    </row>
    <row r="3" spans="1:6" ht="12.75" customHeight="1" x14ac:dyDescent="0.25">
      <c r="A3" s="7"/>
      <c r="B3" s="7"/>
      <c r="C3" s="8"/>
      <c r="D3" s="9" t="s">
        <v>326</v>
      </c>
    </row>
    <row r="4" spans="1:6" s="10" customFormat="1" ht="38.25" customHeight="1" x14ac:dyDescent="0.2">
      <c r="A4" s="1208" t="s">
        <v>0</v>
      </c>
      <c r="B4" s="1178" t="s">
        <v>1</v>
      </c>
      <c r="C4" s="1208" t="s">
        <v>2</v>
      </c>
      <c r="D4" s="723" t="s">
        <v>327</v>
      </c>
      <c r="F4" s="11"/>
    </row>
    <row r="5" spans="1:6" s="10" customFormat="1" ht="20.25" customHeight="1" x14ac:dyDescent="0.2">
      <c r="A5" s="1209"/>
      <c r="B5" s="1179"/>
      <c r="C5" s="1209"/>
      <c r="D5" s="12" t="s">
        <v>328</v>
      </c>
    </row>
    <row r="6" spans="1:6" s="10" customFormat="1" ht="12" customHeight="1" x14ac:dyDescent="0.2">
      <c r="A6" s="1209"/>
      <c r="B6" s="1179"/>
      <c r="C6" s="1209"/>
      <c r="D6" s="1208" t="s">
        <v>329</v>
      </c>
    </row>
    <row r="7" spans="1:6" s="10" customFormat="1" ht="35.25" customHeight="1" x14ac:dyDescent="0.2">
      <c r="A7" s="1210"/>
      <c r="B7" s="1211"/>
      <c r="C7" s="1210"/>
      <c r="D7" s="1210"/>
    </row>
    <row r="8" spans="1:6" s="16" customFormat="1" ht="11.25" x14ac:dyDescent="0.2">
      <c r="A8" s="13">
        <v>1</v>
      </c>
      <c r="B8" s="14">
        <v>2</v>
      </c>
      <c r="C8" s="438">
        <v>3</v>
      </c>
      <c r="D8" s="15">
        <v>4</v>
      </c>
    </row>
    <row r="9" spans="1:6" s="16" customFormat="1" ht="15" customHeight="1" x14ac:dyDescent="0.2">
      <c r="A9" s="1204" t="s">
        <v>308</v>
      </c>
      <c r="B9" s="1205"/>
      <c r="C9" s="1206"/>
      <c r="D9" s="24">
        <f>SUM(D10:D16)</f>
        <v>211651</v>
      </c>
      <c r="E9" s="17"/>
      <c r="F9" s="17"/>
    </row>
    <row r="10" spans="1:6" s="20" customFormat="1" ht="15" x14ac:dyDescent="0.2">
      <c r="A10" s="18">
        <v>1</v>
      </c>
      <c r="B10" s="18" t="s">
        <v>50</v>
      </c>
      <c r="C10" s="738" t="s">
        <v>51</v>
      </c>
      <c r="D10" s="19">
        <v>15142</v>
      </c>
      <c r="E10" s="17"/>
    </row>
    <row r="11" spans="1:6" s="20" customFormat="1" ht="15" x14ac:dyDescent="0.2">
      <c r="A11" s="18">
        <v>2</v>
      </c>
      <c r="B11" s="439" t="s">
        <v>66</v>
      </c>
      <c r="C11" s="440" t="s">
        <v>67</v>
      </c>
      <c r="D11" s="19">
        <v>22597</v>
      </c>
      <c r="E11" s="17"/>
    </row>
    <row r="12" spans="1:6" s="20" customFormat="1" ht="15" x14ac:dyDescent="0.2">
      <c r="A12" s="18">
        <v>3</v>
      </c>
      <c r="B12" s="21" t="s">
        <v>68</v>
      </c>
      <c r="C12" s="738" t="s">
        <v>69</v>
      </c>
      <c r="D12" s="19">
        <v>25138</v>
      </c>
      <c r="E12" s="17"/>
    </row>
    <row r="13" spans="1:6" s="20" customFormat="1" ht="15" x14ac:dyDescent="0.2">
      <c r="A13" s="18">
        <v>4</v>
      </c>
      <c r="B13" s="18" t="s">
        <v>99</v>
      </c>
      <c r="C13" s="739" t="s">
        <v>330</v>
      </c>
      <c r="D13" s="19">
        <v>21443</v>
      </c>
      <c r="E13" s="17"/>
    </row>
    <row r="14" spans="1:6" s="20" customFormat="1" ht="15" x14ac:dyDescent="0.2">
      <c r="A14" s="18">
        <v>5</v>
      </c>
      <c r="B14" s="18" t="s">
        <v>260</v>
      </c>
      <c r="C14" s="738" t="s">
        <v>331</v>
      </c>
      <c r="D14" s="19">
        <f>49902-1410</f>
        <v>48492</v>
      </c>
      <c r="E14" s="17"/>
    </row>
    <row r="15" spans="1:6" ht="15" x14ac:dyDescent="0.2">
      <c r="A15" s="18">
        <v>6</v>
      </c>
      <c r="B15" s="18" t="s">
        <v>16</v>
      </c>
      <c r="C15" s="738" t="s">
        <v>17</v>
      </c>
      <c r="D15" s="19">
        <v>2099</v>
      </c>
      <c r="E15" s="17"/>
    </row>
    <row r="16" spans="1:6" ht="15" x14ac:dyDescent="0.2">
      <c r="A16" s="18">
        <v>7</v>
      </c>
      <c r="B16" s="18" t="s">
        <v>169</v>
      </c>
      <c r="C16" s="22" t="s">
        <v>170</v>
      </c>
      <c r="D16" s="19">
        <f>75330+1410</f>
        <v>76740</v>
      </c>
      <c r="E16" s="17"/>
    </row>
    <row r="18" spans="2:2" ht="15" x14ac:dyDescent="0.2">
      <c r="B18" s="2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97"/>
  <sheetViews>
    <sheetView workbookViewId="0">
      <pane xSplit="3" ySplit="4" topLeftCell="D5" activePane="bottomRight" state="frozen"/>
      <selection activeCell="A4" sqref="A4:L154"/>
      <selection pane="topRight" activeCell="A4" sqref="A4:L154"/>
      <selection pane="bottomLeft" activeCell="A4" sqref="A4:L154"/>
      <selection pane="bottomRight" activeCell="M4" sqref="M4"/>
    </sheetView>
  </sheetViews>
  <sheetFormatPr defaultRowHeight="18.75" x14ac:dyDescent="0.3"/>
  <cols>
    <col min="1" max="1" width="4.85546875" style="968" customWidth="1"/>
    <col min="2" max="2" width="7.85546875" style="968" customWidth="1"/>
    <col min="3" max="3" width="35.42578125" style="968" customWidth="1"/>
    <col min="4" max="4" width="10.28515625" style="969" customWidth="1"/>
    <col min="5" max="6" width="10.28515625" style="968" customWidth="1"/>
    <col min="7" max="16384" width="9.140625" style="968"/>
  </cols>
  <sheetData>
    <row r="1" spans="1:9" ht="31.5" customHeight="1" x14ac:dyDescent="0.3">
      <c r="A1" s="1214" t="s">
        <v>445</v>
      </c>
      <c r="B1" s="1214"/>
      <c r="C1" s="1214"/>
      <c r="D1" s="1214"/>
      <c r="E1" s="1214"/>
      <c r="F1" s="1214"/>
    </row>
    <row r="2" spans="1:9" ht="13.5" customHeight="1" x14ac:dyDescent="0.3">
      <c r="A2" s="970"/>
      <c r="B2" s="970"/>
      <c r="C2" s="970"/>
      <c r="D2" s="971"/>
      <c r="E2" s="970"/>
      <c r="F2" s="970"/>
    </row>
    <row r="3" spans="1:9" ht="33.75" customHeight="1" x14ac:dyDescent="0.3">
      <c r="A3" s="1212" t="s">
        <v>0</v>
      </c>
      <c r="B3" s="1212" t="s">
        <v>302</v>
      </c>
      <c r="C3" s="1215" t="s">
        <v>446</v>
      </c>
      <c r="D3" s="1216" t="s">
        <v>447</v>
      </c>
      <c r="E3" s="1212" t="s">
        <v>448</v>
      </c>
      <c r="F3" s="1212"/>
    </row>
    <row r="4" spans="1:9" ht="45" x14ac:dyDescent="0.3">
      <c r="A4" s="1212"/>
      <c r="B4" s="1212"/>
      <c r="C4" s="1215"/>
      <c r="D4" s="1216"/>
      <c r="E4" s="972" t="s">
        <v>449</v>
      </c>
      <c r="F4" s="972" t="s">
        <v>450</v>
      </c>
    </row>
    <row r="5" spans="1:9" ht="15" customHeight="1" x14ac:dyDescent="0.3">
      <c r="A5" s="973">
        <v>1</v>
      </c>
      <c r="B5" s="973">
        <v>2</v>
      </c>
      <c r="C5" s="973">
        <v>3</v>
      </c>
      <c r="D5" s="974">
        <v>4</v>
      </c>
      <c r="E5" s="975">
        <v>5</v>
      </c>
      <c r="F5" s="975">
        <v>6</v>
      </c>
    </row>
    <row r="6" spans="1:9" x14ac:dyDescent="0.3">
      <c r="A6" s="972">
        <v>1</v>
      </c>
      <c r="B6" s="976" t="s">
        <v>46</v>
      </c>
      <c r="C6" s="977" t="s">
        <v>47</v>
      </c>
      <c r="D6" s="978">
        <v>22021</v>
      </c>
      <c r="E6" s="979">
        <v>0</v>
      </c>
      <c r="F6" s="979">
        <v>0</v>
      </c>
      <c r="G6" s="980"/>
      <c r="H6" s="980"/>
      <c r="I6" s="980"/>
    </row>
    <row r="7" spans="1:9" x14ac:dyDescent="0.3">
      <c r="A7" s="972">
        <v>2</v>
      </c>
      <c r="B7" s="976" t="s">
        <v>115</v>
      </c>
      <c r="C7" s="977" t="s">
        <v>116</v>
      </c>
      <c r="D7" s="978">
        <v>19433</v>
      </c>
      <c r="E7" s="979">
        <v>0</v>
      </c>
      <c r="F7" s="979">
        <v>0</v>
      </c>
      <c r="G7" s="980"/>
      <c r="H7" s="980"/>
      <c r="I7" s="980"/>
    </row>
    <row r="8" spans="1:9" x14ac:dyDescent="0.3">
      <c r="A8" s="972">
        <v>3</v>
      </c>
      <c r="B8" s="976" t="s">
        <v>187</v>
      </c>
      <c r="C8" s="977" t="s">
        <v>188</v>
      </c>
      <c r="D8" s="978">
        <v>9056</v>
      </c>
      <c r="E8" s="979">
        <v>0</v>
      </c>
      <c r="F8" s="979">
        <v>0</v>
      </c>
      <c r="G8" s="980"/>
      <c r="H8" s="980"/>
      <c r="I8" s="980"/>
    </row>
    <row r="9" spans="1:9" x14ac:dyDescent="0.3">
      <c r="A9" s="972">
        <v>4</v>
      </c>
      <c r="B9" s="976" t="s">
        <v>16</v>
      </c>
      <c r="C9" s="977" t="s">
        <v>17</v>
      </c>
      <c r="D9" s="978">
        <v>9817</v>
      </c>
      <c r="E9" s="979">
        <v>0</v>
      </c>
      <c r="F9" s="979">
        <v>0</v>
      </c>
      <c r="G9" s="980"/>
      <c r="H9" s="980"/>
      <c r="I9" s="980"/>
    </row>
    <row r="10" spans="1:9" x14ac:dyDescent="0.3">
      <c r="A10" s="972">
        <v>5</v>
      </c>
      <c r="B10" s="976" t="s">
        <v>93</v>
      </c>
      <c r="C10" s="977" t="s">
        <v>94</v>
      </c>
      <c r="D10" s="978">
        <v>16401</v>
      </c>
      <c r="E10" s="979">
        <v>0</v>
      </c>
      <c r="F10" s="979">
        <v>0</v>
      </c>
      <c r="G10" s="980"/>
      <c r="H10" s="980"/>
      <c r="I10" s="980"/>
    </row>
    <row r="11" spans="1:9" x14ac:dyDescent="0.3">
      <c r="A11" s="972">
        <v>6</v>
      </c>
      <c r="B11" s="976" t="s">
        <v>48</v>
      </c>
      <c r="C11" s="977" t="s">
        <v>49</v>
      </c>
      <c r="D11" s="978">
        <v>28702</v>
      </c>
      <c r="E11" s="979">
        <v>0</v>
      </c>
      <c r="F11" s="979">
        <v>0</v>
      </c>
      <c r="G11" s="980"/>
      <c r="H11" s="980"/>
      <c r="I11" s="980"/>
    </row>
    <row r="12" spans="1:9" x14ac:dyDescent="0.3">
      <c r="A12" s="972">
        <v>7</v>
      </c>
      <c r="B12" s="976" t="s">
        <v>101</v>
      </c>
      <c r="C12" s="977" t="s">
        <v>102</v>
      </c>
      <c r="D12" s="978">
        <v>13685</v>
      </c>
      <c r="E12" s="979">
        <v>0</v>
      </c>
      <c r="F12" s="979">
        <v>0</v>
      </c>
      <c r="G12" s="980"/>
      <c r="H12" s="980"/>
      <c r="I12" s="980"/>
    </row>
    <row r="13" spans="1:9" x14ac:dyDescent="0.3">
      <c r="A13" s="972">
        <v>8</v>
      </c>
      <c r="B13" s="976" t="s">
        <v>18</v>
      </c>
      <c r="C13" s="977" t="s">
        <v>19</v>
      </c>
      <c r="D13" s="978">
        <v>9889</v>
      </c>
      <c r="E13" s="979">
        <v>0</v>
      </c>
      <c r="F13" s="979">
        <v>0</v>
      </c>
      <c r="G13" s="980"/>
      <c r="H13" s="980"/>
      <c r="I13" s="980"/>
    </row>
    <row r="14" spans="1:9" x14ac:dyDescent="0.3">
      <c r="A14" s="972">
        <v>9</v>
      </c>
      <c r="B14" s="976" t="s">
        <v>103</v>
      </c>
      <c r="C14" s="977" t="s">
        <v>104</v>
      </c>
      <c r="D14" s="978">
        <v>46033</v>
      </c>
      <c r="E14" s="979">
        <v>0</v>
      </c>
      <c r="F14" s="979">
        <v>0</v>
      </c>
      <c r="G14" s="980"/>
      <c r="H14" s="980"/>
      <c r="I14" s="980"/>
    </row>
    <row r="15" spans="1:9" x14ac:dyDescent="0.3">
      <c r="A15" s="972">
        <v>10</v>
      </c>
      <c r="B15" s="976" t="s">
        <v>189</v>
      </c>
      <c r="C15" s="977" t="s">
        <v>190</v>
      </c>
      <c r="D15" s="978">
        <v>9259</v>
      </c>
      <c r="E15" s="979">
        <v>0</v>
      </c>
      <c r="F15" s="979">
        <v>0</v>
      </c>
      <c r="G15" s="980"/>
      <c r="H15" s="980"/>
      <c r="I15" s="980"/>
    </row>
    <row r="16" spans="1:9" x14ac:dyDescent="0.3">
      <c r="A16" s="972">
        <v>11</v>
      </c>
      <c r="B16" s="976" t="s">
        <v>50</v>
      </c>
      <c r="C16" s="977" t="s">
        <v>51</v>
      </c>
      <c r="D16" s="978">
        <v>50244</v>
      </c>
      <c r="E16" s="979">
        <v>0</v>
      </c>
      <c r="F16" s="979">
        <v>0</v>
      </c>
      <c r="G16" s="980"/>
      <c r="H16" s="980"/>
      <c r="I16" s="980"/>
    </row>
    <row r="17" spans="1:9" x14ac:dyDescent="0.3">
      <c r="A17" s="972">
        <v>12</v>
      </c>
      <c r="B17" s="976" t="s">
        <v>105</v>
      </c>
      <c r="C17" s="977" t="s">
        <v>106</v>
      </c>
      <c r="D17" s="978">
        <v>10231</v>
      </c>
      <c r="E17" s="979">
        <v>0</v>
      </c>
      <c r="F17" s="979">
        <v>0</v>
      </c>
      <c r="G17" s="980"/>
      <c r="H17" s="980"/>
      <c r="I17" s="980"/>
    </row>
    <row r="18" spans="1:9" x14ac:dyDescent="0.3">
      <c r="A18" s="972">
        <v>13</v>
      </c>
      <c r="B18" s="976" t="s">
        <v>20</v>
      </c>
      <c r="C18" s="977" t="s">
        <v>21</v>
      </c>
      <c r="D18" s="978">
        <v>30285</v>
      </c>
      <c r="E18" s="979">
        <v>0</v>
      </c>
      <c r="F18" s="979">
        <v>0</v>
      </c>
      <c r="G18" s="980"/>
      <c r="H18" s="980"/>
      <c r="I18" s="980"/>
    </row>
    <row r="19" spans="1:9" x14ac:dyDescent="0.3">
      <c r="A19" s="972">
        <v>14</v>
      </c>
      <c r="B19" s="976" t="s">
        <v>215</v>
      </c>
      <c r="C19" s="977" t="s">
        <v>216</v>
      </c>
      <c r="D19" s="978">
        <v>11229</v>
      </c>
      <c r="E19" s="979">
        <v>0</v>
      </c>
      <c r="F19" s="979">
        <v>0</v>
      </c>
      <c r="G19" s="980"/>
      <c r="H19" s="980"/>
      <c r="I19" s="980"/>
    </row>
    <row r="20" spans="1:9" x14ac:dyDescent="0.3">
      <c r="A20" s="972">
        <v>15</v>
      </c>
      <c r="B20" s="976" t="s">
        <v>191</v>
      </c>
      <c r="C20" s="977" t="s">
        <v>192</v>
      </c>
      <c r="D20" s="978">
        <v>25517</v>
      </c>
      <c r="E20" s="979">
        <v>0</v>
      </c>
      <c r="F20" s="979">
        <v>0</v>
      </c>
      <c r="G20" s="980"/>
      <c r="H20" s="980"/>
      <c r="I20" s="980"/>
    </row>
    <row r="21" spans="1:9" x14ac:dyDescent="0.3">
      <c r="A21" s="972">
        <v>16</v>
      </c>
      <c r="B21" s="976" t="s">
        <v>195</v>
      </c>
      <c r="C21" s="977" t="s">
        <v>196</v>
      </c>
      <c r="D21" s="978">
        <v>13516</v>
      </c>
      <c r="E21" s="979">
        <v>0</v>
      </c>
      <c r="F21" s="979">
        <v>0</v>
      </c>
      <c r="G21" s="980"/>
      <c r="H21" s="980"/>
      <c r="I21" s="980"/>
    </row>
    <row r="22" spans="1:9" x14ac:dyDescent="0.3">
      <c r="A22" s="972">
        <v>17</v>
      </c>
      <c r="B22" s="976" t="s">
        <v>22</v>
      </c>
      <c r="C22" s="977" t="s">
        <v>23</v>
      </c>
      <c r="D22" s="978">
        <v>10755</v>
      </c>
      <c r="E22" s="979">
        <v>0</v>
      </c>
      <c r="F22" s="979">
        <v>0</v>
      </c>
      <c r="G22" s="980"/>
      <c r="H22" s="980"/>
      <c r="I22" s="980"/>
    </row>
    <row r="23" spans="1:9" x14ac:dyDescent="0.3">
      <c r="A23" s="972">
        <v>18</v>
      </c>
      <c r="B23" s="976" t="s">
        <v>52</v>
      </c>
      <c r="C23" s="977" t="s">
        <v>53</v>
      </c>
      <c r="D23" s="978">
        <v>8880</v>
      </c>
      <c r="E23" s="979">
        <v>0</v>
      </c>
      <c r="F23" s="979">
        <v>0</v>
      </c>
      <c r="G23" s="980"/>
      <c r="H23" s="980"/>
      <c r="I23" s="980"/>
    </row>
    <row r="24" spans="1:9" x14ac:dyDescent="0.3">
      <c r="A24" s="972">
        <v>19</v>
      </c>
      <c r="B24" s="976" t="s">
        <v>85</v>
      </c>
      <c r="C24" s="977" t="s">
        <v>86</v>
      </c>
      <c r="D24" s="978">
        <v>16577</v>
      </c>
      <c r="E24" s="979">
        <v>0</v>
      </c>
      <c r="F24" s="979">
        <v>0</v>
      </c>
      <c r="G24" s="980"/>
      <c r="H24" s="980"/>
      <c r="I24" s="980"/>
    </row>
    <row r="25" spans="1:9" x14ac:dyDescent="0.3">
      <c r="A25" s="972">
        <v>20</v>
      </c>
      <c r="B25" s="976" t="s">
        <v>109</v>
      </c>
      <c r="C25" s="977" t="s">
        <v>110</v>
      </c>
      <c r="D25" s="978">
        <v>19284</v>
      </c>
      <c r="E25" s="979">
        <v>0</v>
      </c>
      <c r="F25" s="979">
        <v>0</v>
      </c>
      <c r="G25" s="980"/>
      <c r="H25" s="980"/>
      <c r="I25" s="980"/>
    </row>
    <row r="26" spans="1:9" x14ac:dyDescent="0.3">
      <c r="A26" s="972">
        <v>21</v>
      </c>
      <c r="B26" s="976" t="s">
        <v>207</v>
      </c>
      <c r="C26" s="977" t="s">
        <v>208</v>
      </c>
      <c r="D26" s="978">
        <v>14922</v>
      </c>
      <c r="E26" s="979">
        <v>0</v>
      </c>
      <c r="F26" s="979">
        <v>0</v>
      </c>
      <c r="G26" s="980"/>
      <c r="H26" s="980"/>
      <c r="I26" s="980"/>
    </row>
    <row r="27" spans="1:9" x14ac:dyDescent="0.3">
      <c r="A27" s="972">
        <v>22</v>
      </c>
      <c r="B27" s="976" t="s">
        <v>28</v>
      </c>
      <c r="C27" s="977" t="s">
        <v>29</v>
      </c>
      <c r="D27" s="978">
        <v>30202</v>
      </c>
      <c r="E27" s="979">
        <v>0</v>
      </c>
      <c r="F27" s="979">
        <v>0</v>
      </c>
      <c r="G27" s="980"/>
      <c r="H27" s="980"/>
      <c r="I27" s="980"/>
    </row>
    <row r="28" spans="1:9" x14ac:dyDescent="0.3">
      <c r="A28" s="972">
        <v>23</v>
      </c>
      <c r="B28" s="976" t="s">
        <v>111</v>
      </c>
      <c r="C28" s="977" t="s">
        <v>112</v>
      </c>
      <c r="D28" s="978">
        <v>6493</v>
      </c>
      <c r="E28" s="979">
        <v>0</v>
      </c>
      <c r="F28" s="979">
        <v>0</v>
      </c>
      <c r="G28" s="980"/>
      <c r="H28" s="980"/>
      <c r="I28" s="980"/>
    </row>
    <row r="29" spans="1:9" x14ac:dyDescent="0.3">
      <c r="A29" s="972">
        <v>24</v>
      </c>
      <c r="B29" s="976" t="s">
        <v>81</v>
      </c>
      <c r="C29" s="977" t="s">
        <v>82</v>
      </c>
      <c r="D29" s="978">
        <v>12744</v>
      </c>
      <c r="E29" s="979">
        <v>0</v>
      </c>
      <c r="F29" s="979">
        <v>0</v>
      </c>
      <c r="G29" s="980"/>
      <c r="H29" s="980"/>
      <c r="I29" s="980"/>
    </row>
    <row r="30" spans="1:9" x14ac:dyDescent="0.3">
      <c r="A30" s="972">
        <v>25</v>
      </c>
      <c r="B30" s="976" t="s">
        <v>54</v>
      </c>
      <c r="C30" s="977" t="s">
        <v>55</v>
      </c>
      <c r="D30" s="978">
        <v>7058</v>
      </c>
      <c r="E30" s="979">
        <v>0</v>
      </c>
      <c r="F30" s="979">
        <v>0</v>
      </c>
      <c r="G30" s="980"/>
      <c r="H30" s="980"/>
      <c r="I30" s="980"/>
    </row>
    <row r="31" spans="1:9" x14ac:dyDescent="0.3">
      <c r="A31" s="972">
        <v>26</v>
      </c>
      <c r="B31" s="976" t="s">
        <v>197</v>
      </c>
      <c r="C31" s="977" t="s">
        <v>198</v>
      </c>
      <c r="D31" s="978">
        <v>30215</v>
      </c>
      <c r="E31" s="979">
        <v>0</v>
      </c>
      <c r="F31" s="979">
        <v>0</v>
      </c>
      <c r="G31" s="980"/>
      <c r="H31" s="980"/>
      <c r="I31" s="980"/>
    </row>
    <row r="32" spans="1:9" x14ac:dyDescent="0.3">
      <c r="A32" s="972">
        <v>27</v>
      </c>
      <c r="B32" s="976" t="s">
        <v>107</v>
      </c>
      <c r="C32" s="977" t="s">
        <v>108</v>
      </c>
      <c r="D32" s="978">
        <v>17004</v>
      </c>
      <c r="E32" s="979">
        <v>0</v>
      </c>
      <c r="F32" s="979">
        <v>0</v>
      </c>
      <c r="G32" s="980"/>
      <c r="H32" s="980"/>
      <c r="I32" s="980"/>
    </row>
    <row r="33" spans="1:9" x14ac:dyDescent="0.3">
      <c r="A33" s="972">
        <v>28</v>
      </c>
      <c r="B33" s="976" t="s">
        <v>83</v>
      </c>
      <c r="C33" s="977" t="s">
        <v>84</v>
      </c>
      <c r="D33" s="978">
        <v>43462</v>
      </c>
      <c r="E33" s="979">
        <v>0</v>
      </c>
      <c r="F33" s="979">
        <v>0</v>
      </c>
      <c r="G33" s="980"/>
      <c r="H33" s="980"/>
      <c r="I33" s="980"/>
    </row>
    <row r="34" spans="1:9" x14ac:dyDescent="0.3">
      <c r="A34" s="972">
        <v>29</v>
      </c>
      <c r="B34" s="976" t="s">
        <v>30</v>
      </c>
      <c r="C34" s="977" t="s">
        <v>31</v>
      </c>
      <c r="D34" s="978">
        <v>12541</v>
      </c>
      <c r="E34" s="979">
        <v>0</v>
      </c>
      <c r="F34" s="979">
        <v>0</v>
      </c>
      <c r="G34" s="980"/>
      <c r="H34" s="980"/>
      <c r="I34" s="980"/>
    </row>
    <row r="35" spans="1:9" x14ac:dyDescent="0.3">
      <c r="A35" s="972">
        <v>30</v>
      </c>
      <c r="B35" s="976" t="s">
        <v>32</v>
      </c>
      <c r="C35" s="977" t="s">
        <v>33</v>
      </c>
      <c r="D35" s="978">
        <v>10889</v>
      </c>
      <c r="E35" s="979">
        <v>0</v>
      </c>
      <c r="F35" s="979">
        <v>0</v>
      </c>
      <c r="G35" s="980"/>
      <c r="H35" s="980"/>
      <c r="I35" s="980"/>
    </row>
    <row r="36" spans="1:9" x14ac:dyDescent="0.3">
      <c r="A36" s="972">
        <v>31</v>
      </c>
      <c r="B36" s="976" t="s">
        <v>199</v>
      </c>
      <c r="C36" s="977" t="s">
        <v>200</v>
      </c>
      <c r="D36" s="978">
        <v>24301</v>
      </c>
      <c r="E36" s="979">
        <v>0</v>
      </c>
      <c r="F36" s="979">
        <v>0</v>
      </c>
      <c r="G36" s="980"/>
      <c r="H36" s="980"/>
      <c r="I36" s="980"/>
    </row>
    <row r="37" spans="1:9" x14ac:dyDescent="0.3">
      <c r="A37" s="972">
        <v>32</v>
      </c>
      <c r="B37" s="976" t="s">
        <v>201</v>
      </c>
      <c r="C37" s="977" t="s">
        <v>202</v>
      </c>
      <c r="D37" s="978">
        <v>8440</v>
      </c>
      <c r="E37" s="979">
        <v>0</v>
      </c>
      <c r="F37" s="979">
        <v>0</v>
      </c>
      <c r="G37" s="980"/>
      <c r="H37" s="980"/>
      <c r="I37" s="980"/>
    </row>
    <row r="38" spans="1:9" x14ac:dyDescent="0.3">
      <c r="A38" s="972">
        <v>33</v>
      </c>
      <c r="B38" s="976" t="s">
        <v>34</v>
      </c>
      <c r="C38" s="977" t="s">
        <v>35</v>
      </c>
      <c r="D38" s="978">
        <v>14008</v>
      </c>
      <c r="E38" s="979">
        <v>0</v>
      </c>
      <c r="F38" s="979">
        <v>0</v>
      </c>
      <c r="G38" s="980"/>
      <c r="H38" s="980"/>
      <c r="I38" s="980"/>
    </row>
    <row r="39" spans="1:9" x14ac:dyDescent="0.3">
      <c r="A39" s="972">
        <v>34</v>
      </c>
      <c r="B39" s="976" t="s">
        <v>89</v>
      </c>
      <c r="C39" s="977" t="s">
        <v>90</v>
      </c>
      <c r="D39" s="978">
        <v>15061</v>
      </c>
      <c r="E39" s="979">
        <v>0</v>
      </c>
      <c r="F39" s="979">
        <v>0</v>
      </c>
      <c r="G39" s="980"/>
      <c r="H39" s="980"/>
      <c r="I39" s="980"/>
    </row>
    <row r="40" spans="1:9" x14ac:dyDescent="0.3">
      <c r="A40" s="972">
        <v>35</v>
      </c>
      <c r="B40" s="976" t="s">
        <v>203</v>
      </c>
      <c r="C40" s="977" t="s">
        <v>204</v>
      </c>
      <c r="D40" s="978">
        <v>12970</v>
      </c>
      <c r="E40" s="979">
        <v>0</v>
      </c>
      <c r="F40" s="979">
        <v>0</v>
      </c>
      <c r="G40" s="980"/>
      <c r="H40" s="980"/>
      <c r="I40" s="980"/>
    </row>
    <row r="41" spans="1:9" x14ac:dyDescent="0.3">
      <c r="A41" s="972">
        <v>36</v>
      </c>
      <c r="B41" s="976" t="s">
        <v>77</v>
      </c>
      <c r="C41" s="977" t="s">
        <v>78</v>
      </c>
      <c r="D41" s="978">
        <v>40596</v>
      </c>
      <c r="E41" s="979">
        <v>0</v>
      </c>
      <c r="F41" s="979">
        <v>0</v>
      </c>
      <c r="G41" s="980"/>
      <c r="H41" s="980"/>
      <c r="I41" s="980"/>
    </row>
    <row r="42" spans="1:9" x14ac:dyDescent="0.3">
      <c r="A42" s="972">
        <v>37</v>
      </c>
      <c r="B42" s="976" t="s">
        <v>87</v>
      </c>
      <c r="C42" s="977" t="s">
        <v>88</v>
      </c>
      <c r="D42" s="978">
        <v>43455</v>
      </c>
      <c r="E42" s="979">
        <v>0</v>
      </c>
      <c r="F42" s="979">
        <v>0</v>
      </c>
      <c r="G42" s="980"/>
      <c r="H42" s="980"/>
      <c r="I42" s="980"/>
    </row>
    <row r="43" spans="1:9" x14ac:dyDescent="0.3">
      <c r="A43" s="972">
        <v>38</v>
      </c>
      <c r="B43" s="976" t="s">
        <v>193</v>
      </c>
      <c r="C43" s="977" t="s">
        <v>194</v>
      </c>
      <c r="D43" s="978">
        <v>10955</v>
      </c>
      <c r="E43" s="979">
        <v>0</v>
      </c>
      <c r="F43" s="979">
        <v>0</v>
      </c>
      <c r="G43" s="980"/>
      <c r="H43" s="980"/>
      <c r="I43" s="980"/>
    </row>
    <row r="44" spans="1:9" x14ac:dyDescent="0.3">
      <c r="A44" s="972">
        <v>39</v>
      </c>
      <c r="B44" s="976" t="s">
        <v>36</v>
      </c>
      <c r="C44" s="977" t="s">
        <v>37</v>
      </c>
      <c r="D44" s="978">
        <v>11397</v>
      </c>
      <c r="E44" s="979">
        <v>0</v>
      </c>
      <c r="F44" s="979">
        <v>0</v>
      </c>
      <c r="G44" s="980"/>
      <c r="H44" s="980"/>
      <c r="I44" s="980"/>
    </row>
    <row r="45" spans="1:9" x14ac:dyDescent="0.3">
      <c r="A45" s="972">
        <v>40</v>
      </c>
      <c r="B45" s="976" t="s">
        <v>113</v>
      </c>
      <c r="C45" s="977" t="s">
        <v>114</v>
      </c>
      <c r="D45" s="978">
        <v>12933</v>
      </c>
      <c r="E45" s="979">
        <v>0</v>
      </c>
      <c r="F45" s="979">
        <v>0</v>
      </c>
      <c r="G45" s="980"/>
      <c r="H45" s="980"/>
      <c r="I45" s="980"/>
    </row>
    <row r="46" spans="1:9" x14ac:dyDescent="0.3">
      <c r="A46" s="972">
        <v>41</v>
      </c>
      <c r="B46" s="976" t="s">
        <v>209</v>
      </c>
      <c r="C46" s="977" t="s">
        <v>210</v>
      </c>
      <c r="D46" s="978">
        <v>9705</v>
      </c>
      <c r="E46" s="979">
        <v>0</v>
      </c>
      <c r="F46" s="979">
        <v>0</v>
      </c>
      <c r="G46" s="980"/>
      <c r="H46" s="980"/>
      <c r="I46" s="980"/>
    </row>
    <row r="47" spans="1:9" x14ac:dyDescent="0.3">
      <c r="A47" s="972">
        <v>42</v>
      </c>
      <c r="B47" s="976" t="s">
        <v>205</v>
      </c>
      <c r="C47" s="977" t="s">
        <v>206</v>
      </c>
      <c r="D47" s="978">
        <v>12030</v>
      </c>
      <c r="E47" s="979">
        <v>0</v>
      </c>
      <c r="F47" s="979">
        <v>0</v>
      </c>
      <c r="G47" s="980"/>
      <c r="H47" s="980"/>
      <c r="I47" s="980"/>
    </row>
    <row r="48" spans="1:9" x14ac:dyDescent="0.3">
      <c r="A48" s="972">
        <v>43</v>
      </c>
      <c r="B48" s="976" t="s">
        <v>91</v>
      </c>
      <c r="C48" s="977" t="s">
        <v>92</v>
      </c>
      <c r="D48" s="978">
        <v>9282</v>
      </c>
      <c r="E48" s="979">
        <v>0</v>
      </c>
      <c r="F48" s="979">
        <v>0</v>
      </c>
      <c r="G48" s="980"/>
      <c r="H48" s="980"/>
      <c r="I48" s="980"/>
    </row>
    <row r="49" spans="1:9" x14ac:dyDescent="0.3">
      <c r="A49" s="972">
        <v>44</v>
      </c>
      <c r="B49" s="976" t="s">
        <v>24</v>
      </c>
      <c r="C49" s="977" t="s">
        <v>25</v>
      </c>
      <c r="D49" s="978">
        <v>11710</v>
      </c>
      <c r="E49" s="979">
        <v>0</v>
      </c>
      <c r="F49" s="979">
        <v>0</v>
      </c>
      <c r="G49" s="980"/>
      <c r="H49" s="980"/>
      <c r="I49" s="980"/>
    </row>
    <row r="50" spans="1:9" x14ac:dyDescent="0.3">
      <c r="A50" s="972">
        <v>45</v>
      </c>
      <c r="B50" s="976" t="s">
        <v>117</v>
      </c>
      <c r="C50" s="977" t="s">
        <v>118</v>
      </c>
      <c r="D50" s="978">
        <v>67898</v>
      </c>
      <c r="E50" s="979">
        <v>0</v>
      </c>
      <c r="F50" s="979">
        <v>0</v>
      </c>
      <c r="G50" s="980"/>
      <c r="H50" s="980"/>
      <c r="I50" s="980"/>
    </row>
    <row r="51" spans="1:9" x14ac:dyDescent="0.3">
      <c r="A51" s="972">
        <v>46</v>
      </c>
      <c r="B51" s="976" t="s">
        <v>56</v>
      </c>
      <c r="C51" s="977" t="s">
        <v>57</v>
      </c>
      <c r="D51" s="978">
        <v>36614</v>
      </c>
      <c r="E51" s="979">
        <v>0</v>
      </c>
      <c r="F51" s="979">
        <v>0</v>
      </c>
      <c r="G51" s="980"/>
      <c r="H51" s="980"/>
      <c r="I51" s="980"/>
    </row>
    <row r="52" spans="1:9" x14ac:dyDescent="0.3">
      <c r="A52" s="972">
        <v>47</v>
      </c>
      <c r="B52" s="976" t="s">
        <v>95</v>
      </c>
      <c r="C52" s="977" t="s">
        <v>96</v>
      </c>
      <c r="D52" s="978">
        <v>7502</v>
      </c>
      <c r="E52" s="979">
        <v>0</v>
      </c>
      <c r="F52" s="979">
        <v>0</v>
      </c>
      <c r="G52" s="980"/>
      <c r="H52" s="980"/>
      <c r="I52" s="980"/>
    </row>
    <row r="53" spans="1:9" x14ac:dyDescent="0.3">
      <c r="A53" s="972">
        <v>48</v>
      </c>
      <c r="B53" s="976" t="s">
        <v>44</v>
      </c>
      <c r="C53" s="977" t="s">
        <v>45</v>
      </c>
      <c r="D53" s="978">
        <v>14835</v>
      </c>
      <c r="E53" s="979">
        <v>0</v>
      </c>
      <c r="F53" s="979">
        <v>0</v>
      </c>
      <c r="G53" s="980"/>
      <c r="H53" s="980"/>
      <c r="I53" s="980"/>
    </row>
    <row r="54" spans="1:9" x14ac:dyDescent="0.3">
      <c r="A54" s="972">
        <v>49</v>
      </c>
      <c r="B54" s="976" t="s">
        <v>211</v>
      </c>
      <c r="C54" s="977" t="s">
        <v>212</v>
      </c>
      <c r="D54" s="978">
        <v>14143</v>
      </c>
      <c r="E54" s="979">
        <v>0</v>
      </c>
      <c r="F54" s="979">
        <v>0</v>
      </c>
      <c r="G54" s="980"/>
      <c r="H54" s="980"/>
      <c r="I54" s="980"/>
    </row>
    <row r="55" spans="1:9" x14ac:dyDescent="0.3">
      <c r="A55" s="972">
        <v>50</v>
      </c>
      <c r="B55" s="976" t="s">
        <v>213</v>
      </c>
      <c r="C55" s="977" t="s">
        <v>214</v>
      </c>
      <c r="D55" s="978">
        <v>24715</v>
      </c>
      <c r="E55" s="979">
        <v>0</v>
      </c>
      <c r="F55" s="979">
        <v>0</v>
      </c>
      <c r="G55" s="980"/>
      <c r="H55" s="980"/>
      <c r="I55" s="980"/>
    </row>
    <row r="56" spans="1:9" x14ac:dyDescent="0.3">
      <c r="A56" s="972">
        <v>51</v>
      </c>
      <c r="B56" s="976" t="s">
        <v>119</v>
      </c>
      <c r="C56" s="977" t="s">
        <v>120</v>
      </c>
      <c r="D56" s="978">
        <v>10674</v>
      </c>
      <c r="E56" s="979">
        <v>0</v>
      </c>
      <c r="F56" s="979">
        <v>0</v>
      </c>
      <c r="G56" s="980"/>
      <c r="H56" s="980"/>
      <c r="I56" s="980"/>
    </row>
    <row r="57" spans="1:9" x14ac:dyDescent="0.3">
      <c r="A57" s="972">
        <v>52</v>
      </c>
      <c r="B57" s="976" t="s">
        <v>38</v>
      </c>
      <c r="C57" s="977" t="s">
        <v>39</v>
      </c>
      <c r="D57" s="978">
        <v>22443</v>
      </c>
      <c r="E57" s="979">
        <v>0</v>
      </c>
      <c r="F57" s="979">
        <v>0</v>
      </c>
      <c r="G57" s="980"/>
      <c r="H57" s="980"/>
      <c r="I57" s="980"/>
    </row>
    <row r="58" spans="1:9" x14ac:dyDescent="0.3">
      <c r="A58" s="972">
        <v>53</v>
      </c>
      <c r="B58" s="976" t="s">
        <v>60</v>
      </c>
      <c r="C58" s="977" t="s">
        <v>61</v>
      </c>
      <c r="D58" s="978">
        <v>7147</v>
      </c>
      <c r="E58" s="979">
        <v>0</v>
      </c>
      <c r="F58" s="979">
        <v>0</v>
      </c>
      <c r="G58" s="980"/>
      <c r="H58" s="980"/>
      <c r="I58" s="980"/>
    </row>
    <row r="59" spans="1:9" x14ac:dyDescent="0.3">
      <c r="A59" s="972">
        <v>54</v>
      </c>
      <c r="B59" s="976" t="s">
        <v>26</v>
      </c>
      <c r="C59" s="977" t="s">
        <v>27</v>
      </c>
      <c r="D59" s="978">
        <v>84479</v>
      </c>
      <c r="E59" s="979">
        <v>0</v>
      </c>
      <c r="F59" s="979">
        <v>0</v>
      </c>
      <c r="G59" s="980"/>
      <c r="H59" s="980"/>
      <c r="I59" s="980"/>
    </row>
    <row r="60" spans="1:9" x14ac:dyDescent="0.3">
      <c r="A60" s="972">
        <v>55</v>
      </c>
      <c r="B60" s="976" t="s">
        <v>99</v>
      </c>
      <c r="C60" s="977" t="s">
        <v>100</v>
      </c>
      <c r="D60" s="978">
        <v>54051</v>
      </c>
      <c r="E60" s="979">
        <v>0</v>
      </c>
      <c r="F60" s="979">
        <v>0</v>
      </c>
      <c r="G60" s="980"/>
      <c r="H60" s="980"/>
      <c r="I60" s="980"/>
    </row>
    <row r="61" spans="1:9" x14ac:dyDescent="0.3">
      <c r="A61" s="972">
        <v>56</v>
      </c>
      <c r="B61" s="976" t="s">
        <v>58</v>
      </c>
      <c r="C61" s="977" t="s">
        <v>59</v>
      </c>
      <c r="D61" s="978">
        <v>31433</v>
      </c>
      <c r="E61" s="979">
        <v>0</v>
      </c>
      <c r="F61" s="979">
        <v>0</v>
      </c>
      <c r="G61" s="980"/>
      <c r="H61" s="980"/>
      <c r="I61" s="980"/>
    </row>
    <row r="62" spans="1:9" x14ac:dyDescent="0.3">
      <c r="A62" s="972">
        <v>57</v>
      </c>
      <c r="B62" s="976" t="s">
        <v>97</v>
      </c>
      <c r="C62" s="977" t="s">
        <v>451</v>
      </c>
      <c r="D62" s="978">
        <v>2414</v>
      </c>
      <c r="E62" s="979">
        <v>0</v>
      </c>
      <c r="F62" s="979">
        <v>0</v>
      </c>
      <c r="G62" s="980"/>
      <c r="H62" s="980"/>
      <c r="I62" s="980"/>
    </row>
    <row r="63" spans="1:9" x14ac:dyDescent="0.3">
      <c r="A63" s="972">
        <v>58</v>
      </c>
      <c r="B63" s="976" t="s">
        <v>79</v>
      </c>
      <c r="C63" s="977" t="s">
        <v>80</v>
      </c>
      <c r="D63" s="978">
        <v>66447</v>
      </c>
      <c r="E63" s="979">
        <v>0</v>
      </c>
      <c r="F63" s="979">
        <v>0</v>
      </c>
      <c r="G63" s="980"/>
      <c r="H63" s="980"/>
      <c r="I63" s="980"/>
    </row>
    <row r="64" spans="1:9" x14ac:dyDescent="0.3">
      <c r="A64" s="972">
        <v>59</v>
      </c>
      <c r="B64" s="976" t="s">
        <v>68</v>
      </c>
      <c r="C64" s="977" t="s">
        <v>452</v>
      </c>
      <c r="D64" s="978">
        <v>31219</v>
      </c>
      <c r="E64" s="979">
        <v>218</v>
      </c>
      <c r="F64" s="979">
        <v>0</v>
      </c>
      <c r="G64" s="980"/>
      <c r="H64" s="980"/>
      <c r="I64" s="980"/>
    </row>
    <row r="65" spans="1:9" x14ac:dyDescent="0.3">
      <c r="A65" s="972">
        <v>60</v>
      </c>
      <c r="B65" s="976" t="s">
        <v>66</v>
      </c>
      <c r="C65" s="977" t="s">
        <v>67</v>
      </c>
      <c r="D65" s="978">
        <v>86775</v>
      </c>
      <c r="E65" s="978">
        <v>21338</v>
      </c>
      <c r="F65" s="979">
        <v>0</v>
      </c>
      <c r="G65" s="980"/>
      <c r="H65" s="980"/>
      <c r="I65" s="980"/>
    </row>
    <row r="66" spans="1:9" x14ac:dyDescent="0.3">
      <c r="A66" s="972">
        <v>61</v>
      </c>
      <c r="B66" s="976" t="s">
        <v>70</v>
      </c>
      <c r="C66" s="977" t="s">
        <v>71</v>
      </c>
      <c r="D66" s="978">
        <v>28031</v>
      </c>
      <c r="E66" s="978">
        <v>14380</v>
      </c>
      <c r="F66" s="979">
        <v>0</v>
      </c>
      <c r="G66" s="980"/>
      <c r="H66" s="980"/>
      <c r="I66" s="980"/>
    </row>
    <row r="67" spans="1:9" x14ac:dyDescent="0.3">
      <c r="A67" s="972">
        <v>62</v>
      </c>
      <c r="B67" s="976" t="s">
        <v>72</v>
      </c>
      <c r="C67" s="977" t="s">
        <v>73</v>
      </c>
      <c r="D67" s="978">
        <v>12000</v>
      </c>
      <c r="E67" s="979">
        <v>0</v>
      </c>
      <c r="F67" s="979">
        <v>0</v>
      </c>
      <c r="G67" s="980"/>
      <c r="H67" s="980"/>
      <c r="I67" s="980"/>
    </row>
    <row r="68" spans="1:9" x14ac:dyDescent="0.3">
      <c r="A68" s="972">
        <v>63</v>
      </c>
      <c r="B68" s="976" t="s">
        <v>75</v>
      </c>
      <c r="C68" s="977" t="s">
        <v>453</v>
      </c>
      <c r="D68" s="978">
        <v>3154</v>
      </c>
      <c r="E68" s="979">
        <v>0</v>
      </c>
      <c r="F68" s="979">
        <v>0</v>
      </c>
      <c r="G68" s="980"/>
      <c r="H68" s="980"/>
      <c r="I68" s="980"/>
    </row>
    <row r="69" spans="1:9" x14ac:dyDescent="0.3">
      <c r="A69" s="972">
        <v>64</v>
      </c>
      <c r="B69" s="976" t="s">
        <v>141</v>
      </c>
      <c r="C69" s="977" t="s">
        <v>454</v>
      </c>
      <c r="D69" s="978">
        <v>27110</v>
      </c>
      <c r="E69" s="979">
        <v>0</v>
      </c>
      <c r="F69" s="979">
        <v>0</v>
      </c>
      <c r="G69" s="980"/>
      <c r="H69" s="980"/>
      <c r="I69" s="980"/>
    </row>
    <row r="70" spans="1:9" x14ac:dyDescent="0.3">
      <c r="A70" s="972">
        <v>65</v>
      </c>
      <c r="B70" s="976" t="s">
        <v>143</v>
      </c>
      <c r="C70" s="977" t="s">
        <v>144</v>
      </c>
      <c r="D70" s="978">
        <v>17023</v>
      </c>
      <c r="E70" s="979">
        <v>0</v>
      </c>
      <c r="F70" s="979">
        <v>0</v>
      </c>
      <c r="G70" s="980"/>
      <c r="H70" s="980"/>
      <c r="I70" s="980"/>
    </row>
    <row r="71" spans="1:9" x14ac:dyDescent="0.3">
      <c r="A71" s="972">
        <v>66</v>
      </c>
      <c r="B71" s="976" t="s">
        <v>161</v>
      </c>
      <c r="C71" s="977" t="s">
        <v>162</v>
      </c>
      <c r="D71" s="978">
        <v>40458</v>
      </c>
      <c r="E71" s="978">
        <v>9113</v>
      </c>
      <c r="F71" s="979">
        <v>0</v>
      </c>
      <c r="G71" s="980"/>
      <c r="H71" s="980"/>
      <c r="I71" s="980"/>
    </row>
    <row r="72" spans="1:9" x14ac:dyDescent="0.3">
      <c r="A72" s="972">
        <v>67</v>
      </c>
      <c r="B72" s="976" t="s">
        <v>145</v>
      </c>
      <c r="C72" s="977" t="s">
        <v>455</v>
      </c>
      <c r="D72" s="978">
        <v>37640</v>
      </c>
      <c r="E72" s="979">
        <v>0</v>
      </c>
      <c r="F72" s="979">
        <v>0</v>
      </c>
      <c r="G72" s="980"/>
      <c r="H72" s="980"/>
      <c r="I72" s="980"/>
    </row>
    <row r="73" spans="1:9" x14ac:dyDescent="0.3">
      <c r="A73" s="972">
        <v>68</v>
      </c>
      <c r="B73" s="976" t="s">
        <v>167</v>
      </c>
      <c r="C73" s="977" t="s">
        <v>168</v>
      </c>
      <c r="D73" s="978">
        <v>10410</v>
      </c>
      <c r="E73" s="979">
        <v>0</v>
      </c>
      <c r="F73" s="979">
        <v>0</v>
      </c>
      <c r="G73" s="980"/>
      <c r="H73" s="980"/>
      <c r="I73" s="980"/>
    </row>
    <row r="74" spans="1:9" x14ac:dyDescent="0.3">
      <c r="A74" s="972">
        <v>69</v>
      </c>
      <c r="B74" s="976" t="s">
        <v>165</v>
      </c>
      <c r="C74" s="977" t="s">
        <v>166</v>
      </c>
      <c r="D74" s="978">
        <v>71548</v>
      </c>
      <c r="E74" s="978">
        <v>26217</v>
      </c>
      <c r="F74" s="978">
        <v>15451</v>
      </c>
      <c r="G74" s="980"/>
      <c r="H74" s="980"/>
      <c r="I74" s="980"/>
    </row>
    <row r="75" spans="1:9" x14ac:dyDescent="0.3">
      <c r="A75" s="972">
        <v>70</v>
      </c>
      <c r="B75" s="976" t="s">
        <v>169</v>
      </c>
      <c r="C75" s="977" t="s">
        <v>170</v>
      </c>
      <c r="D75" s="978">
        <v>47484</v>
      </c>
      <c r="E75" s="979">
        <v>0</v>
      </c>
      <c r="F75" s="979">
        <v>0</v>
      </c>
      <c r="G75" s="980"/>
      <c r="H75" s="980"/>
      <c r="I75" s="980"/>
    </row>
    <row r="76" spans="1:9" x14ac:dyDescent="0.3">
      <c r="A76" s="972">
        <v>71</v>
      </c>
      <c r="B76" s="976" t="s">
        <v>173</v>
      </c>
      <c r="C76" s="977" t="s">
        <v>301</v>
      </c>
      <c r="D76" s="978">
        <v>39227</v>
      </c>
      <c r="E76" s="979">
        <v>0</v>
      </c>
      <c r="F76" s="979">
        <v>0</v>
      </c>
      <c r="G76" s="980"/>
      <c r="H76" s="980"/>
      <c r="I76" s="980"/>
    </row>
    <row r="77" spans="1:9" x14ac:dyDescent="0.3">
      <c r="A77" s="972">
        <v>72</v>
      </c>
      <c r="B77" s="976" t="s">
        <v>163</v>
      </c>
      <c r="C77" s="977" t="s">
        <v>456</v>
      </c>
      <c r="D77" s="978">
        <v>72072</v>
      </c>
      <c r="E77" s="978">
        <v>20018</v>
      </c>
      <c r="F77" s="979">
        <v>0</v>
      </c>
      <c r="G77" s="980"/>
      <c r="H77" s="980"/>
      <c r="I77" s="980"/>
    </row>
    <row r="78" spans="1:9" x14ac:dyDescent="0.3">
      <c r="A78" s="972">
        <v>73</v>
      </c>
      <c r="B78" s="976" t="s">
        <v>171</v>
      </c>
      <c r="C78" s="977" t="s">
        <v>172</v>
      </c>
      <c r="D78" s="978">
        <v>28822</v>
      </c>
      <c r="E78" s="979">
        <v>0</v>
      </c>
      <c r="F78" s="979">
        <v>0</v>
      </c>
      <c r="G78" s="980"/>
      <c r="H78" s="980"/>
      <c r="I78" s="980"/>
    </row>
    <row r="79" spans="1:9" x14ac:dyDescent="0.3">
      <c r="A79" s="972">
        <v>74</v>
      </c>
      <c r="B79" s="976" t="s">
        <v>127</v>
      </c>
      <c r="C79" s="977" t="s">
        <v>128</v>
      </c>
      <c r="D79" s="978">
        <v>9455</v>
      </c>
      <c r="E79" s="979">
        <v>0</v>
      </c>
      <c r="F79" s="979">
        <v>0</v>
      </c>
      <c r="G79" s="980"/>
      <c r="H79" s="980"/>
      <c r="I79" s="980"/>
    </row>
    <row r="80" spans="1:9" x14ac:dyDescent="0.3">
      <c r="A80" s="972">
        <v>75</v>
      </c>
      <c r="B80" s="976" t="s">
        <v>129</v>
      </c>
      <c r="C80" s="977" t="s">
        <v>457</v>
      </c>
      <c r="D80" s="978">
        <v>8147</v>
      </c>
      <c r="E80" s="979">
        <v>0</v>
      </c>
      <c r="F80" s="979">
        <v>0</v>
      </c>
      <c r="G80" s="980"/>
      <c r="H80" s="980"/>
      <c r="I80" s="980"/>
    </row>
    <row r="81" spans="1:9" x14ac:dyDescent="0.3">
      <c r="A81" s="972">
        <v>76</v>
      </c>
      <c r="B81" s="976" t="s">
        <v>131</v>
      </c>
      <c r="C81" s="977" t="s">
        <v>458</v>
      </c>
      <c r="D81" s="978">
        <v>26783</v>
      </c>
      <c r="E81" s="978">
        <v>13883</v>
      </c>
      <c r="F81" s="979">
        <v>0</v>
      </c>
      <c r="G81" s="980"/>
      <c r="H81" s="980"/>
      <c r="I81" s="980"/>
    </row>
    <row r="82" spans="1:9" x14ac:dyDescent="0.3">
      <c r="A82" s="972">
        <v>77</v>
      </c>
      <c r="B82" s="976" t="s">
        <v>133</v>
      </c>
      <c r="C82" s="977" t="s">
        <v>299</v>
      </c>
      <c r="D82" s="978">
        <v>32693</v>
      </c>
      <c r="E82" s="978">
        <v>18898</v>
      </c>
      <c r="F82" s="979">
        <v>0</v>
      </c>
      <c r="G82" s="980"/>
      <c r="H82" s="980"/>
      <c r="I82" s="980"/>
    </row>
    <row r="83" spans="1:9" x14ac:dyDescent="0.3">
      <c r="A83" s="972">
        <v>78</v>
      </c>
      <c r="B83" s="976" t="s">
        <v>135</v>
      </c>
      <c r="C83" s="977" t="s">
        <v>459</v>
      </c>
      <c r="D83" s="978">
        <v>7629</v>
      </c>
      <c r="E83" s="979">
        <v>0</v>
      </c>
      <c r="F83" s="979">
        <v>0</v>
      </c>
      <c r="G83" s="980"/>
      <c r="H83" s="980"/>
      <c r="I83" s="980"/>
    </row>
    <row r="84" spans="1:9" ht="22.5" x14ac:dyDescent="0.3">
      <c r="A84" s="972">
        <v>79</v>
      </c>
      <c r="B84" s="976" t="s">
        <v>139</v>
      </c>
      <c r="C84" s="977" t="s">
        <v>460</v>
      </c>
      <c r="D84" s="978">
        <v>9601</v>
      </c>
      <c r="E84" s="979">
        <v>0</v>
      </c>
      <c r="F84" s="979">
        <v>0</v>
      </c>
      <c r="G84" s="980"/>
      <c r="H84" s="980"/>
      <c r="I84" s="980"/>
    </row>
    <row r="85" spans="1:9" ht="22.5" x14ac:dyDescent="0.3">
      <c r="A85" s="972">
        <v>80</v>
      </c>
      <c r="B85" s="976" t="s">
        <v>149</v>
      </c>
      <c r="C85" s="977" t="s">
        <v>461</v>
      </c>
      <c r="D85" s="978">
        <v>23051</v>
      </c>
      <c r="E85" s="979">
        <v>0</v>
      </c>
      <c r="F85" s="979">
        <v>0</v>
      </c>
      <c r="G85" s="980"/>
      <c r="H85" s="980"/>
      <c r="I85" s="980"/>
    </row>
    <row r="86" spans="1:9" x14ac:dyDescent="0.3">
      <c r="A86" s="972">
        <v>81</v>
      </c>
      <c r="B86" s="976" t="s">
        <v>183</v>
      </c>
      <c r="C86" s="977" t="s">
        <v>462</v>
      </c>
      <c r="D86" s="978">
        <v>2498</v>
      </c>
      <c r="E86" s="979">
        <v>0</v>
      </c>
      <c r="F86" s="979">
        <v>0</v>
      </c>
      <c r="G86" s="980"/>
      <c r="H86" s="980"/>
      <c r="I86" s="980"/>
    </row>
    <row r="87" spans="1:9" x14ac:dyDescent="0.3">
      <c r="A87" s="972">
        <v>82</v>
      </c>
      <c r="B87" s="976" t="s">
        <v>185</v>
      </c>
      <c r="C87" s="977" t="s">
        <v>463</v>
      </c>
      <c r="D87" s="978">
        <v>7915</v>
      </c>
      <c r="E87" s="979">
        <v>0</v>
      </c>
      <c r="F87" s="979">
        <v>0</v>
      </c>
      <c r="G87" s="980"/>
      <c r="H87" s="980"/>
      <c r="I87" s="980"/>
    </row>
    <row r="88" spans="1:9" x14ac:dyDescent="0.3">
      <c r="A88" s="1212">
        <v>83</v>
      </c>
      <c r="B88" s="1213" t="s">
        <v>178</v>
      </c>
      <c r="C88" s="977" t="s">
        <v>464</v>
      </c>
      <c r="D88" s="978">
        <v>14518</v>
      </c>
      <c r="E88" s="979">
        <v>0</v>
      </c>
      <c r="F88" s="978">
        <v>12411</v>
      </c>
      <c r="G88" s="980"/>
      <c r="H88" s="980"/>
      <c r="I88" s="980"/>
    </row>
    <row r="89" spans="1:9" ht="33.75" x14ac:dyDescent="0.3">
      <c r="A89" s="1212"/>
      <c r="B89" s="1213"/>
      <c r="C89" s="977" t="s">
        <v>740</v>
      </c>
      <c r="D89" s="978">
        <v>2107</v>
      </c>
      <c r="E89" s="979"/>
      <c r="F89" s="979"/>
      <c r="G89" s="980"/>
      <c r="H89" s="980"/>
      <c r="I89" s="980"/>
    </row>
    <row r="90" spans="1:9" ht="33.75" x14ac:dyDescent="0.3">
      <c r="A90" s="1212"/>
      <c r="B90" s="1213"/>
      <c r="C90" s="977" t="s">
        <v>741</v>
      </c>
      <c r="D90" s="978">
        <v>12411</v>
      </c>
      <c r="E90" s="979"/>
      <c r="F90" s="978">
        <v>12411</v>
      </c>
      <c r="G90" s="980"/>
      <c r="H90" s="980"/>
      <c r="I90" s="980"/>
    </row>
    <row r="91" spans="1:9" x14ac:dyDescent="0.3">
      <c r="A91" s="972">
        <v>84</v>
      </c>
      <c r="B91" s="976" t="s">
        <v>264</v>
      </c>
      <c r="C91" s="977" t="s">
        <v>265</v>
      </c>
      <c r="D91" s="978">
        <v>30209</v>
      </c>
      <c r="E91" s="978">
        <v>23013</v>
      </c>
      <c r="F91" s="979">
        <v>0</v>
      </c>
      <c r="G91" s="980"/>
      <c r="H91" s="980"/>
      <c r="I91" s="980"/>
    </row>
    <row r="92" spans="1:9" x14ac:dyDescent="0.3">
      <c r="A92" s="972">
        <v>85</v>
      </c>
      <c r="B92" s="976" t="s">
        <v>278</v>
      </c>
      <c r="C92" s="977" t="s">
        <v>279</v>
      </c>
      <c r="D92" s="978">
        <v>76129</v>
      </c>
      <c r="E92" s="978">
        <v>25500</v>
      </c>
      <c r="F92" s="979">
        <v>0</v>
      </c>
      <c r="G92" s="980"/>
      <c r="H92" s="980"/>
      <c r="I92" s="980"/>
    </row>
    <row r="93" spans="1:9" x14ac:dyDescent="0.3">
      <c r="A93" s="972">
        <v>86</v>
      </c>
      <c r="B93" s="976" t="s">
        <v>276</v>
      </c>
      <c r="C93" s="977" t="s">
        <v>277</v>
      </c>
      <c r="D93" s="978">
        <v>51248</v>
      </c>
      <c r="E93" s="979">
        <v>0</v>
      </c>
      <c r="F93" s="979">
        <v>0</v>
      </c>
      <c r="G93" s="980"/>
      <c r="H93" s="980"/>
      <c r="I93" s="980"/>
    </row>
    <row r="94" spans="1:9" x14ac:dyDescent="0.3">
      <c r="A94" s="972">
        <v>87</v>
      </c>
      <c r="B94" s="976" t="s">
        <v>280</v>
      </c>
      <c r="C94" s="977" t="s">
        <v>466</v>
      </c>
      <c r="D94" s="978">
        <v>4000</v>
      </c>
      <c r="E94" s="979">
        <v>0</v>
      </c>
      <c r="F94" s="979">
        <v>0</v>
      </c>
      <c r="G94" s="980"/>
      <c r="H94" s="980"/>
      <c r="I94" s="980"/>
    </row>
    <row r="95" spans="1:9" x14ac:dyDescent="0.3">
      <c r="A95" s="972">
        <v>88</v>
      </c>
      <c r="B95" s="976" t="s">
        <v>262</v>
      </c>
      <c r="C95" s="977" t="s">
        <v>263</v>
      </c>
      <c r="D95" s="979">
        <v>700</v>
      </c>
      <c r="E95" s="979">
        <v>0</v>
      </c>
      <c r="F95" s="979">
        <v>0</v>
      </c>
      <c r="G95" s="980"/>
      <c r="H95" s="980"/>
      <c r="I95" s="980"/>
    </row>
    <row r="96" spans="1:9" x14ac:dyDescent="0.3">
      <c r="A96" s="972"/>
      <c r="B96" s="972"/>
      <c r="C96" s="977" t="s">
        <v>14</v>
      </c>
      <c r="D96" s="978">
        <v>9204</v>
      </c>
      <c r="E96" s="979">
        <v>0</v>
      </c>
      <c r="F96" s="979">
        <v>0</v>
      </c>
      <c r="G96" s="980"/>
      <c r="H96" s="980"/>
      <c r="I96" s="980"/>
    </row>
    <row r="97" spans="1:9" x14ac:dyDescent="0.3">
      <c r="A97" s="981"/>
      <c r="B97" s="981"/>
      <c r="C97" s="982" t="s">
        <v>467</v>
      </c>
      <c r="D97" s="983">
        <f>SUM(D6:D96)-D88</f>
        <v>2114735</v>
      </c>
      <c r="E97" s="983">
        <f t="shared" ref="E97:F97" si="0">SUM(E6:E96)-E88</f>
        <v>172578</v>
      </c>
      <c r="F97" s="983">
        <f t="shared" si="0"/>
        <v>27862</v>
      </c>
      <c r="G97" s="980"/>
      <c r="H97" s="980"/>
      <c r="I97" s="980"/>
    </row>
  </sheetData>
  <mergeCells count="8">
    <mergeCell ref="A88:A90"/>
    <mergeCell ref="B88:B90"/>
    <mergeCell ref="A1:F1"/>
    <mergeCell ref="A3:A4"/>
    <mergeCell ref="B3:B4"/>
    <mergeCell ref="C3:C4"/>
    <mergeCell ref="D3:D4"/>
    <mergeCell ref="E3:F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124"/>
  <sheetViews>
    <sheetView zoomScale="95" zoomScaleNormal="95" workbookViewId="0">
      <pane xSplit="3" ySplit="8" topLeftCell="D116" activePane="bottomRight" state="frozen"/>
      <selection pane="topRight" activeCell="D1" sqref="D1"/>
      <selection pane="bottomLeft" activeCell="A9" sqref="A9"/>
      <selection pane="bottomRight" activeCell="C122" sqref="C122"/>
    </sheetView>
  </sheetViews>
  <sheetFormatPr defaultRowHeight="15" x14ac:dyDescent="0.25"/>
  <cols>
    <col min="1" max="1" width="6" style="767" customWidth="1"/>
    <col min="2" max="2" width="8" style="767" customWidth="1"/>
    <col min="3" max="3" width="26.28515625" style="767" customWidth="1"/>
    <col min="4" max="6" width="9.140625" style="767"/>
    <col min="7" max="8" width="10.42578125" style="767" customWidth="1"/>
    <col min="9" max="9" width="9.140625" style="767"/>
    <col min="10" max="10" width="10" style="767" customWidth="1"/>
    <col min="11" max="11" width="10.7109375" style="767" customWidth="1"/>
    <col min="12" max="16384" width="9.140625" style="767"/>
  </cols>
  <sheetData>
    <row r="1" spans="1:12" x14ac:dyDescent="0.25">
      <c r="A1" s="766"/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</row>
    <row r="2" spans="1:12" ht="15.75" x14ac:dyDescent="0.25">
      <c r="A2" s="768" t="s">
        <v>468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2" x14ac:dyDescent="0.25">
      <c r="A3" s="766"/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</row>
    <row r="4" spans="1:12" ht="15" customHeight="1" x14ac:dyDescent="0.25">
      <c r="A4" s="1220" t="s">
        <v>0</v>
      </c>
      <c r="B4" s="1220" t="s">
        <v>302</v>
      </c>
      <c r="C4" s="1220" t="s">
        <v>469</v>
      </c>
      <c r="D4" s="1220" t="s">
        <v>470</v>
      </c>
      <c r="E4" s="1221" t="s">
        <v>293</v>
      </c>
      <c r="F4" s="1222"/>
      <c r="G4" s="1222"/>
      <c r="H4" s="1222"/>
      <c r="I4" s="1222"/>
      <c r="J4" s="1222"/>
      <c r="K4" s="1222"/>
      <c r="L4" s="1223"/>
    </row>
    <row r="5" spans="1:12" ht="63.75" customHeight="1" x14ac:dyDescent="0.25">
      <c r="A5" s="1220"/>
      <c r="B5" s="1220"/>
      <c r="C5" s="1220"/>
      <c r="D5" s="1220"/>
      <c r="E5" s="1219" t="s">
        <v>471</v>
      </c>
      <c r="F5" s="1219" t="s">
        <v>472</v>
      </c>
      <c r="G5" s="1219" t="s">
        <v>473</v>
      </c>
      <c r="H5" s="1219" t="s">
        <v>474</v>
      </c>
      <c r="I5" s="1221" t="s">
        <v>475</v>
      </c>
      <c r="J5" s="1222"/>
      <c r="K5" s="1222"/>
      <c r="L5" s="1223"/>
    </row>
    <row r="6" spans="1:12" x14ac:dyDescent="0.25">
      <c r="A6" s="1220"/>
      <c r="B6" s="1220"/>
      <c r="C6" s="1220"/>
      <c r="D6" s="1220"/>
      <c r="E6" s="1219"/>
      <c r="F6" s="1219"/>
      <c r="G6" s="1219"/>
      <c r="H6" s="1219"/>
      <c r="I6" s="1219" t="s">
        <v>6</v>
      </c>
      <c r="J6" s="1221" t="s">
        <v>293</v>
      </c>
      <c r="K6" s="1222"/>
      <c r="L6" s="1223"/>
    </row>
    <row r="7" spans="1:12" ht="29.25" customHeight="1" x14ac:dyDescent="0.25">
      <c r="A7" s="1220"/>
      <c r="B7" s="1220"/>
      <c r="C7" s="1220"/>
      <c r="D7" s="1220"/>
      <c r="E7" s="1219"/>
      <c r="F7" s="1219"/>
      <c r="G7" s="1219"/>
      <c r="H7" s="1219"/>
      <c r="I7" s="1219"/>
      <c r="J7" s="1219" t="s">
        <v>476</v>
      </c>
      <c r="K7" s="1221" t="s">
        <v>346</v>
      </c>
      <c r="L7" s="1223"/>
    </row>
    <row r="8" spans="1:12" ht="47.25" customHeight="1" x14ac:dyDescent="0.25">
      <c r="A8" s="1220"/>
      <c r="B8" s="1220"/>
      <c r="C8" s="1220"/>
      <c r="D8" s="1220"/>
      <c r="E8" s="1219"/>
      <c r="F8" s="1219"/>
      <c r="G8" s="1219"/>
      <c r="H8" s="1219"/>
      <c r="I8" s="1219"/>
      <c r="J8" s="1219"/>
      <c r="K8" s="769" t="s">
        <v>297</v>
      </c>
      <c r="L8" s="769" t="s">
        <v>798</v>
      </c>
    </row>
    <row r="9" spans="1:12" x14ac:dyDescent="0.25">
      <c r="A9" s="770">
        <v>1</v>
      </c>
      <c r="B9" s="770">
        <v>2</v>
      </c>
      <c r="C9" s="770">
        <v>3</v>
      </c>
      <c r="D9" s="770">
        <v>4</v>
      </c>
      <c r="E9" s="771">
        <v>5</v>
      </c>
      <c r="F9" s="770">
        <v>6</v>
      </c>
      <c r="G9" s="770">
        <v>7</v>
      </c>
      <c r="H9" s="770">
        <v>8</v>
      </c>
      <c r="I9" s="770">
        <v>9</v>
      </c>
      <c r="J9" s="771">
        <v>10</v>
      </c>
      <c r="K9" s="770">
        <v>11</v>
      </c>
      <c r="L9" s="770">
        <v>12</v>
      </c>
    </row>
    <row r="10" spans="1:12" x14ac:dyDescent="0.25">
      <c r="A10" s="772">
        <v>1</v>
      </c>
      <c r="B10" s="772">
        <v>25004</v>
      </c>
      <c r="C10" s="773" t="s">
        <v>17</v>
      </c>
      <c r="D10" s="774">
        <f>E10+F10+G10+H10+I10</f>
        <v>31916</v>
      </c>
      <c r="E10" s="774">
        <v>0</v>
      </c>
      <c r="F10" s="774">
        <v>0</v>
      </c>
      <c r="G10" s="774">
        <v>0</v>
      </c>
      <c r="H10" s="774">
        <v>0</v>
      </c>
      <c r="I10" s="774">
        <f t="shared" ref="I10:I31" si="0">J10+K10</f>
        <v>31916</v>
      </c>
      <c r="J10" s="774">
        <v>8347</v>
      </c>
      <c r="K10" s="774">
        <v>23569</v>
      </c>
      <c r="L10" s="774">
        <v>12</v>
      </c>
    </row>
    <row r="11" spans="1:12" x14ac:dyDescent="0.25">
      <c r="A11" s="772">
        <v>2</v>
      </c>
      <c r="B11" s="772">
        <v>22103</v>
      </c>
      <c r="C11" s="773" t="s">
        <v>19</v>
      </c>
      <c r="D11" s="774">
        <f t="shared" ref="D11:D74" si="1">E11+F11+G11+H11+I11</f>
        <v>33302</v>
      </c>
      <c r="E11" s="774">
        <v>0</v>
      </c>
      <c r="F11" s="774">
        <v>0</v>
      </c>
      <c r="G11" s="774">
        <v>0</v>
      </c>
      <c r="H11" s="774">
        <v>0</v>
      </c>
      <c r="I11" s="774">
        <f t="shared" si="0"/>
        <v>33302</v>
      </c>
      <c r="J11" s="774">
        <v>10258</v>
      </c>
      <c r="K11" s="774">
        <v>23044</v>
      </c>
      <c r="L11" s="774">
        <v>121</v>
      </c>
    </row>
    <row r="12" spans="1:12" x14ac:dyDescent="0.25">
      <c r="A12" s="772">
        <v>3</v>
      </c>
      <c r="B12" s="772">
        <v>25001</v>
      </c>
      <c r="C12" s="773" t="s">
        <v>21</v>
      </c>
      <c r="D12" s="774">
        <f t="shared" si="1"/>
        <v>103341</v>
      </c>
      <c r="E12" s="774">
        <v>0</v>
      </c>
      <c r="F12" s="774">
        <v>4491</v>
      </c>
      <c r="G12" s="774">
        <v>0</v>
      </c>
      <c r="H12" s="774">
        <v>0</v>
      </c>
      <c r="I12" s="774">
        <f t="shared" si="0"/>
        <v>98850</v>
      </c>
      <c r="J12" s="774">
        <v>35627</v>
      </c>
      <c r="K12" s="774">
        <v>63223</v>
      </c>
      <c r="L12" s="774">
        <v>2</v>
      </c>
    </row>
    <row r="13" spans="1:12" ht="27" customHeight="1" x14ac:dyDescent="0.25">
      <c r="A13" s="772">
        <v>4</v>
      </c>
      <c r="B13" s="772">
        <v>21668</v>
      </c>
      <c r="C13" s="773" t="s">
        <v>477</v>
      </c>
      <c r="D13" s="774">
        <f t="shared" si="1"/>
        <v>0</v>
      </c>
      <c r="E13" s="774">
        <v>0</v>
      </c>
      <c r="F13" s="774">
        <v>0</v>
      </c>
      <c r="G13" s="774">
        <v>0</v>
      </c>
      <c r="H13" s="774">
        <v>0</v>
      </c>
      <c r="I13" s="774">
        <f t="shared" si="0"/>
        <v>0</v>
      </c>
      <c r="J13" s="774">
        <v>0</v>
      </c>
      <c r="K13" s="774">
        <v>0</v>
      </c>
      <c r="L13" s="774">
        <v>0</v>
      </c>
    </row>
    <row r="14" spans="1:12" x14ac:dyDescent="0.25">
      <c r="A14" s="772">
        <v>5</v>
      </c>
      <c r="B14" s="772">
        <v>25005</v>
      </c>
      <c r="C14" s="773" t="s">
        <v>23</v>
      </c>
      <c r="D14" s="774">
        <f t="shared" si="1"/>
        <v>35260</v>
      </c>
      <c r="E14" s="774">
        <v>0</v>
      </c>
      <c r="F14" s="774">
        <v>0</v>
      </c>
      <c r="G14" s="774">
        <v>0</v>
      </c>
      <c r="H14" s="774">
        <v>0</v>
      </c>
      <c r="I14" s="774">
        <f t="shared" si="0"/>
        <v>35260</v>
      </c>
      <c r="J14" s="774">
        <v>9378</v>
      </c>
      <c r="K14" s="774">
        <v>25882</v>
      </c>
      <c r="L14" s="774">
        <v>0</v>
      </c>
    </row>
    <row r="15" spans="1:12" ht="25.5" customHeight="1" x14ac:dyDescent="0.25">
      <c r="A15" s="772">
        <v>6</v>
      </c>
      <c r="B15" s="772">
        <v>22102</v>
      </c>
      <c r="C15" s="773" t="s">
        <v>25</v>
      </c>
      <c r="D15" s="774">
        <f t="shared" si="1"/>
        <v>37988</v>
      </c>
      <c r="E15" s="774">
        <v>0</v>
      </c>
      <c r="F15" s="774">
        <v>0</v>
      </c>
      <c r="G15" s="774">
        <v>0</v>
      </c>
      <c r="H15" s="774">
        <v>0</v>
      </c>
      <c r="I15" s="774">
        <f t="shared" si="0"/>
        <v>37988</v>
      </c>
      <c r="J15" s="774">
        <v>10029</v>
      </c>
      <c r="K15" s="774">
        <v>27959</v>
      </c>
      <c r="L15" s="774">
        <v>16</v>
      </c>
    </row>
    <row r="16" spans="1:12" x14ac:dyDescent="0.25">
      <c r="A16" s="772">
        <v>7</v>
      </c>
      <c r="B16" s="772">
        <v>21201</v>
      </c>
      <c r="C16" s="773" t="s">
        <v>27</v>
      </c>
      <c r="D16" s="774">
        <f t="shared" si="1"/>
        <v>269520</v>
      </c>
      <c r="E16" s="774">
        <v>0</v>
      </c>
      <c r="F16" s="774">
        <v>6549</v>
      </c>
      <c r="G16" s="774">
        <v>0</v>
      </c>
      <c r="H16" s="774">
        <v>0</v>
      </c>
      <c r="I16" s="774">
        <f t="shared" si="0"/>
        <v>262971</v>
      </c>
      <c r="J16" s="774">
        <v>71950</v>
      </c>
      <c r="K16" s="774">
        <v>191021</v>
      </c>
      <c r="L16" s="774">
        <v>2775</v>
      </c>
    </row>
    <row r="17" spans="1:12" x14ac:dyDescent="0.25">
      <c r="A17" s="772">
        <v>8</v>
      </c>
      <c r="B17" s="772">
        <v>27001</v>
      </c>
      <c r="C17" s="773" t="s">
        <v>29</v>
      </c>
      <c r="D17" s="774">
        <f t="shared" si="1"/>
        <v>110688</v>
      </c>
      <c r="E17" s="774">
        <v>0</v>
      </c>
      <c r="F17" s="774">
        <v>0</v>
      </c>
      <c r="G17" s="774">
        <v>0</v>
      </c>
      <c r="H17" s="774">
        <v>0</v>
      </c>
      <c r="I17" s="774">
        <f t="shared" si="0"/>
        <v>110688</v>
      </c>
      <c r="J17" s="774">
        <v>37440</v>
      </c>
      <c r="K17" s="774">
        <v>73248</v>
      </c>
      <c r="L17" s="774">
        <v>673</v>
      </c>
    </row>
    <row r="18" spans="1:12" x14ac:dyDescent="0.25">
      <c r="A18" s="772">
        <v>9</v>
      </c>
      <c r="B18" s="772">
        <v>21206</v>
      </c>
      <c r="C18" s="773" t="s">
        <v>31</v>
      </c>
      <c r="D18" s="774">
        <f t="shared" si="1"/>
        <v>40589</v>
      </c>
      <c r="E18" s="774">
        <v>0</v>
      </c>
      <c r="F18" s="774">
        <v>0</v>
      </c>
      <c r="G18" s="774">
        <v>0</v>
      </c>
      <c r="H18" s="774">
        <v>0</v>
      </c>
      <c r="I18" s="774">
        <f t="shared" si="0"/>
        <v>40589</v>
      </c>
      <c r="J18" s="774">
        <v>11058</v>
      </c>
      <c r="K18" s="774">
        <v>29531</v>
      </c>
      <c r="L18" s="774">
        <v>124</v>
      </c>
    </row>
    <row r="19" spans="1:12" x14ac:dyDescent="0.25">
      <c r="A19" s="772">
        <v>10</v>
      </c>
      <c r="B19" s="772">
        <v>25003</v>
      </c>
      <c r="C19" s="773" t="s">
        <v>33</v>
      </c>
      <c r="D19" s="774">
        <f t="shared" si="1"/>
        <v>36761</v>
      </c>
      <c r="E19" s="774">
        <v>0</v>
      </c>
      <c r="F19" s="774">
        <v>0</v>
      </c>
      <c r="G19" s="774">
        <v>0</v>
      </c>
      <c r="H19" s="774">
        <v>0</v>
      </c>
      <c r="I19" s="774">
        <f t="shared" si="0"/>
        <v>36761</v>
      </c>
      <c r="J19" s="774">
        <v>11092</v>
      </c>
      <c r="K19" s="774">
        <v>25669</v>
      </c>
      <c r="L19" s="774">
        <v>84</v>
      </c>
    </row>
    <row r="20" spans="1:12" x14ac:dyDescent="0.25">
      <c r="A20" s="772">
        <v>11</v>
      </c>
      <c r="B20" s="772">
        <v>21205</v>
      </c>
      <c r="C20" s="773" t="s">
        <v>35</v>
      </c>
      <c r="D20" s="774">
        <f t="shared" si="1"/>
        <v>46147</v>
      </c>
      <c r="E20" s="774">
        <v>0</v>
      </c>
      <c r="F20" s="774">
        <v>0</v>
      </c>
      <c r="G20" s="774">
        <v>0</v>
      </c>
      <c r="H20" s="774">
        <v>0</v>
      </c>
      <c r="I20" s="774">
        <f t="shared" si="0"/>
        <v>46147</v>
      </c>
      <c r="J20" s="774">
        <v>13153</v>
      </c>
      <c r="K20" s="774">
        <v>32994</v>
      </c>
      <c r="L20" s="774">
        <v>62</v>
      </c>
    </row>
    <row r="21" spans="1:12" x14ac:dyDescent="0.25">
      <c r="A21" s="772">
        <v>12</v>
      </c>
      <c r="B21" s="772">
        <v>25002</v>
      </c>
      <c r="C21" s="773" t="s">
        <v>37</v>
      </c>
      <c r="D21" s="774">
        <f t="shared" si="1"/>
        <v>37016</v>
      </c>
      <c r="E21" s="774">
        <v>0</v>
      </c>
      <c r="F21" s="774">
        <v>0</v>
      </c>
      <c r="G21" s="774">
        <v>0</v>
      </c>
      <c r="H21" s="774">
        <v>0</v>
      </c>
      <c r="I21" s="774">
        <f t="shared" si="0"/>
        <v>37016</v>
      </c>
      <c r="J21" s="774">
        <v>8621</v>
      </c>
      <c r="K21" s="774">
        <v>28395</v>
      </c>
      <c r="L21" s="774">
        <v>2</v>
      </c>
    </row>
    <row r="22" spans="1:12" x14ac:dyDescent="0.25">
      <c r="A22" s="772">
        <v>13</v>
      </c>
      <c r="B22" s="772">
        <v>22104</v>
      </c>
      <c r="C22" s="773" t="s">
        <v>39</v>
      </c>
      <c r="D22" s="774">
        <f t="shared" si="1"/>
        <v>73370</v>
      </c>
      <c r="E22" s="774">
        <v>0</v>
      </c>
      <c r="F22" s="774">
        <v>0</v>
      </c>
      <c r="G22" s="774">
        <v>0</v>
      </c>
      <c r="H22" s="774">
        <v>0</v>
      </c>
      <c r="I22" s="774">
        <f t="shared" si="0"/>
        <v>73370</v>
      </c>
      <c r="J22" s="774">
        <v>26975</v>
      </c>
      <c r="K22" s="774">
        <v>46395</v>
      </c>
      <c r="L22" s="774">
        <v>486</v>
      </c>
    </row>
    <row r="23" spans="1:12" x14ac:dyDescent="0.25">
      <c r="A23" s="772">
        <v>14</v>
      </c>
      <c r="B23" s="772">
        <v>21501</v>
      </c>
      <c r="C23" s="773" t="s">
        <v>45</v>
      </c>
      <c r="D23" s="774">
        <f t="shared" si="1"/>
        <v>47224</v>
      </c>
      <c r="E23" s="774">
        <v>0</v>
      </c>
      <c r="F23" s="774">
        <v>0</v>
      </c>
      <c r="G23" s="774">
        <v>0</v>
      </c>
      <c r="H23" s="774">
        <v>0</v>
      </c>
      <c r="I23" s="774">
        <f t="shared" si="0"/>
        <v>47224</v>
      </c>
      <c r="J23" s="774">
        <v>10136</v>
      </c>
      <c r="K23" s="774">
        <v>37088</v>
      </c>
      <c r="L23" s="774">
        <v>2</v>
      </c>
    </row>
    <row r="24" spans="1:12" x14ac:dyDescent="0.25">
      <c r="A24" s="772">
        <v>15</v>
      </c>
      <c r="B24" s="772">
        <v>24001</v>
      </c>
      <c r="C24" s="773" t="s">
        <v>47</v>
      </c>
      <c r="D24" s="774">
        <f t="shared" si="1"/>
        <v>69450</v>
      </c>
      <c r="E24" s="774">
        <v>0</v>
      </c>
      <c r="F24" s="774">
        <v>0</v>
      </c>
      <c r="G24" s="774">
        <v>0</v>
      </c>
      <c r="H24" s="774">
        <v>0</v>
      </c>
      <c r="I24" s="774">
        <f t="shared" si="0"/>
        <v>69450</v>
      </c>
      <c r="J24" s="774">
        <v>8194</v>
      </c>
      <c r="K24" s="774">
        <v>61256</v>
      </c>
      <c r="L24" s="774">
        <v>2</v>
      </c>
    </row>
    <row r="25" spans="1:12" x14ac:dyDescent="0.25">
      <c r="A25" s="772">
        <v>16</v>
      </c>
      <c r="B25" s="772">
        <v>22001</v>
      </c>
      <c r="C25" s="773" t="s">
        <v>49</v>
      </c>
      <c r="D25" s="774">
        <f t="shared" si="1"/>
        <v>79199</v>
      </c>
      <c r="E25" s="774">
        <v>0</v>
      </c>
      <c r="F25" s="774">
        <v>0</v>
      </c>
      <c r="G25" s="774">
        <v>0</v>
      </c>
      <c r="H25" s="774">
        <v>0</v>
      </c>
      <c r="I25" s="774">
        <f t="shared" si="0"/>
        <v>79199</v>
      </c>
      <c r="J25" s="774">
        <v>30204</v>
      </c>
      <c r="K25" s="774">
        <v>48995</v>
      </c>
      <c r="L25" s="774">
        <v>0</v>
      </c>
    </row>
    <row r="26" spans="1:12" x14ac:dyDescent="0.25">
      <c r="A26" s="772">
        <v>17</v>
      </c>
      <c r="B26" s="772">
        <v>24005</v>
      </c>
      <c r="C26" s="773" t="s">
        <v>51</v>
      </c>
      <c r="D26" s="774">
        <f t="shared" si="1"/>
        <v>166704</v>
      </c>
      <c r="E26" s="774">
        <v>0</v>
      </c>
      <c r="F26" s="774">
        <v>4286</v>
      </c>
      <c r="G26" s="774">
        <v>0</v>
      </c>
      <c r="H26" s="774">
        <v>0</v>
      </c>
      <c r="I26" s="774">
        <f t="shared" si="0"/>
        <v>162418</v>
      </c>
      <c r="J26" s="774">
        <v>50880</v>
      </c>
      <c r="K26" s="774">
        <v>111538</v>
      </c>
      <c r="L26" s="774">
        <v>705</v>
      </c>
    </row>
    <row r="27" spans="1:12" x14ac:dyDescent="0.25">
      <c r="A27" s="772">
        <v>18</v>
      </c>
      <c r="B27" s="772">
        <v>24002</v>
      </c>
      <c r="C27" s="773" t="s">
        <v>53</v>
      </c>
      <c r="D27" s="774">
        <f t="shared" si="1"/>
        <v>29394</v>
      </c>
      <c r="E27" s="774">
        <v>0</v>
      </c>
      <c r="F27" s="774">
        <v>0</v>
      </c>
      <c r="G27" s="774">
        <v>0</v>
      </c>
      <c r="H27" s="774">
        <v>0</v>
      </c>
      <c r="I27" s="774">
        <f t="shared" si="0"/>
        <v>29394</v>
      </c>
      <c r="J27" s="774">
        <v>11497</v>
      </c>
      <c r="K27" s="774">
        <v>17897</v>
      </c>
      <c r="L27" s="774">
        <v>98</v>
      </c>
    </row>
    <row r="28" spans="1:12" x14ac:dyDescent="0.25">
      <c r="A28" s="772">
        <v>19</v>
      </c>
      <c r="B28" s="772">
        <v>22012</v>
      </c>
      <c r="C28" s="773" t="s">
        <v>55</v>
      </c>
      <c r="D28" s="774">
        <f t="shared" si="1"/>
        <v>23964</v>
      </c>
      <c r="E28" s="774">
        <v>0</v>
      </c>
      <c r="F28" s="774">
        <v>0</v>
      </c>
      <c r="G28" s="774">
        <v>0</v>
      </c>
      <c r="H28" s="774">
        <v>0</v>
      </c>
      <c r="I28" s="774">
        <f t="shared" si="0"/>
        <v>23964</v>
      </c>
      <c r="J28" s="774">
        <v>5316</v>
      </c>
      <c r="K28" s="774">
        <v>18648</v>
      </c>
      <c r="L28" s="774">
        <v>50</v>
      </c>
    </row>
    <row r="29" spans="1:12" x14ac:dyDescent="0.25">
      <c r="A29" s="772">
        <v>20</v>
      </c>
      <c r="B29" s="772">
        <v>21901</v>
      </c>
      <c r="C29" s="773" t="s">
        <v>57</v>
      </c>
      <c r="D29" s="774">
        <f t="shared" si="1"/>
        <v>122523</v>
      </c>
      <c r="E29" s="774">
        <v>0</v>
      </c>
      <c r="F29" s="774">
        <v>0</v>
      </c>
      <c r="G29" s="774">
        <v>0</v>
      </c>
      <c r="H29" s="774">
        <v>0</v>
      </c>
      <c r="I29" s="774">
        <f t="shared" si="0"/>
        <v>122523</v>
      </c>
      <c r="J29" s="774">
        <v>49854</v>
      </c>
      <c r="K29" s="774">
        <v>72669</v>
      </c>
      <c r="L29" s="774">
        <v>128</v>
      </c>
    </row>
    <row r="30" spans="1:12" x14ac:dyDescent="0.25">
      <c r="A30" s="772">
        <v>21</v>
      </c>
      <c r="B30" s="772">
        <v>21502</v>
      </c>
      <c r="C30" s="773" t="s">
        <v>59</v>
      </c>
      <c r="D30" s="774">
        <f t="shared" si="1"/>
        <v>84806</v>
      </c>
      <c r="E30" s="774">
        <v>0</v>
      </c>
      <c r="F30" s="774">
        <v>4493</v>
      </c>
      <c r="G30" s="774">
        <v>0</v>
      </c>
      <c r="H30" s="774">
        <v>0</v>
      </c>
      <c r="I30" s="774">
        <f t="shared" si="0"/>
        <v>80313</v>
      </c>
      <c r="J30" s="774">
        <v>26642</v>
      </c>
      <c r="K30" s="774">
        <v>53671</v>
      </c>
      <c r="L30" s="774">
        <v>176</v>
      </c>
    </row>
    <row r="31" spans="1:12" ht="24" x14ac:dyDescent="0.25">
      <c r="A31" s="772">
        <v>22</v>
      </c>
      <c r="B31" s="772">
        <v>24006</v>
      </c>
      <c r="C31" s="773" t="s">
        <v>478</v>
      </c>
      <c r="D31" s="774">
        <f t="shared" si="1"/>
        <v>25287</v>
      </c>
      <c r="E31" s="774">
        <v>0</v>
      </c>
      <c r="F31" s="774">
        <v>0</v>
      </c>
      <c r="G31" s="774">
        <v>0</v>
      </c>
      <c r="H31" s="774">
        <v>0</v>
      </c>
      <c r="I31" s="774">
        <f t="shared" si="0"/>
        <v>25287</v>
      </c>
      <c r="J31" s="774">
        <v>8839</v>
      </c>
      <c r="K31" s="774">
        <v>16448</v>
      </c>
      <c r="L31" s="774">
        <v>740</v>
      </c>
    </row>
    <row r="32" spans="1:12" x14ac:dyDescent="0.25">
      <c r="A32" s="772">
        <v>23</v>
      </c>
      <c r="B32" s="772">
        <v>21601</v>
      </c>
      <c r="C32" s="773" t="s">
        <v>479</v>
      </c>
      <c r="D32" s="774">
        <f t="shared" si="1"/>
        <v>304184</v>
      </c>
      <c r="E32" s="774">
        <v>0</v>
      </c>
      <c r="F32" s="774">
        <v>13440</v>
      </c>
      <c r="G32" s="774">
        <v>0</v>
      </c>
      <c r="H32" s="774">
        <v>3508</v>
      </c>
      <c r="I32" s="774">
        <f>J32+K32</f>
        <v>287236</v>
      </c>
      <c r="J32" s="774">
        <v>67230</v>
      </c>
      <c r="K32" s="774">
        <v>220006</v>
      </c>
      <c r="L32" s="774">
        <v>1026</v>
      </c>
    </row>
    <row r="33" spans="1:12" x14ac:dyDescent="0.25">
      <c r="A33" s="772">
        <v>24</v>
      </c>
      <c r="B33" s="772">
        <v>21602</v>
      </c>
      <c r="C33" s="773" t="s">
        <v>480</v>
      </c>
      <c r="D33" s="774">
        <f t="shared" si="1"/>
        <v>78340</v>
      </c>
      <c r="E33" s="774">
        <v>0</v>
      </c>
      <c r="F33" s="774">
        <v>0</v>
      </c>
      <c r="G33" s="774">
        <v>0</v>
      </c>
      <c r="H33" s="774">
        <v>0</v>
      </c>
      <c r="I33" s="774">
        <f t="shared" ref="I33:I96" si="2">J33+K33</f>
        <v>78340</v>
      </c>
      <c r="J33" s="774">
        <v>19039</v>
      </c>
      <c r="K33" s="774">
        <v>59301</v>
      </c>
      <c r="L33" s="774">
        <v>549</v>
      </c>
    </row>
    <row r="34" spans="1:12" x14ac:dyDescent="0.25">
      <c r="A34" s="772">
        <v>25</v>
      </c>
      <c r="B34" s="772">
        <v>21616</v>
      </c>
      <c r="C34" s="773" t="s">
        <v>481</v>
      </c>
      <c r="D34" s="774">
        <f t="shared" si="1"/>
        <v>63434</v>
      </c>
      <c r="E34" s="774">
        <v>0</v>
      </c>
      <c r="F34" s="774">
        <v>0</v>
      </c>
      <c r="G34" s="774">
        <v>0</v>
      </c>
      <c r="H34" s="774">
        <v>1673</v>
      </c>
      <c r="I34" s="774">
        <f t="shared" si="2"/>
        <v>61761</v>
      </c>
      <c r="J34" s="774">
        <v>8675</v>
      </c>
      <c r="K34" s="774">
        <v>53086</v>
      </c>
      <c r="L34" s="774">
        <v>285</v>
      </c>
    </row>
    <row r="35" spans="1:12" x14ac:dyDescent="0.25">
      <c r="A35" s="772">
        <v>26</v>
      </c>
      <c r="B35" s="772">
        <v>21636</v>
      </c>
      <c r="C35" s="773" t="s">
        <v>73</v>
      </c>
      <c r="D35" s="774">
        <f t="shared" si="1"/>
        <v>67865</v>
      </c>
      <c r="E35" s="774">
        <v>0</v>
      </c>
      <c r="F35" s="774">
        <v>0</v>
      </c>
      <c r="G35" s="774">
        <v>67865</v>
      </c>
      <c r="H35" s="774">
        <v>0</v>
      </c>
      <c r="I35" s="774">
        <f t="shared" si="2"/>
        <v>0</v>
      </c>
      <c r="J35" s="774">
        <v>0</v>
      </c>
      <c r="K35" s="774">
        <v>0</v>
      </c>
      <c r="L35" s="774">
        <v>0</v>
      </c>
    </row>
    <row r="36" spans="1:12" ht="24" x14ac:dyDescent="0.25">
      <c r="A36" s="772">
        <v>27</v>
      </c>
      <c r="B36" s="772">
        <v>21604</v>
      </c>
      <c r="C36" s="773" t="s">
        <v>482</v>
      </c>
      <c r="D36" s="774">
        <f t="shared" si="1"/>
        <v>11153</v>
      </c>
      <c r="E36" s="774">
        <v>0</v>
      </c>
      <c r="F36" s="774">
        <v>0</v>
      </c>
      <c r="G36" s="774">
        <v>0</v>
      </c>
      <c r="H36" s="774">
        <v>0</v>
      </c>
      <c r="I36" s="774">
        <f t="shared" si="2"/>
        <v>11153</v>
      </c>
      <c r="J36" s="774">
        <v>4222</v>
      </c>
      <c r="K36" s="774">
        <v>6931</v>
      </c>
      <c r="L36" s="774">
        <v>128</v>
      </c>
    </row>
    <row r="37" spans="1:12" x14ac:dyDescent="0.25">
      <c r="A37" s="772">
        <v>28</v>
      </c>
      <c r="B37" s="772">
        <v>21111</v>
      </c>
      <c r="C37" s="773" t="s">
        <v>78</v>
      </c>
      <c r="D37" s="774">
        <f t="shared" si="1"/>
        <v>139471</v>
      </c>
      <c r="E37" s="774">
        <v>0</v>
      </c>
      <c r="F37" s="774">
        <v>4379</v>
      </c>
      <c r="G37" s="774">
        <v>0</v>
      </c>
      <c r="H37" s="774">
        <v>0</v>
      </c>
      <c r="I37" s="774">
        <f t="shared" si="2"/>
        <v>135092</v>
      </c>
      <c r="J37" s="774">
        <v>39191</v>
      </c>
      <c r="K37" s="774">
        <v>95901</v>
      </c>
      <c r="L37" s="774">
        <v>194</v>
      </c>
    </row>
    <row r="38" spans="1:12" x14ac:dyDescent="0.25">
      <c r="A38" s="772">
        <v>29</v>
      </c>
      <c r="B38" s="772">
        <v>21424</v>
      </c>
      <c r="C38" s="773" t="s">
        <v>80</v>
      </c>
      <c r="D38" s="774">
        <f t="shared" si="1"/>
        <v>188531</v>
      </c>
      <c r="E38" s="774">
        <v>0</v>
      </c>
      <c r="F38" s="774">
        <v>3857</v>
      </c>
      <c r="G38" s="774">
        <v>0</v>
      </c>
      <c r="H38" s="774">
        <v>0</v>
      </c>
      <c r="I38" s="774">
        <f t="shared" si="2"/>
        <v>184674</v>
      </c>
      <c r="J38" s="774">
        <v>75740</v>
      </c>
      <c r="K38" s="774">
        <v>108934</v>
      </c>
      <c r="L38" s="774">
        <v>123</v>
      </c>
    </row>
    <row r="39" spans="1:12" x14ac:dyDescent="0.25">
      <c r="A39" s="772">
        <v>30</v>
      </c>
      <c r="B39" s="772">
        <v>21105</v>
      </c>
      <c r="C39" s="773" t="s">
        <v>82</v>
      </c>
      <c r="D39" s="774">
        <f t="shared" si="1"/>
        <v>42074</v>
      </c>
      <c r="E39" s="774">
        <v>0</v>
      </c>
      <c r="F39" s="774">
        <v>0</v>
      </c>
      <c r="G39" s="774">
        <v>0</v>
      </c>
      <c r="H39" s="774">
        <v>0</v>
      </c>
      <c r="I39" s="774">
        <f t="shared" si="2"/>
        <v>42074</v>
      </c>
      <c r="J39" s="774">
        <v>11097</v>
      </c>
      <c r="K39" s="774">
        <v>30977</v>
      </c>
      <c r="L39" s="774">
        <v>372</v>
      </c>
    </row>
    <row r="40" spans="1:12" x14ac:dyDescent="0.25">
      <c r="A40" s="772">
        <v>31</v>
      </c>
      <c r="B40" s="772">
        <v>29001</v>
      </c>
      <c r="C40" s="773" t="s">
        <v>84</v>
      </c>
      <c r="D40" s="774">
        <f t="shared" si="1"/>
        <v>144954</v>
      </c>
      <c r="E40" s="774">
        <v>0</v>
      </c>
      <c r="F40" s="774">
        <v>0</v>
      </c>
      <c r="G40" s="774">
        <v>0</v>
      </c>
      <c r="H40" s="774">
        <v>0</v>
      </c>
      <c r="I40" s="774">
        <f t="shared" si="2"/>
        <v>144954</v>
      </c>
      <c r="J40" s="774">
        <v>50167</v>
      </c>
      <c r="K40" s="774">
        <v>94787</v>
      </c>
      <c r="L40" s="774">
        <v>712</v>
      </c>
    </row>
    <row r="41" spans="1:12" x14ac:dyDescent="0.25">
      <c r="A41" s="772">
        <v>32</v>
      </c>
      <c r="B41" s="772">
        <v>21605</v>
      </c>
      <c r="C41" s="773" t="s">
        <v>86</v>
      </c>
      <c r="D41" s="774">
        <f t="shared" si="1"/>
        <v>54259</v>
      </c>
      <c r="E41" s="774">
        <v>0</v>
      </c>
      <c r="F41" s="774">
        <v>0</v>
      </c>
      <c r="G41" s="774">
        <v>0</v>
      </c>
      <c r="H41" s="774">
        <v>0</v>
      </c>
      <c r="I41" s="774">
        <f t="shared" si="2"/>
        <v>54259</v>
      </c>
      <c r="J41" s="774">
        <v>19085</v>
      </c>
      <c r="K41" s="774">
        <v>35174</v>
      </c>
      <c r="L41" s="774">
        <v>73</v>
      </c>
    </row>
    <row r="42" spans="1:12" x14ac:dyDescent="0.25">
      <c r="A42" s="772">
        <v>33</v>
      </c>
      <c r="B42" s="772">
        <v>21104</v>
      </c>
      <c r="C42" s="773" t="s">
        <v>88</v>
      </c>
      <c r="D42" s="774">
        <f t="shared" si="1"/>
        <v>133371</v>
      </c>
      <c r="E42" s="774">
        <v>0</v>
      </c>
      <c r="F42" s="774">
        <v>0</v>
      </c>
      <c r="G42" s="774">
        <v>0</v>
      </c>
      <c r="H42" s="774">
        <v>0</v>
      </c>
      <c r="I42" s="774">
        <f t="shared" si="2"/>
        <v>133371</v>
      </c>
      <c r="J42" s="774">
        <v>34523</v>
      </c>
      <c r="K42" s="774">
        <v>98848</v>
      </c>
      <c r="L42" s="774">
        <v>107</v>
      </c>
    </row>
    <row r="43" spans="1:12" x14ac:dyDescent="0.25">
      <c r="A43" s="772">
        <v>34</v>
      </c>
      <c r="B43" s="772">
        <v>21102</v>
      </c>
      <c r="C43" s="773" t="s">
        <v>90</v>
      </c>
      <c r="D43" s="774">
        <f t="shared" si="1"/>
        <v>49168</v>
      </c>
      <c r="E43" s="774">
        <v>0</v>
      </c>
      <c r="F43" s="774">
        <v>0</v>
      </c>
      <c r="G43" s="774">
        <v>0</v>
      </c>
      <c r="H43" s="774">
        <v>0</v>
      </c>
      <c r="I43" s="774">
        <f t="shared" si="2"/>
        <v>49168</v>
      </c>
      <c r="J43" s="774">
        <v>15041</v>
      </c>
      <c r="K43" s="774">
        <v>34127</v>
      </c>
      <c r="L43" s="774">
        <v>0</v>
      </c>
    </row>
    <row r="44" spans="1:12" x14ac:dyDescent="0.25">
      <c r="A44" s="772">
        <v>35</v>
      </c>
      <c r="B44" s="772">
        <v>21606</v>
      </c>
      <c r="C44" s="773" t="s">
        <v>92</v>
      </c>
      <c r="D44" s="774">
        <f t="shared" si="1"/>
        <v>30119</v>
      </c>
      <c r="E44" s="774">
        <v>0</v>
      </c>
      <c r="F44" s="774">
        <v>0</v>
      </c>
      <c r="G44" s="774">
        <v>0</v>
      </c>
      <c r="H44" s="774">
        <v>0</v>
      </c>
      <c r="I44" s="774">
        <f t="shared" si="2"/>
        <v>30119</v>
      </c>
      <c r="J44" s="774">
        <v>10529</v>
      </c>
      <c r="K44" s="774">
        <v>19590</v>
      </c>
      <c r="L44" s="774">
        <v>7</v>
      </c>
    </row>
    <row r="45" spans="1:12" x14ac:dyDescent="0.25">
      <c r="A45" s="772">
        <v>36</v>
      </c>
      <c r="B45" s="772">
        <v>21607</v>
      </c>
      <c r="C45" s="773" t="s">
        <v>94</v>
      </c>
      <c r="D45" s="774">
        <f t="shared" si="1"/>
        <v>53935</v>
      </c>
      <c r="E45" s="774">
        <v>0</v>
      </c>
      <c r="F45" s="774">
        <v>0</v>
      </c>
      <c r="G45" s="774">
        <v>0</v>
      </c>
      <c r="H45" s="774">
        <v>0</v>
      </c>
      <c r="I45" s="774">
        <f t="shared" si="2"/>
        <v>53935</v>
      </c>
      <c r="J45" s="774">
        <v>17348</v>
      </c>
      <c r="K45" s="774">
        <v>36587</v>
      </c>
      <c r="L45" s="774">
        <v>32</v>
      </c>
    </row>
    <row r="46" spans="1:12" x14ac:dyDescent="0.25">
      <c r="A46" s="772">
        <v>37</v>
      </c>
      <c r="B46" s="772">
        <v>21405</v>
      </c>
      <c r="C46" s="773" t="s">
        <v>96</v>
      </c>
      <c r="D46" s="774">
        <f t="shared" si="1"/>
        <v>24763</v>
      </c>
      <c r="E46" s="774">
        <v>0</v>
      </c>
      <c r="F46" s="774">
        <v>0</v>
      </c>
      <c r="G46" s="774">
        <v>0</v>
      </c>
      <c r="H46" s="774">
        <v>0</v>
      </c>
      <c r="I46" s="774">
        <f t="shared" si="2"/>
        <v>24763</v>
      </c>
      <c r="J46" s="774">
        <v>8177</v>
      </c>
      <c r="K46" s="774">
        <v>16586</v>
      </c>
      <c r="L46" s="774">
        <v>14</v>
      </c>
    </row>
    <row r="47" spans="1:12" x14ac:dyDescent="0.25">
      <c r="A47" s="772">
        <v>38</v>
      </c>
      <c r="B47" s="772">
        <v>21401</v>
      </c>
      <c r="C47" s="773" t="s">
        <v>483</v>
      </c>
      <c r="D47" s="774">
        <f t="shared" si="1"/>
        <v>20453</v>
      </c>
      <c r="E47" s="774">
        <v>0</v>
      </c>
      <c r="F47" s="774">
        <v>0</v>
      </c>
      <c r="G47" s="774">
        <v>0</v>
      </c>
      <c r="H47" s="774">
        <v>0</v>
      </c>
      <c r="I47" s="774">
        <f t="shared" si="2"/>
        <v>20453</v>
      </c>
      <c r="J47" s="774">
        <v>2763</v>
      </c>
      <c r="K47" s="774">
        <v>17690</v>
      </c>
      <c r="L47" s="774">
        <v>0</v>
      </c>
    </row>
    <row r="48" spans="1:12" x14ac:dyDescent="0.25">
      <c r="A48" s="772">
        <v>39</v>
      </c>
      <c r="B48" s="772">
        <v>21303</v>
      </c>
      <c r="C48" s="773" t="s">
        <v>100</v>
      </c>
      <c r="D48" s="774">
        <f t="shared" si="1"/>
        <v>187592</v>
      </c>
      <c r="E48" s="774">
        <v>0</v>
      </c>
      <c r="F48" s="774">
        <v>5499</v>
      </c>
      <c r="G48" s="774">
        <v>0</v>
      </c>
      <c r="H48" s="774">
        <v>0</v>
      </c>
      <c r="I48" s="774">
        <f t="shared" si="2"/>
        <v>182093</v>
      </c>
      <c r="J48" s="774">
        <v>59029</v>
      </c>
      <c r="K48" s="774">
        <v>123064</v>
      </c>
      <c r="L48" s="774">
        <v>1070</v>
      </c>
    </row>
    <row r="49" spans="1:12" x14ac:dyDescent="0.25">
      <c r="A49" s="772">
        <v>40</v>
      </c>
      <c r="B49" s="772">
        <v>28004</v>
      </c>
      <c r="C49" s="773" t="s">
        <v>102</v>
      </c>
      <c r="D49" s="774">
        <f t="shared" si="1"/>
        <v>44599</v>
      </c>
      <c r="E49" s="774">
        <v>0</v>
      </c>
      <c r="F49" s="774">
        <v>0</v>
      </c>
      <c r="G49" s="774">
        <v>0</v>
      </c>
      <c r="H49" s="774">
        <v>0</v>
      </c>
      <c r="I49" s="774">
        <f t="shared" si="2"/>
        <v>44599</v>
      </c>
      <c r="J49" s="774">
        <v>10343</v>
      </c>
      <c r="K49" s="774">
        <v>34256</v>
      </c>
      <c r="L49" s="774">
        <v>2</v>
      </c>
    </row>
    <row r="50" spans="1:12" x14ac:dyDescent="0.25">
      <c r="A50" s="772">
        <v>41</v>
      </c>
      <c r="B50" s="772">
        <v>23002</v>
      </c>
      <c r="C50" s="773" t="s">
        <v>104</v>
      </c>
      <c r="D50" s="774">
        <f t="shared" si="1"/>
        <v>139852</v>
      </c>
      <c r="E50" s="774">
        <v>0</v>
      </c>
      <c r="F50" s="774">
        <v>1923</v>
      </c>
      <c r="G50" s="774">
        <v>0</v>
      </c>
      <c r="H50" s="774">
        <v>0</v>
      </c>
      <c r="I50" s="774">
        <f t="shared" si="2"/>
        <v>137929</v>
      </c>
      <c r="J50" s="774">
        <v>34447</v>
      </c>
      <c r="K50" s="774">
        <v>103482</v>
      </c>
      <c r="L50" s="774">
        <v>1324</v>
      </c>
    </row>
    <row r="51" spans="1:12" x14ac:dyDescent="0.25">
      <c r="A51" s="772">
        <v>42</v>
      </c>
      <c r="B51" s="772">
        <v>23005</v>
      </c>
      <c r="C51" s="773" t="s">
        <v>106</v>
      </c>
      <c r="D51" s="774">
        <f t="shared" si="1"/>
        <v>32894</v>
      </c>
      <c r="E51" s="774">
        <v>0</v>
      </c>
      <c r="F51" s="774">
        <v>0</v>
      </c>
      <c r="G51" s="774">
        <v>0</v>
      </c>
      <c r="H51" s="774">
        <v>0</v>
      </c>
      <c r="I51" s="774">
        <f t="shared" si="2"/>
        <v>32894</v>
      </c>
      <c r="J51" s="774">
        <v>8510</v>
      </c>
      <c r="K51" s="774">
        <v>24384</v>
      </c>
      <c r="L51" s="774">
        <v>7</v>
      </c>
    </row>
    <row r="52" spans="1:12" x14ac:dyDescent="0.25">
      <c r="A52" s="772">
        <v>43</v>
      </c>
      <c r="B52" s="772">
        <v>28002</v>
      </c>
      <c r="C52" s="773" t="s">
        <v>108</v>
      </c>
      <c r="D52" s="774">
        <f t="shared" si="1"/>
        <v>45128</v>
      </c>
      <c r="E52" s="774">
        <v>0</v>
      </c>
      <c r="F52" s="774">
        <v>0</v>
      </c>
      <c r="G52" s="774">
        <v>0</v>
      </c>
      <c r="H52" s="774">
        <v>0</v>
      </c>
      <c r="I52" s="774">
        <f t="shared" si="2"/>
        <v>45128</v>
      </c>
      <c r="J52" s="774">
        <v>14279</v>
      </c>
      <c r="K52" s="774">
        <v>30849</v>
      </c>
      <c r="L52" s="774">
        <v>27</v>
      </c>
    </row>
    <row r="53" spans="1:12" x14ac:dyDescent="0.25">
      <c r="A53" s="772">
        <v>44</v>
      </c>
      <c r="B53" s="772">
        <v>21002</v>
      </c>
      <c r="C53" s="773" t="s">
        <v>110</v>
      </c>
      <c r="D53" s="774">
        <f t="shared" si="1"/>
        <v>54504</v>
      </c>
      <c r="E53" s="774">
        <v>0</v>
      </c>
      <c r="F53" s="774">
        <v>0</v>
      </c>
      <c r="G53" s="774">
        <v>0</v>
      </c>
      <c r="H53" s="774">
        <v>0</v>
      </c>
      <c r="I53" s="774">
        <f t="shared" si="2"/>
        <v>54504</v>
      </c>
      <c r="J53" s="774">
        <v>16946</v>
      </c>
      <c r="K53" s="774">
        <v>37558</v>
      </c>
      <c r="L53" s="774">
        <v>25</v>
      </c>
    </row>
    <row r="54" spans="1:12" x14ac:dyDescent="0.25">
      <c r="A54" s="772">
        <v>45</v>
      </c>
      <c r="B54" s="772">
        <v>23006</v>
      </c>
      <c r="C54" s="773" t="s">
        <v>112</v>
      </c>
      <c r="D54" s="774">
        <f t="shared" si="1"/>
        <v>20430</v>
      </c>
      <c r="E54" s="774">
        <v>0</v>
      </c>
      <c r="F54" s="774">
        <v>0</v>
      </c>
      <c r="G54" s="774">
        <v>0</v>
      </c>
      <c r="H54" s="774">
        <v>0</v>
      </c>
      <c r="I54" s="774">
        <f t="shared" si="2"/>
        <v>20430</v>
      </c>
      <c r="J54" s="774">
        <v>6498</v>
      </c>
      <c r="K54" s="774">
        <v>13932</v>
      </c>
      <c r="L54" s="774">
        <v>5</v>
      </c>
    </row>
    <row r="55" spans="1:12" x14ac:dyDescent="0.25">
      <c r="A55" s="772">
        <v>46</v>
      </c>
      <c r="B55" s="772">
        <v>21001</v>
      </c>
      <c r="C55" s="773" t="s">
        <v>114</v>
      </c>
      <c r="D55" s="774">
        <f t="shared" si="1"/>
        <v>43745</v>
      </c>
      <c r="E55" s="774">
        <v>0</v>
      </c>
      <c r="F55" s="774">
        <v>0</v>
      </c>
      <c r="G55" s="774">
        <v>0</v>
      </c>
      <c r="H55" s="774">
        <v>0</v>
      </c>
      <c r="I55" s="774">
        <f t="shared" si="2"/>
        <v>43745</v>
      </c>
      <c r="J55" s="774">
        <v>12357</v>
      </c>
      <c r="K55" s="774">
        <v>31388</v>
      </c>
      <c r="L55" s="774">
        <v>7</v>
      </c>
    </row>
    <row r="56" spans="1:12" x14ac:dyDescent="0.25">
      <c r="A56" s="772">
        <v>47</v>
      </c>
      <c r="B56" s="772">
        <v>21003</v>
      </c>
      <c r="C56" s="773" t="s">
        <v>116</v>
      </c>
      <c r="D56" s="774">
        <f t="shared" si="1"/>
        <v>75416</v>
      </c>
      <c r="E56" s="774">
        <v>0</v>
      </c>
      <c r="F56" s="774">
        <v>0</v>
      </c>
      <c r="G56" s="774">
        <v>0</v>
      </c>
      <c r="H56" s="774">
        <v>0</v>
      </c>
      <c r="I56" s="774">
        <f t="shared" si="2"/>
        <v>75416</v>
      </c>
      <c r="J56" s="774">
        <v>21851</v>
      </c>
      <c r="K56" s="774">
        <v>53565</v>
      </c>
      <c r="L56" s="774">
        <v>52</v>
      </c>
    </row>
    <row r="57" spans="1:12" x14ac:dyDescent="0.25">
      <c r="A57" s="772">
        <v>48</v>
      </c>
      <c r="B57" s="772">
        <v>21701</v>
      </c>
      <c r="C57" s="773" t="s">
        <v>118</v>
      </c>
      <c r="D57" s="774">
        <f t="shared" si="1"/>
        <v>201710</v>
      </c>
      <c r="E57" s="774">
        <v>0</v>
      </c>
      <c r="F57" s="774">
        <v>0</v>
      </c>
      <c r="G57" s="774">
        <v>0</v>
      </c>
      <c r="H57" s="774">
        <v>0</v>
      </c>
      <c r="I57" s="774">
        <f t="shared" si="2"/>
        <v>201710</v>
      </c>
      <c r="J57" s="774">
        <v>54996</v>
      </c>
      <c r="K57" s="774">
        <v>146714</v>
      </c>
      <c r="L57" s="774">
        <v>1157</v>
      </c>
    </row>
    <row r="58" spans="1:12" x14ac:dyDescent="0.25">
      <c r="A58" s="772">
        <v>49</v>
      </c>
      <c r="B58" s="772">
        <v>21706</v>
      </c>
      <c r="C58" s="773" t="s">
        <v>120</v>
      </c>
      <c r="D58" s="774">
        <f t="shared" si="1"/>
        <v>34965</v>
      </c>
      <c r="E58" s="774">
        <v>0</v>
      </c>
      <c r="F58" s="774">
        <v>0</v>
      </c>
      <c r="G58" s="774">
        <v>0</v>
      </c>
      <c r="H58" s="774">
        <v>0</v>
      </c>
      <c r="I58" s="774">
        <f t="shared" si="2"/>
        <v>34965</v>
      </c>
      <c r="J58" s="774">
        <v>9577</v>
      </c>
      <c r="K58" s="774">
        <v>25388</v>
      </c>
      <c r="L58" s="774">
        <v>2</v>
      </c>
    </row>
    <row r="59" spans="1:12" x14ac:dyDescent="0.25">
      <c r="A59" s="772">
        <v>50</v>
      </c>
      <c r="B59" s="772">
        <v>21749</v>
      </c>
      <c r="C59" s="773" t="s">
        <v>484</v>
      </c>
      <c r="D59" s="774">
        <f t="shared" si="1"/>
        <v>48</v>
      </c>
      <c r="E59" s="774">
        <v>0</v>
      </c>
      <c r="F59" s="774">
        <v>0</v>
      </c>
      <c r="G59" s="774">
        <v>48</v>
      </c>
      <c r="H59" s="774">
        <v>0</v>
      </c>
      <c r="I59" s="774">
        <f t="shared" si="2"/>
        <v>0</v>
      </c>
      <c r="J59" s="774">
        <v>0</v>
      </c>
      <c r="K59" s="774">
        <v>0</v>
      </c>
      <c r="L59" s="774">
        <v>0</v>
      </c>
    </row>
    <row r="60" spans="1:12" x14ac:dyDescent="0.25">
      <c r="A60" s="772">
        <v>51</v>
      </c>
      <c r="B60" s="772">
        <v>21110</v>
      </c>
      <c r="C60" s="773" t="s">
        <v>485</v>
      </c>
      <c r="D60" s="774">
        <f t="shared" si="1"/>
        <v>62340</v>
      </c>
      <c r="E60" s="774">
        <v>0</v>
      </c>
      <c r="F60" s="774">
        <v>0</v>
      </c>
      <c r="G60" s="774">
        <v>0</v>
      </c>
      <c r="H60" s="774">
        <v>0</v>
      </c>
      <c r="I60" s="774">
        <f t="shared" si="2"/>
        <v>62340</v>
      </c>
      <c r="J60" s="774">
        <v>10315</v>
      </c>
      <c r="K60" s="774">
        <v>52025</v>
      </c>
      <c r="L60" s="774">
        <v>246</v>
      </c>
    </row>
    <row r="61" spans="1:12" x14ac:dyDescent="0.25">
      <c r="A61" s="772">
        <v>52</v>
      </c>
      <c r="B61" s="772">
        <v>21100</v>
      </c>
      <c r="C61" s="773" t="s">
        <v>486</v>
      </c>
      <c r="D61" s="774">
        <f t="shared" si="1"/>
        <v>55101</v>
      </c>
      <c r="E61" s="774">
        <v>0</v>
      </c>
      <c r="F61" s="774">
        <v>0</v>
      </c>
      <c r="G61" s="774">
        <v>0</v>
      </c>
      <c r="H61" s="774">
        <v>0</v>
      </c>
      <c r="I61" s="774">
        <f t="shared" si="2"/>
        <v>55101</v>
      </c>
      <c r="J61" s="774">
        <v>10937</v>
      </c>
      <c r="K61" s="774">
        <v>44164</v>
      </c>
      <c r="L61" s="774">
        <v>14</v>
      </c>
    </row>
    <row r="62" spans="1:12" x14ac:dyDescent="0.25">
      <c r="A62" s="772">
        <v>53</v>
      </c>
      <c r="B62" s="772">
        <v>27000</v>
      </c>
      <c r="C62" s="773" t="s">
        <v>487</v>
      </c>
      <c r="D62" s="774">
        <f t="shared" si="1"/>
        <v>74049</v>
      </c>
      <c r="E62" s="774">
        <v>0</v>
      </c>
      <c r="F62" s="774">
        <v>0</v>
      </c>
      <c r="G62" s="774">
        <v>0</v>
      </c>
      <c r="H62" s="774">
        <v>2056</v>
      </c>
      <c r="I62" s="774">
        <f t="shared" si="2"/>
        <v>71993</v>
      </c>
      <c r="J62" s="774">
        <v>19242</v>
      </c>
      <c r="K62" s="774">
        <v>52751</v>
      </c>
      <c r="L62" s="774">
        <v>468</v>
      </c>
    </row>
    <row r="63" spans="1:12" x14ac:dyDescent="0.25">
      <c r="A63" s="772">
        <v>54</v>
      </c>
      <c r="B63" s="772">
        <v>21120</v>
      </c>
      <c r="C63" s="773" t="s">
        <v>488</v>
      </c>
      <c r="D63" s="774">
        <f t="shared" si="1"/>
        <v>102364</v>
      </c>
      <c r="E63" s="774">
        <v>0</v>
      </c>
      <c r="F63" s="774">
        <v>0</v>
      </c>
      <c r="G63" s="774">
        <v>0</v>
      </c>
      <c r="H63" s="774">
        <v>5525</v>
      </c>
      <c r="I63" s="774">
        <f t="shared" si="2"/>
        <v>96839</v>
      </c>
      <c r="J63" s="774">
        <v>18458</v>
      </c>
      <c r="K63" s="774">
        <v>78381</v>
      </c>
      <c r="L63" s="774">
        <v>144</v>
      </c>
    </row>
    <row r="64" spans="1:12" x14ac:dyDescent="0.25">
      <c r="A64" s="772">
        <v>55</v>
      </c>
      <c r="B64" s="772">
        <v>21130</v>
      </c>
      <c r="C64" s="773" t="s">
        <v>489</v>
      </c>
      <c r="D64" s="774">
        <f t="shared" si="1"/>
        <v>43945</v>
      </c>
      <c r="E64" s="774">
        <v>0</v>
      </c>
      <c r="F64" s="774">
        <v>0</v>
      </c>
      <c r="G64" s="774">
        <v>0</v>
      </c>
      <c r="H64" s="774">
        <v>0</v>
      </c>
      <c r="I64" s="774">
        <f t="shared" si="2"/>
        <v>43945</v>
      </c>
      <c r="J64" s="774">
        <v>11555</v>
      </c>
      <c r="K64" s="774">
        <v>32390</v>
      </c>
      <c r="L64" s="774">
        <v>411</v>
      </c>
    </row>
    <row r="65" spans="1:12" x14ac:dyDescent="0.25">
      <c r="A65" s="772">
        <v>56</v>
      </c>
      <c r="B65" s="772">
        <v>21140</v>
      </c>
      <c r="C65" s="773" t="s">
        <v>490</v>
      </c>
      <c r="D65" s="774">
        <f t="shared" si="1"/>
        <v>27687</v>
      </c>
      <c r="E65" s="774">
        <v>0</v>
      </c>
      <c r="F65" s="774">
        <v>0</v>
      </c>
      <c r="G65" s="774">
        <v>27687</v>
      </c>
      <c r="H65" s="774">
        <v>0</v>
      </c>
      <c r="I65" s="774">
        <f t="shared" si="2"/>
        <v>0</v>
      </c>
      <c r="J65" s="774">
        <v>0</v>
      </c>
      <c r="K65" s="774">
        <v>0</v>
      </c>
      <c r="L65" s="774">
        <v>0</v>
      </c>
    </row>
    <row r="66" spans="1:12" x14ac:dyDescent="0.25">
      <c r="A66" s="772">
        <v>57</v>
      </c>
      <c r="B66" s="772">
        <v>21150</v>
      </c>
      <c r="C66" s="773" t="s">
        <v>491</v>
      </c>
      <c r="D66" s="774">
        <f t="shared" si="1"/>
        <v>42134</v>
      </c>
      <c r="E66" s="774">
        <v>0</v>
      </c>
      <c r="F66" s="774">
        <v>0</v>
      </c>
      <c r="G66" s="774">
        <v>42134</v>
      </c>
      <c r="H66" s="774">
        <v>0</v>
      </c>
      <c r="I66" s="774">
        <f t="shared" si="2"/>
        <v>0</v>
      </c>
      <c r="J66" s="774">
        <v>0</v>
      </c>
      <c r="K66" s="774">
        <v>0</v>
      </c>
      <c r="L66" s="774">
        <v>0</v>
      </c>
    </row>
    <row r="67" spans="1:12" ht="24" x14ac:dyDescent="0.25">
      <c r="A67" s="772">
        <v>58</v>
      </c>
      <c r="B67" s="772">
        <v>29100</v>
      </c>
      <c r="C67" s="773" t="s">
        <v>492</v>
      </c>
      <c r="D67" s="774">
        <f t="shared" si="1"/>
        <v>118447</v>
      </c>
      <c r="E67" s="774">
        <v>5666</v>
      </c>
      <c r="F67" s="774">
        <v>0</v>
      </c>
      <c r="G67" s="774">
        <v>0</v>
      </c>
      <c r="H67" s="774">
        <v>0</v>
      </c>
      <c r="I67" s="774">
        <f t="shared" si="2"/>
        <v>112781</v>
      </c>
      <c r="J67" s="774">
        <v>29599</v>
      </c>
      <c r="K67" s="774">
        <v>83182</v>
      </c>
      <c r="L67" s="774">
        <v>440</v>
      </c>
    </row>
    <row r="68" spans="1:12" ht="24" x14ac:dyDescent="0.25">
      <c r="A68" s="772">
        <v>59</v>
      </c>
      <c r="B68" s="772">
        <v>29300</v>
      </c>
      <c r="C68" s="773" t="s">
        <v>493</v>
      </c>
      <c r="D68" s="774">
        <f t="shared" si="1"/>
        <v>68212</v>
      </c>
      <c r="E68" s="774">
        <v>0</v>
      </c>
      <c r="F68" s="774">
        <v>0</v>
      </c>
      <c r="G68" s="774">
        <v>0</v>
      </c>
      <c r="H68" s="774">
        <v>0</v>
      </c>
      <c r="I68" s="774">
        <f t="shared" si="2"/>
        <v>68212</v>
      </c>
      <c r="J68" s="774">
        <v>18018</v>
      </c>
      <c r="K68" s="774">
        <v>50194</v>
      </c>
      <c r="L68" s="774">
        <v>737</v>
      </c>
    </row>
    <row r="69" spans="1:12" ht="24" x14ac:dyDescent="0.25">
      <c r="A69" s="772">
        <v>60</v>
      </c>
      <c r="B69" s="772">
        <v>29700</v>
      </c>
      <c r="C69" s="773" t="s">
        <v>494</v>
      </c>
      <c r="D69" s="774">
        <f t="shared" si="1"/>
        <v>168000</v>
      </c>
      <c r="E69" s="774">
        <v>8514</v>
      </c>
      <c r="F69" s="774">
        <v>0</v>
      </c>
      <c r="G69" s="774">
        <v>0</v>
      </c>
      <c r="H69" s="774">
        <v>0</v>
      </c>
      <c r="I69" s="774">
        <f t="shared" si="2"/>
        <v>159486</v>
      </c>
      <c r="J69" s="774">
        <v>43385</v>
      </c>
      <c r="K69" s="774">
        <v>116101</v>
      </c>
      <c r="L69" s="774">
        <v>34</v>
      </c>
    </row>
    <row r="70" spans="1:12" x14ac:dyDescent="0.25">
      <c r="A70" s="772">
        <v>61</v>
      </c>
      <c r="B70" s="772">
        <v>21040</v>
      </c>
      <c r="C70" s="773" t="s">
        <v>495</v>
      </c>
      <c r="D70" s="774">
        <f t="shared" si="1"/>
        <v>20502</v>
      </c>
      <c r="E70" s="774">
        <v>0</v>
      </c>
      <c r="F70" s="774">
        <v>0</v>
      </c>
      <c r="G70" s="774">
        <v>20502</v>
      </c>
      <c r="H70" s="774">
        <v>0</v>
      </c>
      <c r="I70" s="774">
        <f t="shared" si="2"/>
        <v>0</v>
      </c>
      <c r="J70" s="774">
        <v>0</v>
      </c>
      <c r="K70" s="774">
        <v>0</v>
      </c>
      <c r="L70" s="774">
        <v>0</v>
      </c>
    </row>
    <row r="71" spans="1:12" x14ac:dyDescent="0.25">
      <c r="A71" s="772">
        <v>62</v>
      </c>
      <c r="B71" s="772">
        <v>21050</v>
      </c>
      <c r="C71" s="773" t="s">
        <v>496</v>
      </c>
      <c r="D71" s="774">
        <f t="shared" si="1"/>
        <v>22198</v>
      </c>
      <c r="E71" s="774">
        <v>0</v>
      </c>
      <c r="F71" s="774">
        <v>0</v>
      </c>
      <c r="G71" s="774">
        <v>22198</v>
      </c>
      <c r="H71" s="774">
        <v>0</v>
      </c>
      <c r="I71" s="774">
        <f t="shared" si="2"/>
        <v>0</v>
      </c>
      <c r="J71" s="774">
        <v>0</v>
      </c>
      <c r="K71" s="774">
        <v>0</v>
      </c>
      <c r="L71" s="774">
        <v>0</v>
      </c>
    </row>
    <row r="72" spans="1:12" x14ac:dyDescent="0.25">
      <c r="A72" s="772">
        <v>63</v>
      </c>
      <c r="B72" s="772">
        <v>21060</v>
      </c>
      <c r="C72" s="773" t="s">
        <v>497</v>
      </c>
      <c r="D72" s="774">
        <f t="shared" si="1"/>
        <v>26204</v>
      </c>
      <c r="E72" s="774">
        <v>0</v>
      </c>
      <c r="F72" s="774">
        <v>0</v>
      </c>
      <c r="G72" s="774">
        <v>26204</v>
      </c>
      <c r="H72" s="774">
        <v>0</v>
      </c>
      <c r="I72" s="774">
        <f t="shared" si="2"/>
        <v>0</v>
      </c>
      <c r="J72" s="774">
        <v>0</v>
      </c>
      <c r="K72" s="774">
        <v>0</v>
      </c>
      <c r="L72" s="774">
        <v>0</v>
      </c>
    </row>
    <row r="73" spans="1:12" x14ac:dyDescent="0.25">
      <c r="A73" s="772">
        <v>64</v>
      </c>
      <c r="B73" s="772">
        <v>21070</v>
      </c>
      <c r="C73" s="773" t="s">
        <v>498</v>
      </c>
      <c r="D73" s="774">
        <f t="shared" si="1"/>
        <v>20684</v>
      </c>
      <c r="E73" s="774">
        <v>0</v>
      </c>
      <c r="F73" s="774">
        <v>0</v>
      </c>
      <c r="G73" s="774">
        <v>20684</v>
      </c>
      <c r="H73" s="774">
        <v>0</v>
      </c>
      <c r="I73" s="774">
        <f t="shared" si="2"/>
        <v>0</v>
      </c>
      <c r="J73" s="774">
        <v>0</v>
      </c>
      <c r="K73" s="774">
        <v>0</v>
      </c>
      <c r="L73" s="774">
        <v>0</v>
      </c>
    </row>
    <row r="74" spans="1:12" x14ac:dyDescent="0.25">
      <c r="A74" s="772">
        <v>65</v>
      </c>
      <c r="B74" s="772">
        <v>21080</v>
      </c>
      <c r="C74" s="773" t="s">
        <v>499</v>
      </c>
      <c r="D74" s="774">
        <f t="shared" si="1"/>
        <v>33877</v>
      </c>
      <c r="E74" s="774">
        <v>0</v>
      </c>
      <c r="F74" s="774">
        <v>0</v>
      </c>
      <c r="G74" s="774">
        <v>33877</v>
      </c>
      <c r="H74" s="774">
        <v>0</v>
      </c>
      <c r="I74" s="774">
        <f t="shared" si="2"/>
        <v>0</v>
      </c>
      <c r="J74" s="774">
        <v>0</v>
      </c>
      <c r="K74" s="774">
        <v>0</v>
      </c>
      <c r="L74" s="774">
        <v>0</v>
      </c>
    </row>
    <row r="75" spans="1:12" x14ac:dyDescent="0.25">
      <c r="A75" s="772">
        <v>66</v>
      </c>
      <c r="B75" s="772">
        <v>21160</v>
      </c>
      <c r="C75" s="773" t="s">
        <v>500</v>
      </c>
      <c r="D75" s="774">
        <f t="shared" ref="D75:D123" si="3">E75+F75+G75+H75+I75</f>
        <v>20574</v>
      </c>
      <c r="E75" s="774">
        <v>0</v>
      </c>
      <c r="F75" s="774">
        <v>0</v>
      </c>
      <c r="G75" s="774">
        <v>20574</v>
      </c>
      <c r="H75" s="774">
        <v>0</v>
      </c>
      <c r="I75" s="774">
        <f t="shared" si="2"/>
        <v>0</v>
      </c>
      <c r="J75" s="774">
        <v>0</v>
      </c>
      <c r="K75" s="774">
        <v>0</v>
      </c>
      <c r="L75" s="774">
        <v>0</v>
      </c>
    </row>
    <row r="76" spans="1:12" x14ac:dyDescent="0.25">
      <c r="A76" s="772">
        <v>67</v>
      </c>
      <c r="B76" s="772">
        <v>21310</v>
      </c>
      <c r="C76" s="773" t="s">
        <v>501</v>
      </c>
      <c r="D76" s="774">
        <f t="shared" si="3"/>
        <v>19842</v>
      </c>
      <c r="E76" s="774">
        <v>0</v>
      </c>
      <c r="F76" s="774">
        <v>0</v>
      </c>
      <c r="G76" s="774">
        <v>19842</v>
      </c>
      <c r="H76" s="774">
        <v>0</v>
      </c>
      <c r="I76" s="774">
        <f t="shared" si="2"/>
        <v>0</v>
      </c>
      <c r="J76" s="774">
        <v>0</v>
      </c>
      <c r="K76" s="774">
        <v>0</v>
      </c>
      <c r="L76" s="774">
        <v>0</v>
      </c>
    </row>
    <row r="77" spans="1:12" ht="24" x14ac:dyDescent="0.25">
      <c r="A77" s="772">
        <v>68</v>
      </c>
      <c r="B77" s="772">
        <v>29400</v>
      </c>
      <c r="C77" s="773" t="s">
        <v>162</v>
      </c>
      <c r="D77" s="774">
        <f t="shared" si="3"/>
        <v>126694</v>
      </c>
      <c r="E77" s="774">
        <v>0</v>
      </c>
      <c r="F77" s="774">
        <v>0</v>
      </c>
      <c r="G77" s="774">
        <v>0</v>
      </c>
      <c r="H77" s="774">
        <v>1753</v>
      </c>
      <c r="I77" s="774">
        <f t="shared" si="2"/>
        <v>124941</v>
      </c>
      <c r="J77" s="774">
        <v>27539</v>
      </c>
      <c r="K77" s="774">
        <v>97402</v>
      </c>
      <c r="L77" s="774">
        <v>235</v>
      </c>
    </row>
    <row r="78" spans="1:12" x14ac:dyDescent="0.25">
      <c r="A78" s="772">
        <v>69</v>
      </c>
      <c r="B78" s="772">
        <v>23500</v>
      </c>
      <c r="C78" s="773" t="s">
        <v>502</v>
      </c>
      <c r="D78" s="774">
        <f t="shared" si="3"/>
        <v>229916</v>
      </c>
      <c r="E78" s="774">
        <v>0</v>
      </c>
      <c r="F78" s="774">
        <v>0</v>
      </c>
      <c r="G78" s="774">
        <v>0</v>
      </c>
      <c r="H78" s="774">
        <v>4489</v>
      </c>
      <c r="I78" s="774">
        <f t="shared" si="2"/>
        <v>225427</v>
      </c>
      <c r="J78" s="774">
        <v>69256</v>
      </c>
      <c r="K78" s="774">
        <v>156171</v>
      </c>
      <c r="L78" s="774">
        <v>110</v>
      </c>
    </row>
    <row r="79" spans="1:12" x14ac:dyDescent="0.25">
      <c r="A79" s="772">
        <v>70</v>
      </c>
      <c r="B79" s="772">
        <v>21800</v>
      </c>
      <c r="C79" s="773" t="s">
        <v>503</v>
      </c>
      <c r="D79" s="774">
        <f t="shared" si="3"/>
        <v>144863</v>
      </c>
      <c r="E79" s="774">
        <v>0</v>
      </c>
      <c r="F79" s="774">
        <v>3393</v>
      </c>
      <c r="G79" s="774">
        <v>0</v>
      </c>
      <c r="H79" s="774">
        <v>5247</v>
      </c>
      <c r="I79" s="774">
        <f t="shared" si="2"/>
        <v>136223</v>
      </c>
      <c r="J79" s="774">
        <v>34764</v>
      </c>
      <c r="K79" s="774">
        <v>101459</v>
      </c>
      <c r="L79" s="774">
        <v>335</v>
      </c>
    </row>
    <row r="80" spans="1:12" x14ac:dyDescent="0.25">
      <c r="A80" s="772">
        <v>71</v>
      </c>
      <c r="B80" s="772">
        <v>24200</v>
      </c>
      <c r="C80" s="773" t="s">
        <v>504</v>
      </c>
      <c r="D80" s="774">
        <f t="shared" si="3"/>
        <v>52097</v>
      </c>
      <c r="E80" s="774">
        <v>0</v>
      </c>
      <c r="F80" s="774">
        <v>0</v>
      </c>
      <c r="G80" s="774">
        <v>0</v>
      </c>
      <c r="H80" s="774">
        <v>0</v>
      </c>
      <c r="I80" s="774">
        <f t="shared" si="2"/>
        <v>52097</v>
      </c>
      <c r="J80" s="774">
        <v>16671</v>
      </c>
      <c r="K80" s="774">
        <v>35426</v>
      </c>
      <c r="L80" s="774">
        <v>301</v>
      </c>
    </row>
    <row r="81" spans="1:12" x14ac:dyDescent="0.25">
      <c r="A81" s="772">
        <v>72</v>
      </c>
      <c r="B81" s="772">
        <v>22300</v>
      </c>
      <c r="C81" s="773" t="s">
        <v>402</v>
      </c>
      <c r="D81" s="774">
        <f t="shared" si="3"/>
        <v>222946</v>
      </c>
      <c r="E81" s="774">
        <v>0</v>
      </c>
      <c r="F81" s="774">
        <v>8089</v>
      </c>
      <c r="G81" s="774">
        <v>0</v>
      </c>
      <c r="H81" s="774">
        <v>0</v>
      </c>
      <c r="I81" s="774">
        <f t="shared" si="2"/>
        <v>214857</v>
      </c>
      <c r="J81" s="774">
        <v>71323</v>
      </c>
      <c r="K81" s="774">
        <v>143534</v>
      </c>
      <c r="L81" s="774">
        <v>425</v>
      </c>
    </row>
    <row r="82" spans="1:12" x14ac:dyDescent="0.25">
      <c r="A82" s="772">
        <v>73</v>
      </c>
      <c r="B82" s="772">
        <v>21200</v>
      </c>
      <c r="C82" s="773" t="s">
        <v>505</v>
      </c>
      <c r="D82" s="774">
        <f t="shared" si="3"/>
        <v>69677</v>
      </c>
      <c r="E82" s="774">
        <v>0</v>
      </c>
      <c r="F82" s="774">
        <v>0</v>
      </c>
      <c r="G82" s="774">
        <v>0</v>
      </c>
      <c r="H82" s="774">
        <v>0</v>
      </c>
      <c r="I82" s="774">
        <f t="shared" si="2"/>
        <v>69677</v>
      </c>
      <c r="J82" s="774">
        <v>11466</v>
      </c>
      <c r="K82" s="774">
        <v>58211</v>
      </c>
      <c r="L82" s="774">
        <v>885</v>
      </c>
    </row>
    <row r="83" spans="1:12" x14ac:dyDescent="0.25">
      <c r="A83" s="772">
        <v>74</v>
      </c>
      <c r="B83" s="772">
        <v>28000</v>
      </c>
      <c r="C83" s="773" t="s">
        <v>506</v>
      </c>
      <c r="D83" s="774">
        <f t="shared" si="3"/>
        <v>171937</v>
      </c>
      <c r="E83" s="774">
        <v>0</v>
      </c>
      <c r="F83" s="774">
        <v>0</v>
      </c>
      <c r="G83" s="774">
        <v>0</v>
      </c>
      <c r="H83" s="774">
        <v>0</v>
      </c>
      <c r="I83" s="774">
        <f t="shared" si="2"/>
        <v>171937</v>
      </c>
      <c r="J83" s="774">
        <v>41618</v>
      </c>
      <c r="K83" s="774">
        <v>130319</v>
      </c>
      <c r="L83" s="774">
        <v>1161</v>
      </c>
    </row>
    <row r="84" spans="1:12" x14ac:dyDescent="0.25">
      <c r="A84" s="772">
        <v>75</v>
      </c>
      <c r="B84" s="772">
        <v>23200</v>
      </c>
      <c r="C84" s="773" t="s">
        <v>816</v>
      </c>
      <c r="D84" s="774">
        <f t="shared" si="3"/>
        <v>33178</v>
      </c>
      <c r="E84" s="774">
        <v>0</v>
      </c>
      <c r="F84" s="774">
        <v>0</v>
      </c>
      <c r="G84" s="774">
        <v>33178</v>
      </c>
      <c r="H84" s="774">
        <v>0</v>
      </c>
      <c r="I84" s="774">
        <f t="shared" si="2"/>
        <v>0</v>
      </c>
      <c r="J84" s="774">
        <v>0</v>
      </c>
      <c r="K84" s="774">
        <v>0</v>
      </c>
      <c r="L84" s="774">
        <v>0</v>
      </c>
    </row>
    <row r="85" spans="1:12" ht="24" x14ac:dyDescent="0.25">
      <c r="A85" s="1217">
        <v>76</v>
      </c>
      <c r="B85" s="1217">
        <v>22800</v>
      </c>
      <c r="C85" s="775" t="s">
        <v>464</v>
      </c>
      <c r="D85" s="774">
        <f t="shared" si="3"/>
        <v>40562</v>
      </c>
      <c r="E85" s="774">
        <v>0</v>
      </c>
      <c r="F85" s="774">
        <v>0</v>
      </c>
      <c r="G85" s="774">
        <v>29173</v>
      </c>
      <c r="H85" s="774">
        <v>0</v>
      </c>
      <c r="I85" s="774">
        <f t="shared" si="2"/>
        <v>11389</v>
      </c>
      <c r="J85" s="774">
        <v>2047</v>
      </c>
      <c r="K85" s="774">
        <v>9342</v>
      </c>
      <c r="L85" s="774">
        <v>176</v>
      </c>
    </row>
    <row r="86" spans="1:12" ht="36" x14ac:dyDescent="0.25">
      <c r="A86" s="1217"/>
      <c r="B86" s="1217"/>
      <c r="C86" s="773" t="s">
        <v>465</v>
      </c>
      <c r="D86" s="774">
        <f t="shared" si="3"/>
        <v>11389</v>
      </c>
      <c r="E86" s="774">
        <v>0</v>
      </c>
      <c r="F86" s="774">
        <v>0</v>
      </c>
      <c r="G86" s="774"/>
      <c r="H86" s="774">
        <v>0</v>
      </c>
      <c r="I86" s="774">
        <f t="shared" si="2"/>
        <v>11389</v>
      </c>
      <c r="J86" s="774">
        <v>2047</v>
      </c>
      <c r="K86" s="774">
        <v>9342</v>
      </c>
      <c r="L86" s="774">
        <v>176</v>
      </c>
    </row>
    <row r="87" spans="1:12" ht="24" x14ac:dyDescent="0.25">
      <c r="A87" s="1217"/>
      <c r="B87" s="1217"/>
      <c r="C87" s="773" t="s">
        <v>180</v>
      </c>
      <c r="D87" s="774">
        <f t="shared" si="3"/>
        <v>4506</v>
      </c>
      <c r="E87" s="774">
        <v>0</v>
      </c>
      <c r="F87" s="774">
        <v>0</v>
      </c>
      <c r="G87" s="774">
        <v>4506</v>
      </c>
      <c r="H87" s="774">
        <v>0</v>
      </c>
      <c r="I87" s="774">
        <f t="shared" si="2"/>
        <v>0</v>
      </c>
      <c r="J87" s="774">
        <v>0</v>
      </c>
      <c r="K87" s="774">
        <v>0</v>
      </c>
      <c r="L87" s="774">
        <v>0</v>
      </c>
    </row>
    <row r="88" spans="1:12" ht="48" x14ac:dyDescent="0.25">
      <c r="A88" s="1217"/>
      <c r="B88" s="1217"/>
      <c r="C88" s="773" t="s">
        <v>507</v>
      </c>
      <c r="D88" s="774">
        <f t="shared" si="3"/>
        <v>24667</v>
      </c>
      <c r="E88" s="774">
        <v>0</v>
      </c>
      <c r="F88" s="774">
        <v>0</v>
      </c>
      <c r="G88" s="774">
        <v>24667</v>
      </c>
      <c r="H88" s="774">
        <v>0</v>
      </c>
      <c r="I88" s="774">
        <f t="shared" si="2"/>
        <v>0</v>
      </c>
      <c r="J88" s="774">
        <v>0</v>
      </c>
      <c r="K88" s="774">
        <v>0</v>
      </c>
      <c r="L88" s="774">
        <v>0</v>
      </c>
    </row>
    <row r="89" spans="1:12" x14ac:dyDescent="0.25">
      <c r="A89" s="772">
        <v>77</v>
      </c>
      <c r="B89" s="772">
        <v>25000</v>
      </c>
      <c r="C89" s="773" t="s">
        <v>508</v>
      </c>
      <c r="D89" s="774">
        <f t="shared" si="3"/>
        <v>1478</v>
      </c>
      <c r="E89" s="774">
        <v>0</v>
      </c>
      <c r="F89" s="774">
        <v>0</v>
      </c>
      <c r="G89" s="774">
        <v>1478</v>
      </c>
      <c r="H89" s="774">
        <v>0</v>
      </c>
      <c r="I89" s="774">
        <f t="shared" si="2"/>
        <v>0</v>
      </c>
      <c r="J89" s="774">
        <v>0</v>
      </c>
      <c r="K89" s="774">
        <v>0</v>
      </c>
      <c r="L89" s="774">
        <v>0</v>
      </c>
    </row>
    <row r="90" spans="1:12" x14ac:dyDescent="0.25">
      <c r="A90" s="772">
        <v>78</v>
      </c>
      <c r="B90" s="772">
        <v>20171</v>
      </c>
      <c r="C90" s="773" t="s">
        <v>462</v>
      </c>
      <c r="D90" s="774">
        <f t="shared" si="3"/>
        <v>9439</v>
      </c>
      <c r="E90" s="774">
        <v>0</v>
      </c>
      <c r="F90" s="774">
        <v>0</v>
      </c>
      <c r="G90" s="774">
        <v>0</v>
      </c>
      <c r="H90" s="774">
        <v>0</v>
      </c>
      <c r="I90" s="774">
        <f t="shared" si="2"/>
        <v>9439</v>
      </c>
      <c r="J90" s="774">
        <v>2164</v>
      </c>
      <c r="K90" s="774">
        <v>7275</v>
      </c>
      <c r="L90" s="774">
        <v>9</v>
      </c>
    </row>
    <row r="91" spans="1:12" ht="24" x14ac:dyDescent="0.25">
      <c r="A91" s="772">
        <v>79</v>
      </c>
      <c r="B91" s="772">
        <v>22117</v>
      </c>
      <c r="C91" s="773" t="s">
        <v>509</v>
      </c>
      <c r="D91" s="774">
        <f t="shared" si="3"/>
        <v>38324</v>
      </c>
      <c r="E91" s="774">
        <v>0</v>
      </c>
      <c r="F91" s="774">
        <v>0</v>
      </c>
      <c r="G91" s="774">
        <v>0</v>
      </c>
      <c r="H91" s="774">
        <v>0</v>
      </c>
      <c r="I91" s="774">
        <f t="shared" si="2"/>
        <v>38324</v>
      </c>
      <c r="J91" s="774">
        <v>8441</v>
      </c>
      <c r="K91" s="774">
        <v>29883</v>
      </c>
      <c r="L91" s="774">
        <v>726</v>
      </c>
    </row>
    <row r="92" spans="1:12" x14ac:dyDescent="0.25">
      <c r="A92" s="772">
        <v>80</v>
      </c>
      <c r="B92" s="772">
        <v>22204</v>
      </c>
      <c r="C92" s="773" t="s">
        <v>188</v>
      </c>
      <c r="D92" s="774">
        <f t="shared" si="3"/>
        <v>30428</v>
      </c>
      <c r="E92" s="774">
        <v>0</v>
      </c>
      <c r="F92" s="774">
        <v>0</v>
      </c>
      <c r="G92" s="774">
        <v>0</v>
      </c>
      <c r="H92" s="774">
        <v>0</v>
      </c>
      <c r="I92" s="774">
        <f t="shared" si="2"/>
        <v>30428</v>
      </c>
      <c r="J92" s="774">
        <v>10569</v>
      </c>
      <c r="K92" s="774">
        <v>19859</v>
      </c>
      <c r="L92" s="774">
        <v>25</v>
      </c>
    </row>
    <row r="93" spans="1:12" x14ac:dyDescent="0.25">
      <c r="A93" s="772">
        <v>81</v>
      </c>
      <c r="B93" s="772">
        <v>26005</v>
      </c>
      <c r="C93" s="773" t="s">
        <v>190</v>
      </c>
      <c r="D93" s="774">
        <f t="shared" si="3"/>
        <v>30573</v>
      </c>
      <c r="E93" s="774">
        <v>0</v>
      </c>
      <c r="F93" s="774">
        <v>0</v>
      </c>
      <c r="G93" s="774">
        <v>0</v>
      </c>
      <c r="H93" s="774">
        <v>0</v>
      </c>
      <c r="I93" s="774">
        <f t="shared" si="2"/>
        <v>30573</v>
      </c>
      <c r="J93" s="774">
        <v>9308</v>
      </c>
      <c r="K93" s="774">
        <v>21265</v>
      </c>
      <c r="L93" s="774">
        <v>37</v>
      </c>
    </row>
    <row r="94" spans="1:12" x14ac:dyDescent="0.25">
      <c r="A94" s="772">
        <v>82</v>
      </c>
      <c r="B94" s="772">
        <v>22202</v>
      </c>
      <c r="C94" s="773" t="s">
        <v>192</v>
      </c>
      <c r="D94" s="774">
        <f t="shared" si="3"/>
        <v>80480</v>
      </c>
      <c r="E94" s="774">
        <v>0</v>
      </c>
      <c r="F94" s="774">
        <v>0</v>
      </c>
      <c r="G94" s="774">
        <v>0</v>
      </c>
      <c r="H94" s="774">
        <v>0</v>
      </c>
      <c r="I94" s="774">
        <f t="shared" si="2"/>
        <v>80480</v>
      </c>
      <c r="J94" s="774">
        <v>25826</v>
      </c>
      <c r="K94" s="774">
        <v>54654</v>
      </c>
      <c r="L94" s="774">
        <v>370</v>
      </c>
    </row>
    <row r="95" spans="1:12" ht="24" x14ac:dyDescent="0.25">
      <c r="A95" s="772">
        <v>83</v>
      </c>
      <c r="B95" s="772">
        <v>26002</v>
      </c>
      <c r="C95" s="773" t="s">
        <v>194</v>
      </c>
      <c r="D95" s="774">
        <f t="shared" si="3"/>
        <v>35508</v>
      </c>
      <c r="E95" s="774">
        <v>0</v>
      </c>
      <c r="F95" s="774">
        <v>0</v>
      </c>
      <c r="G95" s="774">
        <v>0</v>
      </c>
      <c r="H95" s="774">
        <v>0</v>
      </c>
      <c r="I95" s="774">
        <f t="shared" si="2"/>
        <v>35508</v>
      </c>
      <c r="J95" s="774">
        <v>9128</v>
      </c>
      <c r="K95" s="774">
        <v>26380</v>
      </c>
      <c r="L95" s="774">
        <v>0</v>
      </c>
    </row>
    <row r="96" spans="1:12" x14ac:dyDescent="0.25">
      <c r="A96" s="776">
        <v>84</v>
      </c>
      <c r="B96" s="776">
        <v>22002</v>
      </c>
      <c r="C96" s="777" t="s">
        <v>196</v>
      </c>
      <c r="D96" s="774">
        <f t="shared" si="3"/>
        <v>45801</v>
      </c>
      <c r="E96" s="774">
        <v>0</v>
      </c>
      <c r="F96" s="774">
        <v>0</v>
      </c>
      <c r="G96" s="774">
        <v>0</v>
      </c>
      <c r="H96" s="774">
        <v>0</v>
      </c>
      <c r="I96" s="774">
        <f t="shared" si="2"/>
        <v>45801</v>
      </c>
      <c r="J96" s="774">
        <v>15044</v>
      </c>
      <c r="K96" s="774">
        <v>30757</v>
      </c>
      <c r="L96" s="774">
        <v>260</v>
      </c>
    </row>
    <row r="97" spans="1:12" x14ac:dyDescent="0.25">
      <c r="A97" s="776">
        <v>85</v>
      </c>
      <c r="B97" s="776">
        <v>22201</v>
      </c>
      <c r="C97" s="777" t="s">
        <v>198</v>
      </c>
      <c r="D97" s="774">
        <f t="shared" si="3"/>
        <v>94378</v>
      </c>
      <c r="E97" s="774">
        <v>0</v>
      </c>
      <c r="F97" s="774">
        <v>0</v>
      </c>
      <c r="G97" s="774">
        <v>0</v>
      </c>
      <c r="H97" s="774">
        <v>0</v>
      </c>
      <c r="I97" s="774">
        <f t="shared" ref="I97:I123" si="4">J97+K97</f>
        <v>94378</v>
      </c>
      <c r="J97" s="774">
        <v>30733</v>
      </c>
      <c r="K97" s="774">
        <v>63645</v>
      </c>
      <c r="L97" s="774">
        <v>96</v>
      </c>
    </row>
    <row r="98" spans="1:12" x14ac:dyDescent="0.25">
      <c r="A98" s="776">
        <v>86</v>
      </c>
      <c r="B98" s="776">
        <v>22205</v>
      </c>
      <c r="C98" s="777" t="s">
        <v>200</v>
      </c>
      <c r="D98" s="774">
        <f t="shared" si="3"/>
        <v>68474</v>
      </c>
      <c r="E98" s="774">
        <v>0</v>
      </c>
      <c r="F98" s="774">
        <v>0</v>
      </c>
      <c r="G98" s="774">
        <v>0</v>
      </c>
      <c r="H98" s="774">
        <v>0</v>
      </c>
      <c r="I98" s="774">
        <f t="shared" si="4"/>
        <v>68474</v>
      </c>
      <c r="J98" s="774">
        <v>19486</v>
      </c>
      <c r="K98" s="774">
        <v>48988</v>
      </c>
      <c r="L98" s="774">
        <v>150</v>
      </c>
    </row>
    <row r="99" spans="1:12" x14ac:dyDescent="0.25">
      <c r="A99" s="776">
        <v>87</v>
      </c>
      <c r="B99" s="776">
        <v>26004</v>
      </c>
      <c r="C99" s="777" t="s">
        <v>202</v>
      </c>
      <c r="D99" s="774">
        <f t="shared" si="3"/>
        <v>27387</v>
      </c>
      <c r="E99" s="774">
        <v>0</v>
      </c>
      <c r="F99" s="774">
        <v>0</v>
      </c>
      <c r="G99" s="774">
        <v>0</v>
      </c>
      <c r="H99" s="774">
        <v>0</v>
      </c>
      <c r="I99" s="774">
        <f t="shared" si="4"/>
        <v>27387</v>
      </c>
      <c r="J99" s="774">
        <v>8311</v>
      </c>
      <c r="K99" s="774">
        <v>19076</v>
      </c>
      <c r="L99" s="774">
        <v>5</v>
      </c>
    </row>
    <row r="100" spans="1:12" x14ac:dyDescent="0.25">
      <c r="A100" s="776">
        <v>88</v>
      </c>
      <c r="B100" s="776">
        <v>22208</v>
      </c>
      <c r="C100" s="777" t="s">
        <v>204</v>
      </c>
      <c r="D100" s="774">
        <f t="shared" si="3"/>
        <v>41793</v>
      </c>
      <c r="E100" s="774">
        <v>0</v>
      </c>
      <c r="F100" s="774">
        <v>0</v>
      </c>
      <c r="G100" s="774">
        <v>0</v>
      </c>
      <c r="H100" s="774">
        <v>0</v>
      </c>
      <c r="I100" s="774">
        <f t="shared" si="4"/>
        <v>41793</v>
      </c>
      <c r="J100" s="774">
        <v>8727</v>
      </c>
      <c r="K100" s="774">
        <v>33066</v>
      </c>
      <c r="L100" s="774">
        <v>110</v>
      </c>
    </row>
    <row r="101" spans="1:12" x14ac:dyDescent="0.25">
      <c r="A101" s="776">
        <v>89</v>
      </c>
      <c r="B101" s="776">
        <v>26003</v>
      </c>
      <c r="C101" s="777" t="s">
        <v>206</v>
      </c>
      <c r="D101" s="774">
        <f t="shared" si="3"/>
        <v>40675</v>
      </c>
      <c r="E101" s="774">
        <v>0</v>
      </c>
      <c r="F101" s="774">
        <v>0</v>
      </c>
      <c r="G101" s="774">
        <v>0</v>
      </c>
      <c r="H101" s="774">
        <v>0</v>
      </c>
      <c r="I101" s="774">
        <f t="shared" si="4"/>
        <v>40675</v>
      </c>
      <c r="J101" s="774">
        <v>11745</v>
      </c>
      <c r="K101" s="774">
        <v>28930</v>
      </c>
      <c r="L101" s="774">
        <v>37</v>
      </c>
    </row>
    <row r="102" spans="1:12" x14ac:dyDescent="0.25">
      <c r="A102" s="776">
        <v>90</v>
      </c>
      <c r="B102" s="776">
        <v>26001</v>
      </c>
      <c r="C102" s="777" t="s">
        <v>208</v>
      </c>
      <c r="D102" s="774">
        <f t="shared" si="3"/>
        <v>50650</v>
      </c>
      <c r="E102" s="774">
        <v>0</v>
      </c>
      <c r="F102" s="774">
        <v>2593</v>
      </c>
      <c r="G102" s="774">
        <v>0</v>
      </c>
      <c r="H102" s="774">
        <v>0</v>
      </c>
      <c r="I102" s="774">
        <f t="shared" si="4"/>
        <v>48057</v>
      </c>
      <c r="J102" s="774">
        <v>9973</v>
      </c>
      <c r="K102" s="774">
        <v>38084</v>
      </c>
      <c r="L102" s="774">
        <v>148</v>
      </c>
    </row>
    <row r="103" spans="1:12" x14ac:dyDescent="0.25">
      <c r="A103" s="776">
        <v>91</v>
      </c>
      <c r="B103" s="776">
        <v>22203</v>
      </c>
      <c r="C103" s="777" t="s">
        <v>210</v>
      </c>
      <c r="D103" s="774">
        <f t="shared" si="3"/>
        <v>32016</v>
      </c>
      <c r="E103" s="774">
        <v>0</v>
      </c>
      <c r="F103" s="774">
        <v>0</v>
      </c>
      <c r="G103" s="774">
        <v>0</v>
      </c>
      <c r="H103" s="774">
        <v>0</v>
      </c>
      <c r="I103" s="774">
        <f t="shared" si="4"/>
        <v>32016</v>
      </c>
      <c r="J103" s="774">
        <v>9179</v>
      </c>
      <c r="K103" s="774">
        <v>22837</v>
      </c>
      <c r="L103" s="774">
        <v>181</v>
      </c>
    </row>
    <row r="104" spans="1:12" x14ac:dyDescent="0.25">
      <c r="A104" s="776">
        <v>92</v>
      </c>
      <c r="B104" s="776">
        <v>27002</v>
      </c>
      <c r="C104" s="777" t="s">
        <v>212</v>
      </c>
      <c r="D104" s="774">
        <f t="shared" si="3"/>
        <v>46509</v>
      </c>
      <c r="E104" s="774">
        <v>0</v>
      </c>
      <c r="F104" s="774">
        <v>0</v>
      </c>
      <c r="G104" s="774">
        <v>0</v>
      </c>
      <c r="H104" s="774">
        <v>0</v>
      </c>
      <c r="I104" s="774">
        <f t="shared" si="4"/>
        <v>46509</v>
      </c>
      <c r="J104" s="774">
        <v>12181</v>
      </c>
      <c r="K104" s="774">
        <v>34328</v>
      </c>
      <c r="L104" s="774">
        <v>420</v>
      </c>
    </row>
    <row r="105" spans="1:12" x14ac:dyDescent="0.25">
      <c r="A105" s="776">
        <v>93</v>
      </c>
      <c r="B105" s="776">
        <v>22000</v>
      </c>
      <c r="C105" s="777" t="s">
        <v>214</v>
      </c>
      <c r="D105" s="774">
        <f t="shared" si="3"/>
        <v>72285</v>
      </c>
      <c r="E105" s="774">
        <v>0</v>
      </c>
      <c r="F105" s="774">
        <v>0</v>
      </c>
      <c r="G105" s="774">
        <v>0</v>
      </c>
      <c r="H105" s="774">
        <v>0</v>
      </c>
      <c r="I105" s="774">
        <f t="shared" si="4"/>
        <v>72285</v>
      </c>
      <c r="J105" s="774">
        <v>21111</v>
      </c>
      <c r="K105" s="774">
        <v>51174</v>
      </c>
      <c r="L105" s="774">
        <v>43</v>
      </c>
    </row>
    <row r="106" spans="1:12" x14ac:dyDescent="0.25">
      <c r="A106" s="776">
        <v>94</v>
      </c>
      <c r="B106" s="776">
        <v>22003</v>
      </c>
      <c r="C106" s="777" t="s">
        <v>216</v>
      </c>
      <c r="D106" s="774">
        <f t="shared" si="3"/>
        <v>36813</v>
      </c>
      <c r="E106" s="774">
        <v>0</v>
      </c>
      <c r="F106" s="774">
        <v>0</v>
      </c>
      <c r="G106" s="774">
        <v>0</v>
      </c>
      <c r="H106" s="774">
        <v>0</v>
      </c>
      <c r="I106" s="774">
        <f t="shared" si="4"/>
        <v>36813</v>
      </c>
      <c r="J106" s="774">
        <v>10002</v>
      </c>
      <c r="K106" s="774">
        <v>26811</v>
      </c>
      <c r="L106" s="774">
        <v>39</v>
      </c>
    </row>
    <row r="107" spans="1:12" x14ac:dyDescent="0.25">
      <c r="A107" s="776">
        <v>95</v>
      </c>
      <c r="B107" s="776">
        <v>20251</v>
      </c>
      <c r="C107" s="777" t="s">
        <v>510</v>
      </c>
      <c r="D107" s="774">
        <f t="shared" si="3"/>
        <v>2387</v>
      </c>
      <c r="E107" s="774">
        <v>0</v>
      </c>
      <c r="F107" s="774">
        <v>0</v>
      </c>
      <c r="G107" s="774">
        <v>2387</v>
      </c>
      <c r="H107" s="774">
        <v>0</v>
      </c>
      <c r="I107" s="774">
        <f t="shared" si="4"/>
        <v>0</v>
      </c>
      <c r="J107" s="774">
        <v>0</v>
      </c>
      <c r="K107" s="774">
        <v>0</v>
      </c>
      <c r="L107" s="774">
        <v>0</v>
      </c>
    </row>
    <row r="108" spans="1:12" x14ac:dyDescent="0.25">
      <c r="A108" s="776">
        <v>96</v>
      </c>
      <c r="B108" s="776">
        <v>20260</v>
      </c>
      <c r="C108" s="777" t="s">
        <v>511</v>
      </c>
      <c r="D108" s="774">
        <f t="shared" si="3"/>
        <v>340</v>
      </c>
      <c r="E108" s="774">
        <v>0</v>
      </c>
      <c r="F108" s="774">
        <v>0</v>
      </c>
      <c r="G108" s="774">
        <v>340</v>
      </c>
      <c r="H108" s="774">
        <v>0</v>
      </c>
      <c r="I108" s="774">
        <f t="shared" si="4"/>
        <v>0</v>
      </c>
      <c r="J108" s="774">
        <v>0</v>
      </c>
      <c r="K108" s="774">
        <v>0</v>
      </c>
      <c r="L108" s="774">
        <v>0</v>
      </c>
    </row>
    <row r="109" spans="1:12" x14ac:dyDescent="0.25">
      <c r="A109" s="776">
        <v>97</v>
      </c>
      <c r="B109" s="776">
        <v>20235</v>
      </c>
      <c r="C109" s="777" t="s">
        <v>512</v>
      </c>
      <c r="D109" s="774">
        <f t="shared" si="3"/>
        <v>24</v>
      </c>
      <c r="E109" s="774">
        <v>0</v>
      </c>
      <c r="F109" s="774">
        <v>0</v>
      </c>
      <c r="G109" s="774">
        <v>24</v>
      </c>
      <c r="H109" s="774">
        <v>0</v>
      </c>
      <c r="I109" s="774">
        <f t="shared" si="4"/>
        <v>0</v>
      </c>
      <c r="J109" s="774">
        <v>0</v>
      </c>
      <c r="K109" s="774">
        <v>0</v>
      </c>
      <c r="L109" s="774">
        <v>0</v>
      </c>
    </row>
    <row r="110" spans="1:12" x14ac:dyDescent="0.25">
      <c r="A110" s="776">
        <v>98</v>
      </c>
      <c r="B110" s="776">
        <v>29140</v>
      </c>
      <c r="C110" s="777" t="s">
        <v>513</v>
      </c>
      <c r="D110" s="774">
        <f t="shared" si="3"/>
        <v>0</v>
      </c>
      <c r="E110" s="774">
        <v>0</v>
      </c>
      <c r="F110" s="774">
        <v>0</v>
      </c>
      <c r="G110" s="774">
        <v>0</v>
      </c>
      <c r="H110" s="774">
        <v>0</v>
      </c>
      <c r="I110" s="774">
        <f t="shared" si="4"/>
        <v>0</v>
      </c>
      <c r="J110" s="774">
        <v>0</v>
      </c>
      <c r="K110" s="774">
        <v>0</v>
      </c>
      <c r="L110" s="774">
        <v>0</v>
      </c>
    </row>
    <row r="111" spans="1:12" x14ac:dyDescent="0.25">
      <c r="A111" s="776">
        <v>99</v>
      </c>
      <c r="B111" s="776">
        <v>20157</v>
      </c>
      <c r="C111" s="777" t="s">
        <v>514</v>
      </c>
      <c r="D111" s="774">
        <f t="shared" si="3"/>
        <v>16</v>
      </c>
      <c r="E111" s="774">
        <v>0</v>
      </c>
      <c r="F111" s="774">
        <v>0</v>
      </c>
      <c r="G111" s="774">
        <v>16</v>
      </c>
      <c r="H111" s="774">
        <v>0</v>
      </c>
      <c r="I111" s="774">
        <f t="shared" si="4"/>
        <v>0</v>
      </c>
      <c r="J111" s="774">
        <v>0</v>
      </c>
      <c r="K111" s="774">
        <v>0</v>
      </c>
      <c r="L111" s="774">
        <v>0</v>
      </c>
    </row>
    <row r="112" spans="1:12" x14ac:dyDescent="0.25">
      <c r="A112" s="776">
        <v>100</v>
      </c>
      <c r="B112" s="776">
        <v>20172</v>
      </c>
      <c r="C112" s="777" t="s">
        <v>515</v>
      </c>
      <c r="D112" s="774">
        <f t="shared" si="3"/>
        <v>67</v>
      </c>
      <c r="E112" s="774">
        <v>0</v>
      </c>
      <c r="F112" s="774">
        <v>0</v>
      </c>
      <c r="G112" s="774">
        <v>67</v>
      </c>
      <c r="H112" s="774">
        <v>0</v>
      </c>
      <c r="I112" s="774">
        <f t="shared" si="4"/>
        <v>0</v>
      </c>
      <c r="J112" s="774">
        <v>0</v>
      </c>
      <c r="K112" s="774">
        <v>0</v>
      </c>
      <c r="L112" s="774">
        <v>0</v>
      </c>
    </row>
    <row r="113" spans="1:12" x14ac:dyDescent="0.25">
      <c r="A113" s="776">
        <v>101</v>
      </c>
      <c r="B113" s="776">
        <v>20165</v>
      </c>
      <c r="C113" s="777" t="s">
        <v>516</v>
      </c>
      <c r="D113" s="774">
        <f t="shared" si="3"/>
        <v>410</v>
      </c>
      <c r="E113" s="774">
        <v>0</v>
      </c>
      <c r="F113" s="774">
        <v>0</v>
      </c>
      <c r="G113" s="774">
        <v>410</v>
      </c>
      <c r="H113" s="774">
        <v>0</v>
      </c>
      <c r="I113" s="774">
        <f t="shared" si="4"/>
        <v>0</v>
      </c>
      <c r="J113" s="774">
        <v>0</v>
      </c>
      <c r="K113" s="774">
        <v>0</v>
      </c>
      <c r="L113" s="774">
        <v>0</v>
      </c>
    </row>
    <row r="114" spans="1:12" x14ac:dyDescent="0.25">
      <c r="A114" s="776">
        <v>102</v>
      </c>
      <c r="B114" s="776">
        <v>20161</v>
      </c>
      <c r="C114" s="777" t="s">
        <v>517</v>
      </c>
      <c r="D114" s="774">
        <f t="shared" si="3"/>
        <v>2882</v>
      </c>
      <c r="E114" s="774">
        <v>0</v>
      </c>
      <c r="F114" s="774">
        <v>0</v>
      </c>
      <c r="G114" s="774">
        <v>2882</v>
      </c>
      <c r="H114" s="774">
        <v>0</v>
      </c>
      <c r="I114" s="774">
        <f t="shared" si="4"/>
        <v>0</v>
      </c>
      <c r="J114" s="774">
        <v>0</v>
      </c>
      <c r="K114" s="774">
        <v>0</v>
      </c>
      <c r="L114" s="774">
        <v>0</v>
      </c>
    </row>
    <row r="115" spans="1:12" x14ac:dyDescent="0.25">
      <c r="A115" s="776">
        <v>103</v>
      </c>
      <c r="B115" s="776">
        <v>22120</v>
      </c>
      <c r="C115" s="777" t="s">
        <v>518</v>
      </c>
      <c r="D115" s="774">
        <f t="shared" si="3"/>
        <v>12</v>
      </c>
      <c r="E115" s="774">
        <v>0</v>
      </c>
      <c r="F115" s="774">
        <v>0</v>
      </c>
      <c r="G115" s="774">
        <v>12</v>
      </c>
      <c r="H115" s="774">
        <v>0</v>
      </c>
      <c r="I115" s="774">
        <f t="shared" si="4"/>
        <v>0</v>
      </c>
      <c r="J115" s="774">
        <v>0</v>
      </c>
      <c r="K115" s="774">
        <v>0</v>
      </c>
      <c r="L115" s="774">
        <v>0</v>
      </c>
    </row>
    <row r="116" spans="1:12" x14ac:dyDescent="0.25">
      <c r="A116" s="776">
        <v>104</v>
      </c>
      <c r="B116" s="776">
        <v>22113</v>
      </c>
      <c r="C116" s="777" t="s">
        <v>265</v>
      </c>
      <c r="D116" s="774">
        <f t="shared" si="3"/>
        <v>5974</v>
      </c>
      <c r="E116" s="774">
        <v>0</v>
      </c>
      <c r="F116" s="774">
        <v>0</v>
      </c>
      <c r="G116" s="774">
        <v>204</v>
      </c>
      <c r="H116" s="774">
        <v>5770</v>
      </c>
      <c r="I116" s="774">
        <f t="shared" si="4"/>
        <v>0</v>
      </c>
      <c r="J116" s="774">
        <v>0</v>
      </c>
      <c r="K116" s="774">
        <v>0</v>
      </c>
      <c r="L116" s="774">
        <v>0</v>
      </c>
    </row>
    <row r="117" spans="1:12" x14ac:dyDescent="0.25">
      <c r="A117" s="776">
        <v>105</v>
      </c>
      <c r="B117" s="776">
        <v>22112</v>
      </c>
      <c r="C117" s="777" t="s">
        <v>519</v>
      </c>
      <c r="D117" s="774">
        <f t="shared" si="3"/>
        <v>54613</v>
      </c>
      <c r="E117" s="774">
        <v>0</v>
      </c>
      <c r="F117" s="774">
        <v>0</v>
      </c>
      <c r="G117" s="774">
        <v>54613</v>
      </c>
      <c r="H117" s="774">
        <v>0</v>
      </c>
      <c r="I117" s="774">
        <f t="shared" si="4"/>
        <v>0</v>
      </c>
      <c r="J117" s="774">
        <v>0</v>
      </c>
      <c r="K117" s="774">
        <v>0</v>
      </c>
      <c r="L117" s="774">
        <v>0</v>
      </c>
    </row>
    <row r="118" spans="1:12" x14ac:dyDescent="0.25">
      <c r="A118" s="776">
        <v>106</v>
      </c>
      <c r="B118" s="776">
        <v>26000</v>
      </c>
      <c r="C118" s="777" t="s">
        <v>269</v>
      </c>
      <c r="D118" s="774">
        <f t="shared" si="3"/>
        <v>34462</v>
      </c>
      <c r="E118" s="774">
        <v>0</v>
      </c>
      <c r="F118" s="774">
        <v>0</v>
      </c>
      <c r="G118" s="774">
        <v>34462</v>
      </c>
      <c r="H118" s="774">
        <v>0</v>
      </c>
      <c r="I118" s="774">
        <f t="shared" si="4"/>
        <v>0</v>
      </c>
      <c r="J118" s="774">
        <v>0</v>
      </c>
      <c r="K118" s="774">
        <v>0</v>
      </c>
      <c r="L118" s="774">
        <v>0</v>
      </c>
    </row>
    <row r="119" spans="1:12" x14ac:dyDescent="0.25">
      <c r="A119" s="776">
        <v>107</v>
      </c>
      <c r="B119" s="776">
        <v>22720</v>
      </c>
      <c r="C119" s="777" t="s">
        <v>520</v>
      </c>
      <c r="D119" s="774">
        <f t="shared" si="3"/>
        <v>190583</v>
      </c>
      <c r="E119" s="774">
        <v>0</v>
      </c>
      <c r="F119" s="774">
        <v>5553</v>
      </c>
      <c r="G119" s="774">
        <v>0</v>
      </c>
      <c r="H119" s="774">
        <v>7428</v>
      </c>
      <c r="I119" s="774">
        <f t="shared" si="4"/>
        <v>177602</v>
      </c>
      <c r="J119" s="774">
        <v>39356</v>
      </c>
      <c r="K119" s="774">
        <v>138246</v>
      </c>
      <c r="L119" s="774">
        <v>879</v>
      </c>
    </row>
    <row r="120" spans="1:12" x14ac:dyDescent="0.25">
      <c r="A120" s="776">
        <v>108</v>
      </c>
      <c r="B120" s="776">
        <v>22400</v>
      </c>
      <c r="C120" s="777" t="s">
        <v>277</v>
      </c>
      <c r="D120" s="774">
        <f t="shared" si="3"/>
        <v>85061</v>
      </c>
      <c r="E120" s="774">
        <v>0</v>
      </c>
      <c r="F120" s="774">
        <v>0</v>
      </c>
      <c r="G120" s="774">
        <v>0</v>
      </c>
      <c r="H120" s="774">
        <v>0</v>
      </c>
      <c r="I120" s="774">
        <f t="shared" si="4"/>
        <v>85061</v>
      </c>
      <c r="J120" s="774">
        <v>27920</v>
      </c>
      <c r="K120" s="774">
        <v>57141</v>
      </c>
      <c r="L120" s="774">
        <v>43</v>
      </c>
    </row>
    <row r="121" spans="1:12" x14ac:dyDescent="0.25">
      <c r="A121" s="776">
        <v>109</v>
      </c>
      <c r="B121" s="776">
        <v>22121</v>
      </c>
      <c r="C121" s="777" t="s">
        <v>283</v>
      </c>
      <c r="D121" s="774">
        <f t="shared" si="3"/>
        <v>26490</v>
      </c>
      <c r="E121" s="774">
        <v>0</v>
      </c>
      <c r="F121" s="774">
        <v>0</v>
      </c>
      <c r="G121" s="774">
        <v>26490</v>
      </c>
      <c r="H121" s="774">
        <v>0</v>
      </c>
      <c r="I121" s="774">
        <f t="shared" si="4"/>
        <v>0</v>
      </c>
      <c r="J121" s="774">
        <v>0</v>
      </c>
      <c r="K121" s="774">
        <v>0</v>
      </c>
      <c r="L121" s="774">
        <v>0</v>
      </c>
    </row>
    <row r="122" spans="1:12" ht="24" x14ac:dyDescent="0.25">
      <c r="A122" s="778"/>
      <c r="B122" s="778"/>
      <c r="C122" s="777" t="s">
        <v>14</v>
      </c>
      <c r="D122" s="774">
        <f t="shared" si="3"/>
        <v>5178</v>
      </c>
      <c r="E122" s="774">
        <v>0</v>
      </c>
      <c r="F122" s="774">
        <v>0</v>
      </c>
      <c r="G122" s="774">
        <f>1165+4013</f>
        <v>5178</v>
      </c>
      <c r="H122" s="774">
        <v>0</v>
      </c>
      <c r="I122" s="774">
        <f t="shared" si="4"/>
        <v>0</v>
      </c>
      <c r="J122" s="774">
        <v>0</v>
      </c>
      <c r="K122" s="774">
        <v>0</v>
      </c>
      <c r="L122" s="774">
        <v>0</v>
      </c>
    </row>
    <row r="123" spans="1:12" x14ac:dyDescent="0.25">
      <c r="A123" s="776"/>
      <c r="B123" s="776"/>
      <c r="C123" s="777" t="s">
        <v>521</v>
      </c>
      <c r="D123" s="774">
        <f t="shared" si="3"/>
        <v>0</v>
      </c>
      <c r="E123" s="774">
        <v>0</v>
      </c>
      <c r="F123" s="774">
        <v>0</v>
      </c>
      <c r="G123" s="774">
        <v>0</v>
      </c>
      <c r="H123" s="774">
        <v>0</v>
      </c>
      <c r="I123" s="774">
        <f t="shared" si="4"/>
        <v>0</v>
      </c>
      <c r="J123" s="774">
        <v>0</v>
      </c>
      <c r="K123" s="774">
        <v>0</v>
      </c>
      <c r="L123" s="774">
        <v>0</v>
      </c>
    </row>
    <row r="124" spans="1:12" x14ac:dyDescent="0.25">
      <c r="A124" s="1218" t="s">
        <v>467</v>
      </c>
      <c r="B124" s="1218"/>
      <c r="C124" s="1218"/>
      <c r="D124" s="779">
        <f>SUM(D10:D123)-D85</f>
        <v>7000946</v>
      </c>
      <c r="E124" s="779">
        <f t="shared" ref="E124:L124" si="5">SUM(E10:E123)-E85</f>
        <v>14180</v>
      </c>
      <c r="F124" s="779">
        <f t="shared" si="5"/>
        <v>68545</v>
      </c>
      <c r="G124" s="779">
        <f t="shared" si="5"/>
        <v>492529</v>
      </c>
      <c r="H124" s="779">
        <f t="shared" si="5"/>
        <v>37449</v>
      </c>
      <c r="I124" s="779">
        <f t="shared" si="5"/>
        <v>6388243</v>
      </c>
      <c r="J124" s="779">
        <f t="shared" si="5"/>
        <v>1812547</v>
      </c>
      <c r="K124" s="779">
        <f t="shared" si="5"/>
        <v>4575696</v>
      </c>
      <c r="L124" s="779">
        <f t="shared" si="5"/>
        <v>23258</v>
      </c>
    </row>
  </sheetData>
  <mergeCells count="17">
    <mergeCell ref="A85:A88"/>
    <mergeCell ref="B85:B88"/>
    <mergeCell ref="A124:C124"/>
    <mergeCell ref="E5:E8"/>
    <mergeCell ref="F5:F8"/>
    <mergeCell ref="A4:A8"/>
    <mergeCell ref="B4:B8"/>
    <mergeCell ref="C4:C8"/>
    <mergeCell ref="D4:D8"/>
    <mergeCell ref="E4:L4"/>
    <mergeCell ref="G5:G8"/>
    <mergeCell ref="H5:H8"/>
    <mergeCell ref="I5:L5"/>
    <mergeCell ref="I6:I8"/>
    <mergeCell ref="J6:L6"/>
    <mergeCell ref="J7:J8"/>
    <mergeCell ref="K7:L7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BD45"/>
  <sheetViews>
    <sheetView zoomScale="106" zoomScaleNormal="106" workbookViewId="0">
      <pane xSplit="3" ySplit="7" topLeftCell="D33" activePane="bottomRight" state="frozen"/>
      <selection pane="topRight" activeCell="D1" sqref="D1"/>
      <selection pane="bottomLeft" activeCell="A8" sqref="A8"/>
      <selection pane="bottomRight" activeCell="C48" sqref="C48"/>
    </sheetView>
  </sheetViews>
  <sheetFormatPr defaultRowHeight="15" x14ac:dyDescent="0.25"/>
  <cols>
    <col min="1" max="1" width="5.42578125" style="748" customWidth="1"/>
    <col min="2" max="2" width="7.140625" style="748" customWidth="1"/>
    <col min="3" max="3" width="22.5703125" style="748" customWidth="1"/>
    <col min="4" max="4" width="7.42578125" style="748" customWidth="1"/>
    <col min="5" max="8" width="7.85546875" style="748" customWidth="1"/>
    <col min="9" max="10" width="7.7109375" style="748" customWidth="1"/>
    <col min="11" max="12" width="7.140625" style="748" customWidth="1"/>
    <col min="13" max="14" width="7.85546875" style="748" customWidth="1"/>
    <col min="15" max="16" width="7.7109375" style="748" customWidth="1"/>
    <col min="17" max="20" width="7.42578125" style="748" customWidth="1"/>
    <col min="21" max="21" width="6.28515625" style="748" customWidth="1"/>
    <col min="22" max="23" width="7.7109375" style="748" customWidth="1"/>
    <col min="24" max="25" width="7.28515625" style="748" customWidth="1"/>
    <col min="26" max="27" width="6.5703125" style="748" customWidth="1"/>
    <col min="28" max="29" width="7.140625" style="748" customWidth="1"/>
    <col min="30" max="37" width="8" style="748" customWidth="1"/>
    <col min="38" max="38" width="6.42578125" style="748" customWidth="1"/>
    <col min="39" max="52" width="7.85546875" style="748" customWidth="1"/>
    <col min="53" max="16384" width="9.140625" style="748"/>
  </cols>
  <sheetData>
    <row r="2" spans="1:56" ht="30.75" customHeight="1" x14ac:dyDescent="0.25">
      <c r="A2" s="1231" t="s">
        <v>522</v>
      </c>
      <c r="B2" s="1231"/>
      <c r="C2" s="1231"/>
      <c r="D2" s="1231"/>
      <c r="E2" s="1231"/>
      <c r="F2" s="1231"/>
      <c r="G2" s="1231"/>
      <c r="H2" s="1231"/>
      <c r="I2" s="1231"/>
      <c r="J2" s="1231"/>
      <c r="K2" s="1231"/>
      <c r="L2" s="1231"/>
      <c r="M2" s="1231"/>
      <c r="N2" s="1231"/>
      <c r="O2" s="1231"/>
      <c r="P2" s="1231"/>
      <c r="Q2" s="1231"/>
      <c r="R2" s="1231"/>
      <c r="S2" s="747"/>
      <c r="T2" s="747"/>
    </row>
    <row r="4" spans="1:56" x14ac:dyDescent="0.25">
      <c r="A4" s="1224" t="s">
        <v>0</v>
      </c>
      <c r="B4" s="1224" t="s">
        <v>302</v>
      </c>
      <c r="C4" s="1226" t="s">
        <v>2</v>
      </c>
      <c r="D4" s="1228" t="s">
        <v>441</v>
      </c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30"/>
      <c r="U4" s="1228" t="s">
        <v>523</v>
      </c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30"/>
      <c r="AL4" s="1226" t="s">
        <v>524</v>
      </c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</row>
    <row r="5" spans="1:56" ht="45" customHeight="1" x14ac:dyDescent="0.25">
      <c r="A5" s="1224"/>
      <c r="B5" s="1224"/>
      <c r="C5" s="1226"/>
      <c r="D5" s="1226" t="s">
        <v>441</v>
      </c>
      <c r="E5" s="1224" t="s">
        <v>525</v>
      </c>
      <c r="F5" s="1224"/>
      <c r="G5" s="1224" t="s">
        <v>526</v>
      </c>
      <c r="H5" s="1224"/>
      <c r="I5" s="1224" t="s">
        <v>527</v>
      </c>
      <c r="J5" s="1224"/>
      <c r="K5" s="1224" t="s">
        <v>528</v>
      </c>
      <c r="L5" s="1224"/>
      <c r="M5" s="1224" t="s">
        <v>529</v>
      </c>
      <c r="N5" s="1224"/>
      <c r="O5" s="1224" t="s">
        <v>530</v>
      </c>
      <c r="P5" s="1224"/>
      <c r="Q5" s="1224" t="s">
        <v>531</v>
      </c>
      <c r="R5" s="1225"/>
      <c r="S5" s="1225" t="s">
        <v>761</v>
      </c>
      <c r="T5" s="1227"/>
      <c r="U5" s="1226" t="s">
        <v>441</v>
      </c>
      <c r="V5" s="1224" t="s">
        <v>525</v>
      </c>
      <c r="W5" s="1224"/>
      <c r="X5" s="1224" t="s">
        <v>526</v>
      </c>
      <c r="Y5" s="1224"/>
      <c r="Z5" s="1224" t="s">
        <v>527</v>
      </c>
      <c r="AA5" s="1224"/>
      <c r="AB5" s="1224" t="s">
        <v>528</v>
      </c>
      <c r="AC5" s="1224"/>
      <c r="AD5" s="1224" t="s">
        <v>529</v>
      </c>
      <c r="AE5" s="1224"/>
      <c r="AF5" s="1224" t="s">
        <v>530</v>
      </c>
      <c r="AG5" s="1224"/>
      <c r="AH5" s="1224" t="s">
        <v>531</v>
      </c>
      <c r="AI5" s="1225"/>
      <c r="AJ5" s="1224" t="s">
        <v>761</v>
      </c>
      <c r="AK5" s="1225"/>
      <c r="AL5" s="1226" t="s">
        <v>441</v>
      </c>
      <c r="AM5" s="1224" t="s">
        <v>525</v>
      </c>
      <c r="AN5" s="1224"/>
      <c r="AO5" s="1224" t="s">
        <v>526</v>
      </c>
      <c r="AP5" s="1224"/>
      <c r="AQ5" s="1224" t="s">
        <v>527</v>
      </c>
      <c r="AR5" s="1224"/>
      <c r="AS5" s="1224" t="s">
        <v>528</v>
      </c>
      <c r="AT5" s="1224"/>
      <c r="AU5" s="1224" t="s">
        <v>529</v>
      </c>
      <c r="AV5" s="1224"/>
      <c r="AW5" s="1224" t="s">
        <v>530</v>
      </c>
      <c r="AX5" s="1224"/>
      <c r="AY5" s="1224" t="s">
        <v>531</v>
      </c>
      <c r="AZ5" s="1224"/>
    </row>
    <row r="6" spans="1:56" ht="21" x14ac:dyDescent="0.25">
      <c r="A6" s="1224"/>
      <c r="B6" s="1224"/>
      <c r="C6" s="1226"/>
      <c r="D6" s="1226"/>
      <c r="E6" s="749" t="s">
        <v>532</v>
      </c>
      <c r="F6" s="749" t="s">
        <v>533</v>
      </c>
      <c r="G6" s="749" t="s">
        <v>534</v>
      </c>
      <c r="H6" s="749" t="s">
        <v>535</v>
      </c>
      <c r="I6" s="749" t="s">
        <v>534</v>
      </c>
      <c r="J6" s="749" t="s">
        <v>533</v>
      </c>
      <c r="K6" s="749" t="s">
        <v>534</v>
      </c>
      <c r="L6" s="749" t="s">
        <v>535</v>
      </c>
      <c r="M6" s="749" t="s">
        <v>534</v>
      </c>
      <c r="N6" s="749" t="s">
        <v>535</v>
      </c>
      <c r="O6" s="749" t="s">
        <v>534</v>
      </c>
      <c r="P6" s="749" t="s">
        <v>535</v>
      </c>
      <c r="Q6" s="749" t="s">
        <v>534</v>
      </c>
      <c r="R6" s="750" t="s">
        <v>535</v>
      </c>
      <c r="S6" s="749" t="s">
        <v>534</v>
      </c>
      <c r="T6" s="750" t="s">
        <v>535</v>
      </c>
      <c r="U6" s="1226"/>
      <c r="V6" s="750" t="s">
        <v>534</v>
      </c>
      <c r="W6" s="750" t="s">
        <v>535</v>
      </c>
      <c r="X6" s="750" t="s">
        <v>534</v>
      </c>
      <c r="Y6" s="750" t="s">
        <v>535</v>
      </c>
      <c r="Z6" s="750" t="s">
        <v>534</v>
      </c>
      <c r="AA6" s="750" t="s">
        <v>535</v>
      </c>
      <c r="AB6" s="750" t="s">
        <v>534</v>
      </c>
      <c r="AC6" s="750" t="s">
        <v>535</v>
      </c>
      <c r="AD6" s="750" t="s">
        <v>534</v>
      </c>
      <c r="AE6" s="750" t="s">
        <v>535</v>
      </c>
      <c r="AF6" s="750" t="s">
        <v>534</v>
      </c>
      <c r="AG6" s="750" t="s">
        <v>535</v>
      </c>
      <c r="AH6" s="750" t="s">
        <v>534</v>
      </c>
      <c r="AI6" s="750" t="s">
        <v>535</v>
      </c>
      <c r="AJ6" s="750" t="s">
        <v>534</v>
      </c>
      <c r="AK6" s="750" t="s">
        <v>535</v>
      </c>
      <c r="AL6" s="1226"/>
      <c r="AM6" s="750" t="s">
        <v>534</v>
      </c>
      <c r="AN6" s="750" t="s">
        <v>535</v>
      </c>
      <c r="AO6" s="750" t="s">
        <v>534</v>
      </c>
      <c r="AP6" s="750" t="s">
        <v>535</v>
      </c>
      <c r="AQ6" s="750" t="s">
        <v>534</v>
      </c>
      <c r="AR6" s="750" t="s">
        <v>535</v>
      </c>
      <c r="AS6" s="750" t="s">
        <v>534</v>
      </c>
      <c r="AT6" s="750" t="s">
        <v>535</v>
      </c>
      <c r="AU6" s="750" t="s">
        <v>534</v>
      </c>
      <c r="AV6" s="750" t="s">
        <v>535</v>
      </c>
      <c r="AW6" s="750" t="s">
        <v>534</v>
      </c>
      <c r="AX6" s="750" t="s">
        <v>535</v>
      </c>
      <c r="AY6" s="749" t="s">
        <v>534</v>
      </c>
      <c r="AZ6" s="749" t="s">
        <v>535</v>
      </c>
    </row>
    <row r="7" spans="1:56" x14ac:dyDescent="0.25">
      <c r="A7" s="751">
        <v>1</v>
      </c>
      <c r="B7" s="751">
        <v>2</v>
      </c>
      <c r="C7" s="752">
        <v>3</v>
      </c>
      <c r="D7" s="752">
        <v>4</v>
      </c>
      <c r="E7" s="751">
        <v>5</v>
      </c>
      <c r="F7" s="751">
        <v>6</v>
      </c>
      <c r="G7" s="751">
        <v>7</v>
      </c>
      <c r="H7" s="751">
        <v>8</v>
      </c>
      <c r="I7" s="751">
        <v>9</v>
      </c>
      <c r="J7" s="751">
        <v>10</v>
      </c>
      <c r="K7" s="751">
        <v>11</v>
      </c>
      <c r="L7" s="751">
        <v>12</v>
      </c>
      <c r="M7" s="751">
        <v>13</v>
      </c>
      <c r="N7" s="751">
        <v>14</v>
      </c>
      <c r="O7" s="751">
        <v>15</v>
      </c>
      <c r="P7" s="751">
        <v>16</v>
      </c>
      <c r="Q7" s="751">
        <v>17</v>
      </c>
      <c r="R7" s="753">
        <v>18</v>
      </c>
      <c r="S7" s="751">
        <v>19</v>
      </c>
      <c r="T7" s="753">
        <v>20</v>
      </c>
      <c r="U7" s="751">
        <v>21</v>
      </c>
      <c r="V7" s="753">
        <v>22</v>
      </c>
      <c r="W7" s="751">
        <v>23</v>
      </c>
      <c r="X7" s="753">
        <v>24</v>
      </c>
      <c r="Y7" s="751">
        <v>25</v>
      </c>
      <c r="Z7" s="753">
        <v>26</v>
      </c>
      <c r="AA7" s="751">
        <v>27</v>
      </c>
      <c r="AB7" s="753">
        <v>28</v>
      </c>
      <c r="AC7" s="751">
        <v>29</v>
      </c>
      <c r="AD7" s="753">
        <v>30</v>
      </c>
      <c r="AE7" s="751">
        <v>31</v>
      </c>
      <c r="AF7" s="753">
        <v>32</v>
      </c>
      <c r="AG7" s="751">
        <v>33</v>
      </c>
      <c r="AH7" s="753">
        <v>34</v>
      </c>
      <c r="AI7" s="751">
        <v>35</v>
      </c>
      <c r="AJ7" s="753">
        <v>36</v>
      </c>
      <c r="AK7" s="751">
        <v>37</v>
      </c>
      <c r="AL7" s="753">
        <v>38</v>
      </c>
      <c r="AM7" s="751">
        <v>39</v>
      </c>
      <c r="AN7" s="753">
        <v>40</v>
      </c>
      <c r="AO7" s="751">
        <v>41</v>
      </c>
      <c r="AP7" s="753">
        <v>42</v>
      </c>
      <c r="AQ7" s="751">
        <v>43</v>
      </c>
      <c r="AR7" s="753">
        <v>44</v>
      </c>
      <c r="AS7" s="751">
        <v>45</v>
      </c>
      <c r="AT7" s="753">
        <v>46</v>
      </c>
      <c r="AU7" s="751">
        <v>47</v>
      </c>
      <c r="AV7" s="753">
        <v>48</v>
      </c>
      <c r="AW7" s="751">
        <v>49</v>
      </c>
      <c r="AX7" s="753">
        <v>50</v>
      </c>
      <c r="AY7" s="751">
        <v>51</v>
      </c>
      <c r="AZ7" s="751">
        <v>52</v>
      </c>
    </row>
    <row r="8" spans="1:56" x14ac:dyDescent="0.25">
      <c r="A8" s="752">
        <v>1</v>
      </c>
      <c r="B8" s="754" t="s">
        <v>272</v>
      </c>
      <c r="C8" s="755" t="s">
        <v>273</v>
      </c>
      <c r="D8" s="756">
        <f>E8+F8+G8+H8+I8+J8+K8+L8+M8+N8+O8+P8+Q8+R8+S8+T8</f>
        <v>4051</v>
      </c>
      <c r="E8" s="757">
        <f t="shared" ref="E8:T23" si="0">V8+AM8</f>
        <v>49</v>
      </c>
      <c r="F8" s="757">
        <f t="shared" si="0"/>
        <v>50</v>
      </c>
      <c r="G8" s="757">
        <f t="shared" si="0"/>
        <v>699</v>
      </c>
      <c r="H8" s="757">
        <f t="shared" si="0"/>
        <v>301</v>
      </c>
      <c r="I8" s="757">
        <f t="shared" si="0"/>
        <v>2124</v>
      </c>
      <c r="J8" s="757">
        <f t="shared" si="0"/>
        <v>714</v>
      </c>
      <c r="K8" s="757">
        <f t="shared" si="0"/>
        <v>40</v>
      </c>
      <c r="L8" s="757">
        <f t="shared" si="0"/>
        <v>10</v>
      </c>
      <c r="M8" s="757">
        <f t="shared" si="0"/>
        <v>10</v>
      </c>
      <c r="N8" s="757">
        <f t="shared" si="0"/>
        <v>5</v>
      </c>
      <c r="O8" s="757">
        <f t="shared" si="0"/>
        <v>0</v>
      </c>
      <c r="P8" s="757">
        <f t="shared" si="0"/>
        <v>0</v>
      </c>
      <c r="Q8" s="757">
        <f t="shared" si="0"/>
        <v>0</v>
      </c>
      <c r="R8" s="757">
        <f t="shared" si="0"/>
        <v>0</v>
      </c>
      <c r="S8" s="757">
        <f t="shared" si="0"/>
        <v>39</v>
      </c>
      <c r="T8" s="757">
        <f t="shared" si="0"/>
        <v>10</v>
      </c>
      <c r="U8" s="756">
        <f>V8+W8+X8+Y8+Z8+AA8+AB8+AC8+AD8+AE8+AF8+AG8+AH8+AI8+AJ8+AK8</f>
        <v>3452</v>
      </c>
      <c r="V8" s="756">
        <f>'[16]Объемы 18-23 '!V8+'[16]Изменения 1 - 18'!V8</f>
        <v>49</v>
      </c>
      <c r="W8" s="756">
        <f>'[16]Объемы 18-23 '!W8+'[16]Изменения 1 - 18'!W8</f>
        <v>50</v>
      </c>
      <c r="X8" s="756">
        <f>'[16]Объемы 18-23 '!X8+'[16]Изменения 1 - 18'!X8</f>
        <v>699</v>
      </c>
      <c r="Y8" s="756">
        <f>'[16]Объемы 18-23 '!Y8+'[16]Изменения 1 - 18'!Y8</f>
        <v>301</v>
      </c>
      <c r="Z8" s="756">
        <f>'[16]Объемы 18-23 '!Z8+'[16]Изменения 1 - 18'!Z8</f>
        <v>1599</v>
      </c>
      <c r="AA8" s="756">
        <f>'[16]Объемы 18-23 '!AA8+'[16]Изменения 1 - 18'!AA8</f>
        <v>640</v>
      </c>
      <c r="AB8" s="756">
        <f>'[16]Объемы 18-23 '!AB8+'[16]Изменения 1 - 18'!AB8</f>
        <v>40</v>
      </c>
      <c r="AC8" s="756">
        <f>'[16]Объемы 18-23 '!AC8+'[16]Изменения 1 - 18'!AC8</f>
        <v>10</v>
      </c>
      <c r="AD8" s="756">
        <f>'[16]Объемы 18-23 '!AD8+'[16]Изменения 1 - 18'!AD8</f>
        <v>10</v>
      </c>
      <c r="AE8" s="756">
        <f>'[16]Объемы 18-23 '!AE8+'[16]Изменения 1 - 18'!AE8</f>
        <v>5</v>
      </c>
      <c r="AF8" s="756">
        <f>'[16]Объемы 18-23 '!AF8+'[16]Изменения 1 - 18'!AF8</f>
        <v>0</v>
      </c>
      <c r="AG8" s="756">
        <f>'[16]Объемы 18-23 '!AG8+'[16]Изменения 1 - 18'!AG8</f>
        <v>0</v>
      </c>
      <c r="AH8" s="756">
        <f>'[16]Объемы 18-23 '!AH8+'[16]Изменения 1 - 18'!AH8</f>
        <v>0</v>
      </c>
      <c r="AI8" s="756">
        <f>'[16]Объемы 18-23 '!AI8+'[16]Изменения 1 - 18'!AI8</f>
        <v>0</v>
      </c>
      <c r="AJ8" s="756">
        <f>'[16]Объемы 18-23 '!AJ8+'[16]Изменения 1 - 18'!AJ8</f>
        <v>39</v>
      </c>
      <c r="AK8" s="756">
        <f>'[16]Объемы 18-23 '!AK8+'[16]Изменения 1 - 18'!AK8</f>
        <v>10</v>
      </c>
      <c r="AL8" s="758">
        <f>AM8+AN8+AO8+AP8+AQ8+AR8+AS8+AT8+AU8+AV8+AW8+AX8+AY8+AZ8</f>
        <v>599</v>
      </c>
      <c r="AM8" s="756">
        <f>'[16]Объемы 18-23 '!AM8+'[16]Изменения 1 - 18'!AM8</f>
        <v>0</v>
      </c>
      <c r="AN8" s="756">
        <f>'[16]Объемы 18-23 '!AN8+'[16]Изменения 1 - 18'!AN8</f>
        <v>0</v>
      </c>
      <c r="AO8" s="756">
        <f>'[16]Объемы 18-23 '!AO8+'[16]Изменения 1 - 18'!AO8</f>
        <v>0</v>
      </c>
      <c r="AP8" s="756">
        <f>'[16]Объемы 18-23 '!AP8+'[16]Изменения 1 - 18'!AP8</f>
        <v>0</v>
      </c>
      <c r="AQ8" s="756">
        <f>'[16]Объемы 18-23 '!AQ8+'[16]Изменения 1 - 18'!AQ8</f>
        <v>525</v>
      </c>
      <c r="AR8" s="756">
        <f>'[16]Объемы 18-23 '!AR8+'[16]Изменения 1 - 18'!AR8</f>
        <v>74</v>
      </c>
      <c r="AS8" s="756">
        <f>'[16]Объемы 18-23 '!AS8+'[16]Изменения 1 - 18'!AS8</f>
        <v>0</v>
      </c>
      <c r="AT8" s="756">
        <f>'[16]Объемы 18-23 '!AT8+'[16]Изменения 1 - 18'!AT8</f>
        <v>0</v>
      </c>
      <c r="AU8" s="756">
        <f>'[16]Объемы 18-23 '!AU8+'[16]Изменения 1 - 18'!AU8</f>
        <v>0</v>
      </c>
      <c r="AV8" s="756">
        <f>'[16]Объемы 18-23 '!AV8+'[16]Изменения 1 - 18'!AV8</f>
        <v>0</v>
      </c>
      <c r="AW8" s="756">
        <f>'[16]Объемы 18-23 '!AW8+'[16]Изменения 1 - 18'!AW8</f>
        <v>0</v>
      </c>
      <c r="AX8" s="756">
        <f>'[16]Объемы 18-23 '!AX8+'[16]Изменения 1 - 18'!AX8</f>
        <v>0</v>
      </c>
      <c r="AY8" s="756">
        <f>'[16]Объемы 18-23 '!AY8+'[16]Изменения 1 - 18'!AY8</f>
        <v>0</v>
      </c>
      <c r="AZ8" s="756">
        <f>'[16]Объемы 18-23 '!AZ8+'[16]Изменения 1 - 18'!AZ8</f>
        <v>0</v>
      </c>
      <c r="BA8" s="759"/>
      <c r="BD8" s="759"/>
    </row>
    <row r="9" spans="1:56" x14ac:dyDescent="0.25">
      <c r="A9" s="752">
        <v>2</v>
      </c>
      <c r="B9" s="754" t="s">
        <v>28</v>
      </c>
      <c r="C9" s="755" t="s">
        <v>29</v>
      </c>
      <c r="D9" s="756">
        <f t="shared" ref="D9:D44" si="1">E9+F9+G9+H9+I9+J9+K9+L9+M9+N9+O9+P9+Q9+R9+S9+T9</f>
        <v>420</v>
      </c>
      <c r="E9" s="757">
        <f t="shared" si="0"/>
        <v>185</v>
      </c>
      <c r="F9" s="757">
        <f t="shared" si="0"/>
        <v>55</v>
      </c>
      <c r="G9" s="757">
        <f t="shared" si="0"/>
        <v>65</v>
      </c>
      <c r="H9" s="757">
        <f t="shared" si="0"/>
        <v>55</v>
      </c>
      <c r="I9" s="757">
        <f t="shared" si="0"/>
        <v>30</v>
      </c>
      <c r="J9" s="757">
        <f t="shared" si="0"/>
        <v>0</v>
      </c>
      <c r="K9" s="757">
        <f t="shared" si="0"/>
        <v>0</v>
      </c>
      <c r="L9" s="757">
        <f t="shared" si="0"/>
        <v>0</v>
      </c>
      <c r="M9" s="757">
        <f t="shared" si="0"/>
        <v>30</v>
      </c>
      <c r="N9" s="757">
        <f t="shared" si="0"/>
        <v>0</v>
      </c>
      <c r="O9" s="757">
        <f t="shared" si="0"/>
        <v>0</v>
      </c>
      <c r="P9" s="757">
        <f t="shared" si="0"/>
        <v>0</v>
      </c>
      <c r="Q9" s="757">
        <f t="shared" si="0"/>
        <v>0</v>
      </c>
      <c r="R9" s="757">
        <f t="shared" si="0"/>
        <v>0</v>
      </c>
      <c r="S9" s="757">
        <f t="shared" si="0"/>
        <v>0</v>
      </c>
      <c r="T9" s="757">
        <f t="shared" si="0"/>
        <v>0</v>
      </c>
      <c r="U9" s="756">
        <f t="shared" ref="U9:U44" si="2">V9+W9+X9+Y9+Z9+AA9+AB9+AC9+AD9+AE9+AF9+AG9+AH9+AI9+AJ9+AK9</f>
        <v>220</v>
      </c>
      <c r="V9" s="756">
        <f>'[16]Объемы 18-23 '!V9+'[16]Изменения 1 - 18'!V9</f>
        <v>55</v>
      </c>
      <c r="W9" s="756">
        <f>'[16]Объемы 18-23 '!W9+'[16]Изменения 1 - 18'!W9</f>
        <v>55</v>
      </c>
      <c r="X9" s="756">
        <f>'[16]Объемы 18-23 '!X9+'[16]Изменения 1 - 18'!X9</f>
        <v>55</v>
      </c>
      <c r="Y9" s="756">
        <f>'[16]Объемы 18-23 '!Y9+'[16]Изменения 1 - 18'!Y9</f>
        <v>55</v>
      </c>
      <c r="Z9" s="756">
        <f>'[16]Объемы 18-23 '!Z9+'[16]Изменения 1 - 18'!Z9</f>
        <v>0</v>
      </c>
      <c r="AA9" s="756">
        <f>'[16]Объемы 18-23 '!AA9+'[16]Изменения 1 - 18'!AA9</f>
        <v>0</v>
      </c>
      <c r="AB9" s="756">
        <f>'[16]Объемы 18-23 '!AB9+'[16]Изменения 1 - 18'!AB9</f>
        <v>0</v>
      </c>
      <c r="AC9" s="756">
        <f>'[16]Объемы 18-23 '!AC9+'[16]Изменения 1 - 18'!AC9</f>
        <v>0</v>
      </c>
      <c r="AD9" s="756">
        <f>'[16]Объемы 18-23 '!AD9+'[16]Изменения 1 - 18'!AD9</f>
        <v>0</v>
      </c>
      <c r="AE9" s="756">
        <f>'[16]Объемы 18-23 '!AE9+'[16]Изменения 1 - 18'!AE9</f>
        <v>0</v>
      </c>
      <c r="AF9" s="756">
        <f>'[16]Объемы 18-23 '!AF9+'[16]Изменения 1 - 18'!AF9</f>
        <v>0</v>
      </c>
      <c r="AG9" s="756">
        <f>'[16]Объемы 18-23 '!AG9+'[16]Изменения 1 - 18'!AG9</f>
        <v>0</v>
      </c>
      <c r="AH9" s="756">
        <f>'[16]Объемы 18-23 '!AH9+'[16]Изменения 1 - 18'!AH9</f>
        <v>0</v>
      </c>
      <c r="AI9" s="756">
        <f>'[16]Объемы 18-23 '!AI9+'[16]Изменения 1 - 18'!AI9</f>
        <v>0</v>
      </c>
      <c r="AJ9" s="756">
        <f>'[16]Объемы 18-23 '!AJ9+'[16]Изменения 1 - 18'!AJ9</f>
        <v>0</v>
      </c>
      <c r="AK9" s="756">
        <f>'[16]Объемы 18-23 '!AK9+'[16]Изменения 1 - 18'!AK9</f>
        <v>0</v>
      </c>
      <c r="AL9" s="758">
        <f t="shared" ref="AL9:AL44" si="3">AM9+AN9+AO9+AP9+AQ9+AR9+AS9+AT9+AU9+AV9+AW9+AX9+AY9+AZ9</f>
        <v>200</v>
      </c>
      <c r="AM9" s="756">
        <f>'[16]Объемы 18-23 '!AM9+'[16]Изменения 1 - 18'!AM9</f>
        <v>130</v>
      </c>
      <c r="AN9" s="756">
        <f>'[16]Объемы 18-23 '!AN9+'[16]Изменения 1 - 18'!AN9</f>
        <v>0</v>
      </c>
      <c r="AO9" s="756">
        <f>'[16]Объемы 18-23 '!AO9+'[16]Изменения 1 - 18'!AO9</f>
        <v>10</v>
      </c>
      <c r="AP9" s="756">
        <f>'[16]Объемы 18-23 '!AP9+'[16]Изменения 1 - 18'!AP9</f>
        <v>0</v>
      </c>
      <c r="AQ9" s="756">
        <f>'[16]Объемы 18-23 '!AQ9+'[16]Изменения 1 - 18'!AQ9</f>
        <v>30</v>
      </c>
      <c r="AR9" s="756">
        <f>'[16]Объемы 18-23 '!AR9+'[16]Изменения 1 - 18'!AR9</f>
        <v>0</v>
      </c>
      <c r="AS9" s="756">
        <f>'[16]Объемы 18-23 '!AS9+'[16]Изменения 1 - 18'!AS9</f>
        <v>0</v>
      </c>
      <c r="AT9" s="756">
        <f>'[16]Объемы 18-23 '!AT9+'[16]Изменения 1 - 18'!AT9</f>
        <v>0</v>
      </c>
      <c r="AU9" s="756">
        <f>'[16]Объемы 18-23 '!AU9+'[16]Изменения 1 - 18'!AU9</f>
        <v>30</v>
      </c>
      <c r="AV9" s="756">
        <f>'[16]Объемы 18-23 '!AV9+'[16]Изменения 1 - 18'!AV9</f>
        <v>0</v>
      </c>
      <c r="AW9" s="756">
        <f>'[16]Объемы 18-23 '!AW9+'[16]Изменения 1 - 18'!AW9</f>
        <v>0</v>
      </c>
      <c r="AX9" s="756">
        <f>'[16]Объемы 18-23 '!AX9+'[16]Изменения 1 - 18'!AX9</f>
        <v>0</v>
      </c>
      <c r="AY9" s="756">
        <f>'[16]Объемы 18-23 '!AY9+'[16]Изменения 1 - 18'!AY9</f>
        <v>0</v>
      </c>
      <c r="AZ9" s="756">
        <f>'[16]Объемы 18-23 '!AZ9+'[16]Изменения 1 - 18'!AZ9</f>
        <v>0</v>
      </c>
      <c r="BA9" s="759"/>
      <c r="BD9" s="759"/>
    </row>
    <row r="10" spans="1:56" ht="22.5" x14ac:dyDescent="0.25">
      <c r="A10" s="752">
        <v>3</v>
      </c>
      <c r="B10" s="754" t="s">
        <v>127</v>
      </c>
      <c r="C10" s="755" t="s">
        <v>128</v>
      </c>
      <c r="D10" s="756">
        <f t="shared" si="1"/>
        <v>310</v>
      </c>
      <c r="E10" s="757">
        <f t="shared" si="0"/>
        <v>247</v>
      </c>
      <c r="F10" s="757">
        <f t="shared" si="0"/>
        <v>0</v>
      </c>
      <c r="G10" s="757">
        <f t="shared" si="0"/>
        <v>3</v>
      </c>
      <c r="H10" s="757">
        <f t="shared" si="0"/>
        <v>0</v>
      </c>
      <c r="I10" s="757">
        <f t="shared" si="0"/>
        <v>36</v>
      </c>
      <c r="J10" s="757">
        <f t="shared" si="0"/>
        <v>0</v>
      </c>
      <c r="K10" s="757">
        <f t="shared" si="0"/>
        <v>0</v>
      </c>
      <c r="L10" s="757">
        <f t="shared" si="0"/>
        <v>0</v>
      </c>
      <c r="M10" s="757">
        <f t="shared" si="0"/>
        <v>24</v>
      </c>
      <c r="N10" s="757">
        <f t="shared" si="0"/>
        <v>0</v>
      </c>
      <c r="O10" s="757">
        <f t="shared" si="0"/>
        <v>0</v>
      </c>
      <c r="P10" s="757">
        <f t="shared" si="0"/>
        <v>0</v>
      </c>
      <c r="Q10" s="757">
        <f t="shared" si="0"/>
        <v>0</v>
      </c>
      <c r="R10" s="757">
        <f t="shared" si="0"/>
        <v>0</v>
      </c>
      <c r="S10" s="757">
        <f t="shared" si="0"/>
        <v>0</v>
      </c>
      <c r="T10" s="757">
        <f t="shared" si="0"/>
        <v>0</v>
      </c>
      <c r="U10" s="756">
        <f t="shared" si="2"/>
        <v>0</v>
      </c>
      <c r="V10" s="756">
        <f>'[16]Объемы 18-23 '!V10+'[16]Изменения 1 - 18'!V10</f>
        <v>0</v>
      </c>
      <c r="W10" s="756">
        <f>'[16]Объемы 18-23 '!W10+'[16]Изменения 1 - 18'!W10</f>
        <v>0</v>
      </c>
      <c r="X10" s="756">
        <f>'[16]Объемы 18-23 '!X10+'[16]Изменения 1 - 18'!X10</f>
        <v>0</v>
      </c>
      <c r="Y10" s="756">
        <f>'[16]Объемы 18-23 '!Y10+'[16]Изменения 1 - 18'!Y10</f>
        <v>0</v>
      </c>
      <c r="Z10" s="756">
        <f>'[16]Объемы 18-23 '!Z10+'[16]Изменения 1 - 18'!Z10</f>
        <v>0</v>
      </c>
      <c r="AA10" s="756">
        <f>'[16]Объемы 18-23 '!AA10+'[16]Изменения 1 - 18'!AA10</f>
        <v>0</v>
      </c>
      <c r="AB10" s="756">
        <f>'[16]Объемы 18-23 '!AB10+'[16]Изменения 1 - 18'!AB10</f>
        <v>0</v>
      </c>
      <c r="AC10" s="756">
        <f>'[16]Объемы 18-23 '!AC10+'[16]Изменения 1 - 18'!AC10</f>
        <v>0</v>
      </c>
      <c r="AD10" s="756">
        <f>'[16]Объемы 18-23 '!AD10+'[16]Изменения 1 - 18'!AD10</f>
        <v>0</v>
      </c>
      <c r="AE10" s="756">
        <f>'[16]Объемы 18-23 '!AE10+'[16]Изменения 1 - 18'!AE10</f>
        <v>0</v>
      </c>
      <c r="AF10" s="756">
        <f>'[16]Объемы 18-23 '!AF10+'[16]Изменения 1 - 18'!AF10</f>
        <v>0</v>
      </c>
      <c r="AG10" s="756">
        <f>'[16]Объемы 18-23 '!AG10+'[16]Изменения 1 - 18'!AG10</f>
        <v>0</v>
      </c>
      <c r="AH10" s="756">
        <f>'[16]Объемы 18-23 '!AH10+'[16]Изменения 1 - 18'!AH10</f>
        <v>0</v>
      </c>
      <c r="AI10" s="756">
        <f>'[16]Объемы 18-23 '!AI10+'[16]Изменения 1 - 18'!AI10</f>
        <v>0</v>
      </c>
      <c r="AJ10" s="756">
        <f>'[16]Объемы 18-23 '!AJ10+'[16]Изменения 1 - 18'!AJ10</f>
        <v>0</v>
      </c>
      <c r="AK10" s="756">
        <f>'[16]Объемы 18-23 '!AK10+'[16]Изменения 1 - 18'!AK10</f>
        <v>0</v>
      </c>
      <c r="AL10" s="758">
        <f t="shared" si="3"/>
        <v>310</v>
      </c>
      <c r="AM10" s="756">
        <f>'[16]Объемы 18-23 '!AM10+'[16]Изменения 1 - 18'!AM10</f>
        <v>247</v>
      </c>
      <c r="AN10" s="756">
        <f>'[16]Объемы 18-23 '!AN10+'[16]Изменения 1 - 18'!AN10</f>
        <v>0</v>
      </c>
      <c r="AO10" s="756">
        <f>'[16]Объемы 18-23 '!AO10+'[16]Изменения 1 - 18'!AO10</f>
        <v>3</v>
      </c>
      <c r="AP10" s="756">
        <f>'[16]Объемы 18-23 '!AP10+'[16]Изменения 1 - 18'!AP10</f>
        <v>0</v>
      </c>
      <c r="AQ10" s="756">
        <f>'[16]Объемы 18-23 '!AQ10+'[16]Изменения 1 - 18'!AQ10</f>
        <v>36</v>
      </c>
      <c r="AR10" s="756">
        <f>'[16]Объемы 18-23 '!AR10+'[16]Изменения 1 - 18'!AR10</f>
        <v>0</v>
      </c>
      <c r="AS10" s="756">
        <f>'[16]Объемы 18-23 '!AS10+'[16]Изменения 1 - 18'!AS10</f>
        <v>0</v>
      </c>
      <c r="AT10" s="756">
        <f>'[16]Объемы 18-23 '!AT10+'[16]Изменения 1 - 18'!AT10</f>
        <v>0</v>
      </c>
      <c r="AU10" s="756">
        <f>'[16]Объемы 18-23 '!AU10+'[16]Изменения 1 - 18'!AU10</f>
        <v>24</v>
      </c>
      <c r="AV10" s="756">
        <f>'[16]Объемы 18-23 '!AV10+'[16]Изменения 1 - 18'!AV10</f>
        <v>0</v>
      </c>
      <c r="AW10" s="756">
        <f>'[16]Объемы 18-23 '!AW10+'[16]Изменения 1 - 18'!AW10</f>
        <v>0</v>
      </c>
      <c r="AX10" s="756">
        <f>'[16]Объемы 18-23 '!AX10+'[16]Изменения 1 - 18'!AX10</f>
        <v>0</v>
      </c>
      <c r="AY10" s="756">
        <f>'[16]Объемы 18-23 '!AY10+'[16]Изменения 1 - 18'!AY10</f>
        <v>0</v>
      </c>
      <c r="AZ10" s="756">
        <f>'[16]Объемы 18-23 '!AZ10+'[16]Изменения 1 - 18'!AZ10</f>
        <v>0</v>
      </c>
      <c r="BA10" s="759"/>
      <c r="BD10" s="759"/>
    </row>
    <row r="11" spans="1:56" ht="22.5" x14ac:dyDescent="0.25">
      <c r="A11" s="752">
        <v>4</v>
      </c>
      <c r="B11" s="754" t="s">
        <v>129</v>
      </c>
      <c r="C11" s="755" t="s">
        <v>457</v>
      </c>
      <c r="D11" s="756">
        <f t="shared" si="1"/>
        <v>308</v>
      </c>
      <c r="E11" s="757">
        <f t="shared" si="0"/>
        <v>215</v>
      </c>
      <c r="F11" s="757">
        <f t="shared" si="0"/>
        <v>0</v>
      </c>
      <c r="G11" s="757">
        <f t="shared" si="0"/>
        <v>5</v>
      </c>
      <c r="H11" s="757">
        <f t="shared" si="0"/>
        <v>0</v>
      </c>
      <c r="I11" s="757">
        <f t="shared" si="0"/>
        <v>49</v>
      </c>
      <c r="J11" s="757">
        <f t="shared" si="0"/>
        <v>0</v>
      </c>
      <c r="K11" s="757">
        <f t="shared" si="0"/>
        <v>0</v>
      </c>
      <c r="L11" s="757">
        <f t="shared" si="0"/>
        <v>0</v>
      </c>
      <c r="M11" s="757">
        <f t="shared" si="0"/>
        <v>39</v>
      </c>
      <c r="N11" s="757">
        <f t="shared" si="0"/>
        <v>0</v>
      </c>
      <c r="O11" s="757">
        <f t="shared" si="0"/>
        <v>0</v>
      </c>
      <c r="P11" s="757">
        <f t="shared" si="0"/>
        <v>0</v>
      </c>
      <c r="Q11" s="757">
        <f t="shared" si="0"/>
        <v>0</v>
      </c>
      <c r="R11" s="757">
        <f t="shared" si="0"/>
        <v>0</v>
      </c>
      <c r="S11" s="757">
        <f t="shared" si="0"/>
        <v>0</v>
      </c>
      <c r="T11" s="757">
        <f t="shared" si="0"/>
        <v>0</v>
      </c>
      <c r="U11" s="756">
        <f t="shared" si="2"/>
        <v>0</v>
      </c>
      <c r="V11" s="756">
        <f>'[16]Объемы 18-23 '!V11+'[16]Изменения 1 - 18'!V11</f>
        <v>0</v>
      </c>
      <c r="W11" s="756">
        <f>'[16]Объемы 18-23 '!W11+'[16]Изменения 1 - 18'!W11</f>
        <v>0</v>
      </c>
      <c r="X11" s="756">
        <f>'[16]Объемы 18-23 '!X11+'[16]Изменения 1 - 18'!X11</f>
        <v>0</v>
      </c>
      <c r="Y11" s="756">
        <f>'[16]Объемы 18-23 '!Y11+'[16]Изменения 1 - 18'!Y11</f>
        <v>0</v>
      </c>
      <c r="Z11" s="756">
        <f>'[16]Объемы 18-23 '!Z11+'[16]Изменения 1 - 18'!Z11</f>
        <v>0</v>
      </c>
      <c r="AA11" s="756">
        <f>'[16]Объемы 18-23 '!AA11+'[16]Изменения 1 - 18'!AA11</f>
        <v>0</v>
      </c>
      <c r="AB11" s="756">
        <f>'[16]Объемы 18-23 '!AB11+'[16]Изменения 1 - 18'!AB11</f>
        <v>0</v>
      </c>
      <c r="AC11" s="756">
        <f>'[16]Объемы 18-23 '!AC11+'[16]Изменения 1 - 18'!AC11</f>
        <v>0</v>
      </c>
      <c r="AD11" s="756">
        <f>'[16]Объемы 18-23 '!AD11+'[16]Изменения 1 - 18'!AD11</f>
        <v>0</v>
      </c>
      <c r="AE11" s="756">
        <f>'[16]Объемы 18-23 '!AE11+'[16]Изменения 1 - 18'!AE11</f>
        <v>0</v>
      </c>
      <c r="AF11" s="756">
        <f>'[16]Объемы 18-23 '!AF11+'[16]Изменения 1 - 18'!AF11</f>
        <v>0</v>
      </c>
      <c r="AG11" s="756">
        <f>'[16]Объемы 18-23 '!AG11+'[16]Изменения 1 - 18'!AG11</f>
        <v>0</v>
      </c>
      <c r="AH11" s="756">
        <f>'[16]Объемы 18-23 '!AH11+'[16]Изменения 1 - 18'!AH11</f>
        <v>0</v>
      </c>
      <c r="AI11" s="756">
        <f>'[16]Объемы 18-23 '!AI11+'[16]Изменения 1 - 18'!AI11</f>
        <v>0</v>
      </c>
      <c r="AJ11" s="756">
        <f>'[16]Объемы 18-23 '!AJ11+'[16]Изменения 1 - 18'!AJ11</f>
        <v>0</v>
      </c>
      <c r="AK11" s="756">
        <f>'[16]Объемы 18-23 '!AK11+'[16]Изменения 1 - 18'!AK11</f>
        <v>0</v>
      </c>
      <c r="AL11" s="758">
        <f t="shared" si="3"/>
        <v>308</v>
      </c>
      <c r="AM11" s="756">
        <f>'[16]Объемы 18-23 '!AM11+'[16]Изменения 1 - 18'!AM11</f>
        <v>215</v>
      </c>
      <c r="AN11" s="756">
        <f>'[16]Объемы 18-23 '!AN11+'[16]Изменения 1 - 18'!AN11</f>
        <v>0</v>
      </c>
      <c r="AO11" s="756">
        <f>'[16]Объемы 18-23 '!AO11+'[16]Изменения 1 - 18'!AO11</f>
        <v>5</v>
      </c>
      <c r="AP11" s="756">
        <f>'[16]Объемы 18-23 '!AP11+'[16]Изменения 1 - 18'!AP11</f>
        <v>0</v>
      </c>
      <c r="AQ11" s="756">
        <f>'[16]Объемы 18-23 '!AQ11+'[16]Изменения 1 - 18'!AQ11</f>
        <v>49</v>
      </c>
      <c r="AR11" s="756">
        <f>'[16]Объемы 18-23 '!AR11+'[16]Изменения 1 - 18'!AR11</f>
        <v>0</v>
      </c>
      <c r="AS11" s="756">
        <f>'[16]Объемы 18-23 '!AS11+'[16]Изменения 1 - 18'!AS11</f>
        <v>0</v>
      </c>
      <c r="AT11" s="756">
        <f>'[16]Объемы 18-23 '!AT11+'[16]Изменения 1 - 18'!AT11</f>
        <v>0</v>
      </c>
      <c r="AU11" s="756">
        <f>'[16]Объемы 18-23 '!AU11+'[16]Изменения 1 - 18'!AU11</f>
        <v>39</v>
      </c>
      <c r="AV11" s="756">
        <f>'[16]Объемы 18-23 '!AV11+'[16]Изменения 1 - 18'!AV11</f>
        <v>0</v>
      </c>
      <c r="AW11" s="756">
        <f>'[16]Объемы 18-23 '!AW11+'[16]Изменения 1 - 18'!AW11</f>
        <v>0</v>
      </c>
      <c r="AX11" s="756">
        <f>'[16]Объемы 18-23 '!AX11+'[16]Изменения 1 - 18'!AX11</f>
        <v>0</v>
      </c>
      <c r="AY11" s="756">
        <f>'[16]Объемы 18-23 '!AY11+'[16]Изменения 1 - 18'!AY11</f>
        <v>0</v>
      </c>
      <c r="AZ11" s="756">
        <f>'[16]Объемы 18-23 '!AZ11+'[16]Изменения 1 - 18'!AZ11</f>
        <v>0</v>
      </c>
      <c r="BA11" s="759"/>
      <c r="BD11" s="759"/>
    </row>
    <row r="12" spans="1:56" ht="22.5" x14ac:dyDescent="0.25">
      <c r="A12" s="752">
        <v>5</v>
      </c>
      <c r="B12" s="754" t="s">
        <v>133</v>
      </c>
      <c r="C12" s="755" t="s">
        <v>299</v>
      </c>
      <c r="D12" s="756">
        <f t="shared" si="1"/>
        <v>350</v>
      </c>
      <c r="E12" s="757">
        <f t="shared" si="0"/>
        <v>254</v>
      </c>
      <c r="F12" s="757">
        <f t="shared" si="0"/>
        <v>0</v>
      </c>
      <c r="G12" s="757">
        <f t="shared" si="0"/>
        <v>7</v>
      </c>
      <c r="H12" s="757">
        <f t="shared" si="0"/>
        <v>0</v>
      </c>
      <c r="I12" s="757">
        <f t="shared" si="0"/>
        <v>49</v>
      </c>
      <c r="J12" s="757">
        <f t="shared" si="0"/>
        <v>0</v>
      </c>
      <c r="K12" s="757">
        <f t="shared" si="0"/>
        <v>0</v>
      </c>
      <c r="L12" s="757">
        <f t="shared" si="0"/>
        <v>0</v>
      </c>
      <c r="M12" s="757">
        <f t="shared" si="0"/>
        <v>40</v>
      </c>
      <c r="N12" s="757">
        <f t="shared" si="0"/>
        <v>0</v>
      </c>
      <c r="O12" s="757">
        <f t="shared" si="0"/>
        <v>0</v>
      </c>
      <c r="P12" s="757">
        <f t="shared" si="0"/>
        <v>0</v>
      </c>
      <c r="Q12" s="757">
        <f t="shared" si="0"/>
        <v>0</v>
      </c>
      <c r="R12" s="757">
        <f t="shared" si="0"/>
        <v>0</v>
      </c>
      <c r="S12" s="757">
        <f t="shared" si="0"/>
        <v>0</v>
      </c>
      <c r="T12" s="757">
        <f t="shared" si="0"/>
        <v>0</v>
      </c>
      <c r="U12" s="756">
        <f t="shared" si="2"/>
        <v>0</v>
      </c>
      <c r="V12" s="756">
        <f>'[16]Объемы 18-23 '!V12+'[16]Изменения 1 - 18'!V12</f>
        <v>0</v>
      </c>
      <c r="W12" s="756">
        <f>'[16]Объемы 18-23 '!W12+'[16]Изменения 1 - 18'!W12</f>
        <v>0</v>
      </c>
      <c r="X12" s="756">
        <f>'[16]Объемы 18-23 '!X12+'[16]Изменения 1 - 18'!X12</f>
        <v>0</v>
      </c>
      <c r="Y12" s="756">
        <f>'[16]Объемы 18-23 '!Y12+'[16]Изменения 1 - 18'!Y12</f>
        <v>0</v>
      </c>
      <c r="Z12" s="756">
        <f>'[16]Объемы 18-23 '!Z12+'[16]Изменения 1 - 18'!Z12</f>
        <v>0</v>
      </c>
      <c r="AA12" s="756">
        <f>'[16]Объемы 18-23 '!AA12+'[16]Изменения 1 - 18'!AA12</f>
        <v>0</v>
      </c>
      <c r="AB12" s="756">
        <f>'[16]Объемы 18-23 '!AB12+'[16]Изменения 1 - 18'!AB12</f>
        <v>0</v>
      </c>
      <c r="AC12" s="756">
        <f>'[16]Объемы 18-23 '!AC12+'[16]Изменения 1 - 18'!AC12</f>
        <v>0</v>
      </c>
      <c r="AD12" s="756">
        <f>'[16]Объемы 18-23 '!AD12+'[16]Изменения 1 - 18'!AD12</f>
        <v>0</v>
      </c>
      <c r="AE12" s="756">
        <f>'[16]Объемы 18-23 '!AE12+'[16]Изменения 1 - 18'!AE12</f>
        <v>0</v>
      </c>
      <c r="AF12" s="756">
        <f>'[16]Объемы 18-23 '!AF12+'[16]Изменения 1 - 18'!AF12</f>
        <v>0</v>
      </c>
      <c r="AG12" s="756">
        <f>'[16]Объемы 18-23 '!AG12+'[16]Изменения 1 - 18'!AG12</f>
        <v>0</v>
      </c>
      <c r="AH12" s="756">
        <f>'[16]Объемы 18-23 '!AH12+'[16]Изменения 1 - 18'!AH12</f>
        <v>0</v>
      </c>
      <c r="AI12" s="756">
        <f>'[16]Объемы 18-23 '!AI12+'[16]Изменения 1 - 18'!AI12</f>
        <v>0</v>
      </c>
      <c r="AJ12" s="756">
        <f>'[16]Объемы 18-23 '!AJ12+'[16]Изменения 1 - 18'!AJ12</f>
        <v>0</v>
      </c>
      <c r="AK12" s="756">
        <f>'[16]Объемы 18-23 '!AK12+'[16]Изменения 1 - 18'!AK12</f>
        <v>0</v>
      </c>
      <c r="AL12" s="758">
        <f t="shared" si="3"/>
        <v>350</v>
      </c>
      <c r="AM12" s="756">
        <f>'[16]Объемы 18-23 '!AM12+'[16]Изменения 1 - 18'!AM12</f>
        <v>254</v>
      </c>
      <c r="AN12" s="756">
        <f>'[16]Объемы 18-23 '!AN12+'[16]Изменения 1 - 18'!AN12</f>
        <v>0</v>
      </c>
      <c r="AO12" s="756">
        <f>'[16]Объемы 18-23 '!AO12+'[16]Изменения 1 - 18'!AO12</f>
        <v>7</v>
      </c>
      <c r="AP12" s="756">
        <f>'[16]Объемы 18-23 '!AP12+'[16]Изменения 1 - 18'!AP12</f>
        <v>0</v>
      </c>
      <c r="AQ12" s="756">
        <f>'[16]Объемы 18-23 '!AQ12+'[16]Изменения 1 - 18'!AQ12</f>
        <v>49</v>
      </c>
      <c r="AR12" s="756">
        <f>'[16]Объемы 18-23 '!AR12+'[16]Изменения 1 - 18'!AR12</f>
        <v>0</v>
      </c>
      <c r="AS12" s="756">
        <f>'[16]Объемы 18-23 '!AS12+'[16]Изменения 1 - 18'!AS12</f>
        <v>0</v>
      </c>
      <c r="AT12" s="756">
        <f>'[16]Объемы 18-23 '!AT12+'[16]Изменения 1 - 18'!AT12</f>
        <v>0</v>
      </c>
      <c r="AU12" s="756">
        <f>'[16]Объемы 18-23 '!AU12+'[16]Изменения 1 - 18'!AU12</f>
        <v>40</v>
      </c>
      <c r="AV12" s="756">
        <f>'[16]Объемы 18-23 '!AV12+'[16]Изменения 1 - 18'!AV12</f>
        <v>0</v>
      </c>
      <c r="AW12" s="756">
        <f>'[16]Объемы 18-23 '!AW12+'[16]Изменения 1 - 18'!AW12</f>
        <v>0</v>
      </c>
      <c r="AX12" s="756">
        <f>'[16]Объемы 18-23 '!AX12+'[16]Изменения 1 - 18'!AX12</f>
        <v>0</v>
      </c>
      <c r="AY12" s="756">
        <f>'[16]Объемы 18-23 '!AY12+'[16]Изменения 1 - 18'!AY12</f>
        <v>0</v>
      </c>
      <c r="AZ12" s="756">
        <f>'[16]Объемы 18-23 '!AZ12+'[16]Изменения 1 - 18'!AZ12</f>
        <v>0</v>
      </c>
      <c r="BA12" s="759"/>
      <c r="BD12" s="759"/>
    </row>
    <row r="13" spans="1:56" ht="22.5" x14ac:dyDescent="0.25">
      <c r="A13" s="752">
        <v>6</v>
      </c>
      <c r="B13" s="754" t="s">
        <v>135</v>
      </c>
      <c r="C13" s="755" t="s">
        <v>459</v>
      </c>
      <c r="D13" s="756">
        <f t="shared" si="1"/>
        <v>390</v>
      </c>
      <c r="E13" s="757">
        <f t="shared" si="0"/>
        <v>290</v>
      </c>
      <c r="F13" s="757">
        <f t="shared" si="0"/>
        <v>0</v>
      </c>
      <c r="G13" s="757">
        <f t="shared" si="0"/>
        <v>10</v>
      </c>
      <c r="H13" s="757">
        <f t="shared" si="0"/>
        <v>0</v>
      </c>
      <c r="I13" s="757">
        <f t="shared" si="0"/>
        <v>50</v>
      </c>
      <c r="J13" s="757">
        <f t="shared" si="0"/>
        <v>0</v>
      </c>
      <c r="K13" s="757">
        <f t="shared" si="0"/>
        <v>0</v>
      </c>
      <c r="L13" s="757">
        <f t="shared" si="0"/>
        <v>0</v>
      </c>
      <c r="M13" s="757">
        <f t="shared" si="0"/>
        <v>30</v>
      </c>
      <c r="N13" s="757">
        <f t="shared" si="0"/>
        <v>10</v>
      </c>
      <c r="O13" s="757">
        <f t="shared" si="0"/>
        <v>0</v>
      </c>
      <c r="P13" s="757">
        <f t="shared" si="0"/>
        <v>0</v>
      </c>
      <c r="Q13" s="757">
        <f t="shared" si="0"/>
        <v>0</v>
      </c>
      <c r="R13" s="757">
        <f t="shared" si="0"/>
        <v>0</v>
      </c>
      <c r="S13" s="757">
        <f t="shared" si="0"/>
        <v>0</v>
      </c>
      <c r="T13" s="757">
        <f t="shared" si="0"/>
        <v>0</v>
      </c>
      <c r="U13" s="756">
        <f t="shared" si="2"/>
        <v>0</v>
      </c>
      <c r="V13" s="756">
        <f>'[16]Объемы 18-23 '!V13+'[16]Изменения 1 - 18'!V13</f>
        <v>0</v>
      </c>
      <c r="W13" s="756">
        <f>'[16]Объемы 18-23 '!W13+'[16]Изменения 1 - 18'!W13</f>
        <v>0</v>
      </c>
      <c r="X13" s="756">
        <f>'[16]Объемы 18-23 '!X13+'[16]Изменения 1 - 18'!X13</f>
        <v>0</v>
      </c>
      <c r="Y13" s="756">
        <f>'[16]Объемы 18-23 '!Y13+'[16]Изменения 1 - 18'!Y13</f>
        <v>0</v>
      </c>
      <c r="Z13" s="756">
        <f>'[16]Объемы 18-23 '!Z13+'[16]Изменения 1 - 18'!Z13</f>
        <v>0</v>
      </c>
      <c r="AA13" s="756">
        <f>'[16]Объемы 18-23 '!AA13+'[16]Изменения 1 - 18'!AA13</f>
        <v>0</v>
      </c>
      <c r="AB13" s="756">
        <f>'[16]Объемы 18-23 '!AB13+'[16]Изменения 1 - 18'!AB13</f>
        <v>0</v>
      </c>
      <c r="AC13" s="756">
        <f>'[16]Объемы 18-23 '!AC13+'[16]Изменения 1 - 18'!AC13</f>
        <v>0</v>
      </c>
      <c r="AD13" s="756">
        <f>'[16]Объемы 18-23 '!AD13+'[16]Изменения 1 - 18'!AD13</f>
        <v>0</v>
      </c>
      <c r="AE13" s="756">
        <f>'[16]Объемы 18-23 '!AE13+'[16]Изменения 1 - 18'!AE13</f>
        <v>0</v>
      </c>
      <c r="AF13" s="756">
        <f>'[16]Объемы 18-23 '!AF13+'[16]Изменения 1 - 18'!AF13</f>
        <v>0</v>
      </c>
      <c r="AG13" s="756">
        <f>'[16]Объемы 18-23 '!AG13+'[16]Изменения 1 - 18'!AG13</f>
        <v>0</v>
      </c>
      <c r="AH13" s="756">
        <f>'[16]Объемы 18-23 '!AH13+'[16]Изменения 1 - 18'!AH13</f>
        <v>0</v>
      </c>
      <c r="AI13" s="756">
        <f>'[16]Объемы 18-23 '!AI13+'[16]Изменения 1 - 18'!AI13</f>
        <v>0</v>
      </c>
      <c r="AJ13" s="756">
        <f>'[16]Объемы 18-23 '!AJ13+'[16]Изменения 1 - 18'!AJ13</f>
        <v>0</v>
      </c>
      <c r="AK13" s="756">
        <f>'[16]Объемы 18-23 '!AK13+'[16]Изменения 1 - 18'!AK13</f>
        <v>0</v>
      </c>
      <c r="AL13" s="758">
        <f t="shared" si="3"/>
        <v>390</v>
      </c>
      <c r="AM13" s="756">
        <f>'[16]Объемы 18-23 '!AM13+'[16]Изменения 1 - 18'!AM13</f>
        <v>290</v>
      </c>
      <c r="AN13" s="756">
        <f>'[16]Объемы 18-23 '!AN13+'[16]Изменения 1 - 18'!AN13</f>
        <v>0</v>
      </c>
      <c r="AO13" s="756">
        <f>'[16]Объемы 18-23 '!AO13+'[16]Изменения 1 - 18'!AO13</f>
        <v>10</v>
      </c>
      <c r="AP13" s="756">
        <f>'[16]Объемы 18-23 '!AP13+'[16]Изменения 1 - 18'!AP13</f>
        <v>0</v>
      </c>
      <c r="AQ13" s="756">
        <f>'[16]Объемы 18-23 '!AQ13+'[16]Изменения 1 - 18'!AQ13</f>
        <v>50</v>
      </c>
      <c r="AR13" s="756">
        <f>'[16]Объемы 18-23 '!AR13+'[16]Изменения 1 - 18'!AR13</f>
        <v>0</v>
      </c>
      <c r="AS13" s="756">
        <f>'[16]Объемы 18-23 '!AS13+'[16]Изменения 1 - 18'!AS13</f>
        <v>0</v>
      </c>
      <c r="AT13" s="756">
        <f>'[16]Объемы 18-23 '!AT13+'[16]Изменения 1 - 18'!AT13</f>
        <v>0</v>
      </c>
      <c r="AU13" s="756">
        <f>'[16]Объемы 18-23 '!AU13+'[16]Изменения 1 - 18'!AU13</f>
        <v>30</v>
      </c>
      <c r="AV13" s="756">
        <f>'[16]Объемы 18-23 '!AV13+'[16]Изменения 1 - 18'!AV13</f>
        <v>10</v>
      </c>
      <c r="AW13" s="756">
        <f>'[16]Объемы 18-23 '!AW13+'[16]Изменения 1 - 18'!AW13</f>
        <v>0</v>
      </c>
      <c r="AX13" s="756">
        <f>'[16]Объемы 18-23 '!AX13+'[16]Изменения 1 - 18'!AX13</f>
        <v>0</v>
      </c>
      <c r="AY13" s="756">
        <f>'[16]Объемы 18-23 '!AY13+'[16]Изменения 1 - 18'!AY13</f>
        <v>0</v>
      </c>
      <c r="AZ13" s="756">
        <f>'[16]Объемы 18-23 '!AZ13+'[16]Изменения 1 - 18'!AZ13</f>
        <v>0</v>
      </c>
      <c r="BA13" s="759"/>
      <c r="BD13" s="759"/>
    </row>
    <row r="14" spans="1:56" x14ac:dyDescent="0.25">
      <c r="A14" s="752">
        <v>7</v>
      </c>
      <c r="B14" s="754" t="s">
        <v>50</v>
      </c>
      <c r="C14" s="755" t="s">
        <v>51</v>
      </c>
      <c r="D14" s="756">
        <f t="shared" si="1"/>
        <v>200</v>
      </c>
      <c r="E14" s="757">
        <f t="shared" si="0"/>
        <v>15</v>
      </c>
      <c r="F14" s="757">
        <f t="shared" si="0"/>
        <v>26</v>
      </c>
      <c r="G14" s="757">
        <f t="shared" si="0"/>
        <v>23</v>
      </c>
      <c r="H14" s="757">
        <f t="shared" si="0"/>
        <v>20</v>
      </c>
      <c r="I14" s="757">
        <f t="shared" si="0"/>
        <v>48</v>
      </c>
      <c r="J14" s="757">
        <f t="shared" si="0"/>
        <v>36</v>
      </c>
      <c r="K14" s="757">
        <f t="shared" si="0"/>
        <v>0</v>
      </c>
      <c r="L14" s="757">
        <f t="shared" si="0"/>
        <v>0</v>
      </c>
      <c r="M14" s="757">
        <f t="shared" si="0"/>
        <v>25</v>
      </c>
      <c r="N14" s="757">
        <f t="shared" si="0"/>
        <v>7</v>
      </c>
      <c r="O14" s="757">
        <f t="shared" si="0"/>
        <v>0</v>
      </c>
      <c r="P14" s="757">
        <f t="shared" si="0"/>
        <v>0</v>
      </c>
      <c r="Q14" s="757">
        <f t="shared" si="0"/>
        <v>0</v>
      </c>
      <c r="R14" s="757">
        <f t="shared" si="0"/>
        <v>0</v>
      </c>
      <c r="S14" s="757">
        <f t="shared" si="0"/>
        <v>0</v>
      </c>
      <c r="T14" s="757">
        <f t="shared" si="0"/>
        <v>0</v>
      </c>
      <c r="U14" s="756">
        <f t="shared" si="2"/>
        <v>100</v>
      </c>
      <c r="V14" s="756">
        <f>'[16]Объемы 18-23 '!V14+'[16]Изменения 1 - 18'!V14</f>
        <v>10</v>
      </c>
      <c r="W14" s="756">
        <f>'[16]Объемы 18-23 '!W14+'[16]Изменения 1 - 18'!W14</f>
        <v>10</v>
      </c>
      <c r="X14" s="756">
        <f>'[16]Объемы 18-23 '!X14+'[16]Изменения 1 - 18'!X14</f>
        <v>15</v>
      </c>
      <c r="Y14" s="756">
        <f>'[16]Объемы 18-23 '!Y14+'[16]Изменения 1 - 18'!Y14</f>
        <v>15</v>
      </c>
      <c r="Z14" s="756">
        <f>'[16]Объемы 18-23 '!Z14+'[16]Изменения 1 - 18'!Z14</f>
        <v>20</v>
      </c>
      <c r="AA14" s="756">
        <f>'[16]Объемы 18-23 '!AA14+'[16]Изменения 1 - 18'!AA14</f>
        <v>20</v>
      </c>
      <c r="AB14" s="756">
        <f>'[16]Объемы 18-23 '!AB14+'[16]Изменения 1 - 18'!AB14</f>
        <v>0</v>
      </c>
      <c r="AC14" s="756">
        <f>'[16]Объемы 18-23 '!AC14+'[16]Изменения 1 - 18'!AC14</f>
        <v>0</v>
      </c>
      <c r="AD14" s="756">
        <f>'[16]Объемы 18-23 '!AD14+'[16]Изменения 1 - 18'!AD14</f>
        <v>6</v>
      </c>
      <c r="AE14" s="756">
        <f>'[16]Объемы 18-23 '!AE14+'[16]Изменения 1 - 18'!AE14</f>
        <v>4</v>
      </c>
      <c r="AF14" s="756">
        <f>'[16]Объемы 18-23 '!AF14+'[16]Изменения 1 - 18'!AF14</f>
        <v>0</v>
      </c>
      <c r="AG14" s="756">
        <f>'[16]Объемы 18-23 '!AG14+'[16]Изменения 1 - 18'!AG14</f>
        <v>0</v>
      </c>
      <c r="AH14" s="756">
        <f>'[16]Объемы 18-23 '!AH14+'[16]Изменения 1 - 18'!AH14</f>
        <v>0</v>
      </c>
      <c r="AI14" s="756">
        <f>'[16]Объемы 18-23 '!AI14+'[16]Изменения 1 - 18'!AI14</f>
        <v>0</v>
      </c>
      <c r="AJ14" s="756">
        <f>'[16]Объемы 18-23 '!AJ14+'[16]Изменения 1 - 18'!AJ14</f>
        <v>0</v>
      </c>
      <c r="AK14" s="756">
        <f>'[16]Объемы 18-23 '!AK14+'[16]Изменения 1 - 18'!AK14</f>
        <v>0</v>
      </c>
      <c r="AL14" s="758">
        <f t="shared" si="3"/>
        <v>100</v>
      </c>
      <c r="AM14" s="756">
        <f>'[16]Объемы 18-23 '!AM14+'[16]Изменения 1 - 18'!AM14</f>
        <v>5</v>
      </c>
      <c r="AN14" s="756">
        <f>'[16]Объемы 18-23 '!AN14+'[16]Изменения 1 - 18'!AN14</f>
        <v>16</v>
      </c>
      <c r="AO14" s="756">
        <f>'[16]Объемы 18-23 '!AO14+'[16]Изменения 1 - 18'!AO14</f>
        <v>8</v>
      </c>
      <c r="AP14" s="756">
        <f>'[16]Объемы 18-23 '!AP14+'[16]Изменения 1 - 18'!AP14</f>
        <v>5</v>
      </c>
      <c r="AQ14" s="756">
        <f>'[16]Объемы 18-23 '!AQ14+'[16]Изменения 1 - 18'!AQ14</f>
        <v>28</v>
      </c>
      <c r="AR14" s="756">
        <f>'[16]Объемы 18-23 '!AR14+'[16]Изменения 1 - 18'!AR14</f>
        <v>16</v>
      </c>
      <c r="AS14" s="756">
        <f>'[16]Объемы 18-23 '!AS14+'[16]Изменения 1 - 18'!AS14</f>
        <v>0</v>
      </c>
      <c r="AT14" s="756">
        <f>'[16]Объемы 18-23 '!AT14+'[16]Изменения 1 - 18'!AT14</f>
        <v>0</v>
      </c>
      <c r="AU14" s="756">
        <f>'[16]Объемы 18-23 '!AU14+'[16]Изменения 1 - 18'!AU14</f>
        <v>19</v>
      </c>
      <c r="AV14" s="756">
        <f>'[16]Объемы 18-23 '!AV14+'[16]Изменения 1 - 18'!AV14</f>
        <v>3</v>
      </c>
      <c r="AW14" s="756">
        <f>'[16]Объемы 18-23 '!AW14+'[16]Изменения 1 - 18'!AW14</f>
        <v>0</v>
      </c>
      <c r="AX14" s="756">
        <f>'[16]Объемы 18-23 '!AX14+'[16]Изменения 1 - 18'!AX14</f>
        <v>0</v>
      </c>
      <c r="AY14" s="756">
        <f>'[16]Объемы 18-23 '!AY14+'[16]Изменения 1 - 18'!AY14</f>
        <v>0</v>
      </c>
      <c r="AZ14" s="756">
        <f>'[16]Объемы 18-23 '!AZ14+'[16]Изменения 1 - 18'!AZ14</f>
        <v>0</v>
      </c>
      <c r="BA14" s="759"/>
      <c r="BD14" s="759"/>
    </row>
    <row r="15" spans="1:56" x14ac:dyDescent="0.25">
      <c r="A15" s="752">
        <v>8</v>
      </c>
      <c r="B15" s="754" t="s">
        <v>207</v>
      </c>
      <c r="C15" s="755" t="s">
        <v>208</v>
      </c>
      <c r="D15" s="756">
        <f t="shared" si="1"/>
        <v>138</v>
      </c>
      <c r="E15" s="757">
        <f t="shared" si="0"/>
        <v>64</v>
      </c>
      <c r="F15" s="757">
        <f t="shared" si="0"/>
        <v>7</v>
      </c>
      <c r="G15" s="757">
        <f t="shared" si="0"/>
        <v>0</v>
      </c>
      <c r="H15" s="757">
        <f t="shared" si="0"/>
        <v>0</v>
      </c>
      <c r="I15" s="757">
        <f t="shared" si="0"/>
        <v>61</v>
      </c>
      <c r="J15" s="757">
        <f t="shared" si="0"/>
        <v>5</v>
      </c>
      <c r="K15" s="757">
        <f t="shared" si="0"/>
        <v>0</v>
      </c>
      <c r="L15" s="757">
        <f t="shared" si="0"/>
        <v>0</v>
      </c>
      <c r="M15" s="757">
        <f t="shared" si="0"/>
        <v>0</v>
      </c>
      <c r="N15" s="757">
        <f t="shared" si="0"/>
        <v>1</v>
      </c>
      <c r="O15" s="757">
        <f t="shared" si="0"/>
        <v>0</v>
      </c>
      <c r="P15" s="757">
        <f t="shared" si="0"/>
        <v>0</v>
      </c>
      <c r="Q15" s="757">
        <f t="shared" si="0"/>
        <v>0</v>
      </c>
      <c r="R15" s="757">
        <f t="shared" si="0"/>
        <v>0</v>
      </c>
      <c r="S15" s="757">
        <f t="shared" si="0"/>
        <v>0</v>
      </c>
      <c r="T15" s="757">
        <f t="shared" si="0"/>
        <v>0</v>
      </c>
      <c r="U15" s="756">
        <f t="shared" si="2"/>
        <v>36</v>
      </c>
      <c r="V15" s="756">
        <f>'[16]Объемы 18-23 '!V15+'[16]Изменения 1 - 18'!V15</f>
        <v>9</v>
      </c>
      <c r="W15" s="756">
        <f>'[16]Объемы 18-23 '!W15+'[16]Изменения 1 - 18'!W15</f>
        <v>0</v>
      </c>
      <c r="X15" s="756">
        <f>'[16]Объемы 18-23 '!X15+'[16]Изменения 1 - 18'!X15</f>
        <v>0</v>
      </c>
      <c r="Y15" s="756">
        <f>'[16]Объемы 18-23 '!Y15+'[16]Изменения 1 - 18'!Y15</f>
        <v>0</v>
      </c>
      <c r="Z15" s="756">
        <f>'[16]Объемы 18-23 '!Z15+'[16]Изменения 1 - 18'!Z15</f>
        <v>27</v>
      </c>
      <c r="AA15" s="756">
        <f>'[16]Объемы 18-23 '!AA15+'[16]Изменения 1 - 18'!AA15</f>
        <v>0</v>
      </c>
      <c r="AB15" s="756">
        <f>'[16]Объемы 18-23 '!AB15+'[16]Изменения 1 - 18'!AB15</f>
        <v>0</v>
      </c>
      <c r="AC15" s="756">
        <f>'[16]Объемы 18-23 '!AC15+'[16]Изменения 1 - 18'!AC15</f>
        <v>0</v>
      </c>
      <c r="AD15" s="756">
        <f>'[16]Объемы 18-23 '!AD15+'[16]Изменения 1 - 18'!AD15</f>
        <v>0</v>
      </c>
      <c r="AE15" s="756">
        <f>'[16]Объемы 18-23 '!AE15+'[16]Изменения 1 - 18'!AE15</f>
        <v>0</v>
      </c>
      <c r="AF15" s="756">
        <f>'[16]Объемы 18-23 '!AF15+'[16]Изменения 1 - 18'!AF15</f>
        <v>0</v>
      </c>
      <c r="AG15" s="756">
        <f>'[16]Объемы 18-23 '!AG15+'[16]Изменения 1 - 18'!AG15</f>
        <v>0</v>
      </c>
      <c r="AH15" s="756">
        <f>'[16]Объемы 18-23 '!AH15+'[16]Изменения 1 - 18'!AH15</f>
        <v>0</v>
      </c>
      <c r="AI15" s="756">
        <f>'[16]Объемы 18-23 '!AI15+'[16]Изменения 1 - 18'!AI15</f>
        <v>0</v>
      </c>
      <c r="AJ15" s="756">
        <f>'[16]Объемы 18-23 '!AJ15+'[16]Изменения 1 - 18'!AJ15</f>
        <v>0</v>
      </c>
      <c r="AK15" s="756">
        <f>'[16]Объемы 18-23 '!AK15+'[16]Изменения 1 - 18'!AK15</f>
        <v>0</v>
      </c>
      <c r="AL15" s="758">
        <f t="shared" si="3"/>
        <v>102</v>
      </c>
      <c r="AM15" s="756">
        <f>'[16]Объемы 18-23 '!AM15+'[16]Изменения 1 - 18'!AM15</f>
        <v>55</v>
      </c>
      <c r="AN15" s="756">
        <f>'[16]Объемы 18-23 '!AN15+'[16]Изменения 1 - 18'!AN15</f>
        <v>7</v>
      </c>
      <c r="AO15" s="756">
        <f>'[16]Объемы 18-23 '!AO15+'[16]Изменения 1 - 18'!AO15</f>
        <v>0</v>
      </c>
      <c r="AP15" s="756">
        <f>'[16]Объемы 18-23 '!AP15+'[16]Изменения 1 - 18'!AP15</f>
        <v>0</v>
      </c>
      <c r="AQ15" s="756">
        <f>'[16]Объемы 18-23 '!AQ15+'[16]Изменения 1 - 18'!AQ15</f>
        <v>34</v>
      </c>
      <c r="AR15" s="756">
        <f>'[16]Объемы 18-23 '!AR15+'[16]Изменения 1 - 18'!AR15</f>
        <v>5</v>
      </c>
      <c r="AS15" s="756">
        <f>'[16]Объемы 18-23 '!AS15+'[16]Изменения 1 - 18'!AS15</f>
        <v>0</v>
      </c>
      <c r="AT15" s="756">
        <f>'[16]Объемы 18-23 '!AT15+'[16]Изменения 1 - 18'!AT15</f>
        <v>0</v>
      </c>
      <c r="AU15" s="756">
        <f>'[16]Объемы 18-23 '!AU15+'[16]Изменения 1 - 18'!AU15</f>
        <v>0</v>
      </c>
      <c r="AV15" s="756">
        <f>'[16]Объемы 18-23 '!AV15+'[16]Изменения 1 - 18'!AV15</f>
        <v>1</v>
      </c>
      <c r="AW15" s="756">
        <f>'[16]Объемы 18-23 '!AW15+'[16]Изменения 1 - 18'!AW15</f>
        <v>0</v>
      </c>
      <c r="AX15" s="756">
        <f>'[16]Объемы 18-23 '!AX15+'[16]Изменения 1 - 18'!AX15</f>
        <v>0</v>
      </c>
      <c r="AY15" s="756">
        <f>'[16]Объемы 18-23 '!AY15+'[16]Изменения 1 - 18'!AY15</f>
        <v>0</v>
      </c>
      <c r="AZ15" s="756">
        <f>'[16]Объемы 18-23 '!AZ15+'[16]Изменения 1 - 18'!AZ15</f>
        <v>0</v>
      </c>
      <c r="BA15" s="759"/>
      <c r="BD15" s="759"/>
    </row>
    <row r="16" spans="1:56" x14ac:dyDescent="0.25">
      <c r="A16" s="752">
        <v>9</v>
      </c>
      <c r="B16" s="754" t="s">
        <v>264</v>
      </c>
      <c r="C16" s="755" t="s">
        <v>265</v>
      </c>
      <c r="D16" s="756">
        <f t="shared" si="1"/>
        <v>482</v>
      </c>
      <c r="E16" s="757">
        <f t="shared" si="0"/>
        <v>178</v>
      </c>
      <c r="F16" s="757">
        <f t="shared" si="0"/>
        <v>56</v>
      </c>
      <c r="G16" s="757">
        <f t="shared" si="0"/>
        <v>22</v>
      </c>
      <c r="H16" s="757">
        <f t="shared" si="0"/>
        <v>5</v>
      </c>
      <c r="I16" s="757">
        <f t="shared" si="0"/>
        <v>120</v>
      </c>
      <c r="J16" s="757">
        <f t="shared" si="0"/>
        <v>12</v>
      </c>
      <c r="K16" s="757">
        <f t="shared" si="0"/>
        <v>0</v>
      </c>
      <c r="L16" s="757">
        <f t="shared" si="0"/>
        <v>0</v>
      </c>
      <c r="M16" s="757">
        <f t="shared" si="0"/>
        <v>62</v>
      </c>
      <c r="N16" s="757">
        <f t="shared" si="0"/>
        <v>12</v>
      </c>
      <c r="O16" s="757">
        <f t="shared" si="0"/>
        <v>0</v>
      </c>
      <c r="P16" s="757">
        <f t="shared" si="0"/>
        <v>0</v>
      </c>
      <c r="Q16" s="757">
        <f t="shared" si="0"/>
        <v>10</v>
      </c>
      <c r="R16" s="757">
        <f t="shared" si="0"/>
        <v>5</v>
      </c>
      <c r="S16" s="757">
        <f t="shared" si="0"/>
        <v>0</v>
      </c>
      <c r="T16" s="757">
        <f t="shared" si="0"/>
        <v>0</v>
      </c>
      <c r="U16" s="756">
        <f t="shared" si="2"/>
        <v>0</v>
      </c>
      <c r="V16" s="756">
        <f>'[16]Объемы 18-23 '!V16+'[16]Изменения 1 - 18'!V16</f>
        <v>0</v>
      </c>
      <c r="W16" s="756">
        <f>'[16]Объемы 18-23 '!W16+'[16]Изменения 1 - 18'!W16</f>
        <v>0</v>
      </c>
      <c r="X16" s="756">
        <f>'[16]Объемы 18-23 '!X16+'[16]Изменения 1 - 18'!X16</f>
        <v>0</v>
      </c>
      <c r="Y16" s="756">
        <f>'[16]Объемы 18-23 '!Y16+'[16]Изменения 1 - 18'!Y16</f>
        <v>0</v>
      </c>
      <c r="Z16" s="756">
        <f>'[16]Объемы 18-23 '!Z16+'[16]Изменения 1 - 18'!Z16</f>
        <v>0</v>
      </c>
      <c r="AA16" s="756">
        <f>'[16]Объемы 18-23 '!AA16+'[16]Изменения 1 - 18'!AA16</f>
        <v>0</v>
      </c>
      <c r="AB16" s="756">
        <f>'[16]Объемы 18-23 '!AB16+'[16]Изменения 1 - 18'!AB16</f>
        <v>0</v>
      </c>
      <c r="AC16" s="756">
        <f>'[16]Объемы 18-23 '!AC16+'[16]Изменения 1 - 18'!AC16</f>
        <v>0</v>
      </c>
      <c r="AD16" s="756">
        <f>'[16]Объемы 18-23 '!AD16+'[16]Изменения 1 - 18'!AD16</f>
        <v>0</v>
      </c>
      <c r="AE16" s="756">
        <f>'[16]Объемы 18-23 '!AE16+'[16]Изменения 1 - 18'!AE16</f>
        <v>0</v>
      </c>
      <c r="AF16" s="756">
        <f>'[16]Объемы 18-23 '!AF16+'[16]Изменения 1 - 18'!AF16</f>
        <v>0</v>
      </c>
      <c r="AG16" s="756">
        <f>'[16]Объемы 18-23 '!AG16+'[16]Изменения 1 - 18'!AG16</f>
        <v>0</v>
      </c>
      <c r="AH16" s="756">
        <f>'[16]Объемы 18-23 '!AH16+'[16]Изменения 1 - 18'!AH16</f>
        <v>0</v>
      </c>
      <c r="AI16" s="756">
        <f>'[16]Объемы 18-23 '!AI16+'[16]Изменения 1 - 18'!AI16</f>
        <v>0</v>
      </c>
      <c r="AJ16" s="756">
        <f>'[16]Объемы 18-23 '!AJ16+'[16]Изменения 1 - 18'!AJ16</f>
        <v>0</v>
      </c>
      <c r="AK16" s="756">
        <f>'[16]Объемы 18-23 '!AK16+'[16]Изменения 1 - 18'!AK16</f>
        <v>0</v>
      </c>
      <c r="AL16" s="758">
        <f t="shared" si="3"/>
        <v>482</v>
      </c>
      <c r="AM16" s="756">
        <f>'[16]Объемы 18-23 '!AM16+'[16]Изменения 1 - 18'!AM16</f>
        <v>178</v>
      </c>
      <c r="AN16" s="756">
        <f>'[16]Объемы 18-23 '!AN16+'[16]Изменения 1 - 18'!AN16</f>
        <v>56</v>
      </c>
      <c r="AO16" s="756">
        <f>'[16]Объемы 18-23 '!AO16+'[16]Изменения 1 - 18'!AO16</f>
        <v>22</v>
      </c>
      <c r="AP16" s="756">
        <f>'[16]Объемы 18-23 '!AP16+'[16]Изменения 1 - 18'!AP16</f>
        <v>5</v>
      </c>
      <c r="AQ16" s="756">
        <f>'[16]Объемы 18-23 '!AQ16+'[16]Изменения 1 - 18'!AQ16</f>
        <v>120</v>
      </c>
      <c r="AR16" s="756">
        <f>'[16]Объемы 18-23 '!AR16+'[16]Изменения 1 - 18'!AR16</f>
        <v>12</v>
      </c>
      <c r="AS16" s="756">
        <f>'[16]Объемы 18-23 '!AS16+'[16]Изменения 1 - 18'!AS16</f>
        <v>0</v>
      </c>
      <c r="AT16" s="756">
        <f>'[16]Объемы 18-23 '!AT16+'[16]Изменения 1 - 18'!AT16</f>
        <v>0</v>
      </c>
      <c r="AU16" s="756">
        <f>'[16]Объемы 18-23 '!AU16+'[16]Изменения 1 - 18'!AU16</f>
        <v>62</v>
      </c>
      <c r="AV16" s="756">
        <f>'[16]Объемы 18-23 '!AV16+'[16]Изменения 1 - 18'!AV16</f>
        <v>12</v>
      </c>
      <c r="AW16" s="756">
        <f>'[16]Объемы 18-23 '!AW16+'[16]Изменения 1 - 18'!AW16</f>
        <v>0</v>
      </c>
      <c r="AX16" s="756">
        <f>'[16]Объемы 18-23 '!AX16+'[16]Изменения 1 - 18'!AX16</f>
        <v>0</v>
      </c>
      <c r="AY16" s="756">
        <f>'[16]Объемы 18-23 '!AY16+'[16]Изменения 1 - 18'!AY16</f>
        <v>10</v>
      </c>
      <c r="AZ16" s="756">
        <f>'[16]Объемы 18-23 '!AZ16+'[16]Изменения 1 - 18'!AZ16</f>
        <v>5</v>
      </c>
      <c r="BA16" s="759"/>
      <c r="BD16" s="759"/>
    </row>
    <row r="17" spans="1:56" x14ac:dyDescent="0.25">
      <c r="A17" s="752">
        <v>10</v>
      </c>
      <c r="B17" s="754" t="s">
        <v>171</v>
      </c>
      <c r="C17" s="755" t="s">
        <v>172</v>
      </c>
      <c r="D17" s="756">
        <f t="shared" si="1"/>
        <v>150</v>
      </c>
      <c r="E17" s="757">
        <f t="shared" si="0"/>
        <v>30</v>
      </c>
      <c r="F17" s="757">
        <f t="shared" si="0"/>
        <v>10</v>
      </c>
      <c r="G17" s="757">
        <f t="shared" si="0"/>
        <v>20</v>
      </c>
      <c r="H17" s="757">
        <f t="shared" si="0"/>
        <v>20</v>
      </c>
      <c r="I17" s="757">
        <f t="shared" si="0"/>
        <v>30</v>
      </c>
      <c r="J17" s="757">
        <f t="shared" si="0"/>
        <v>10</v>
      </c>
      <c r="K17" s="757">
        <f t="shared" si="0"/>
        <v>0</v>
      </c>
      <c r="L17" s="757">
        <f t="shared" si="0"/>
        <v>0</v>
      </c>
      <c r="M17" s="757">
        <f t="shared" si="0"/>
        <v>20</v>
      </c>
      <c r="N17" s="757">
        <f t="shared" si="0"/>
        <v>10</v>
      </c>
      <c r="O17" s="757">
        <f t="shared" si="0"/>
        <v>0</v>
      </c>
      <c r="P17" s="757">
        <f t="shared" si="0"/>
        <v>0</v>
      </c>
      <c r="Q17" s="757">
        <f t="shared" si="0"/>
        <v>0</v>
      </c>
      <c r="R17" s="757">
        <f t="shared" si="0"/>
        <v>0</v>
      </c>
      <c r="S17" s="757">
        <f t="shared" si="0"/>
        <v>0</v>
      </c>
      <c r="T17" s="757">
        <f t="shared" si="0"/>
        <v>0</v>
      </c>
      <c r="U17" s="756">
        <f t="shared" si="2"/>
        <v>0</v>
      </c>
      <c r="V17" s="756">
        <f>'[16]Объемы 18-23 '!V17+'[16]Изменения 1 - 18'!V17</f>
        <v>0</v>
      </c>
      <c r="W17" s="756">
        <f>'[16]Объемы 18-23 '!W17+'[16]Изменения 1 - 18'!W17</f>
        <v>0</v>
      </c>
      <c r="X17" s="756">
        <f>'[16]Объемы 18-23 '!X17+'[16]Изменения 1 - 18'!X17</f>
        <v>0</v>
      </c>
      <c r="Y17" s="756">
        <f>'[16]Объемы 18-23 '!Y17+'[16]Изменения 1 - 18'!Y17</f>
        <v>0</v>
      </c>
      <c r="Z17" s="756">
        <f>'[16]Объемы 18-23 '!Z17+'[16]Изменения 1 - 18'!Z17</f>
        <v>0</v>
      </c>
      <c r="AA17" s="756">
        <f>'[16]Объемы 18-23 '!AA17+'[16]Изменения 1 - 18'!AA17</f>
        <v>0</v>
      </c>
      <c r="AB17" s="756">
        <f>'[16]Объемы 18-23 '!AB17+'[16]Изменения 1 - 18'!AB17</f>
        <v>0</v>
      </c>
      <c r="AC17" s="756">
        <f>'[16]Объемы 18-23 '!AC17+'[16]Изменения 1 - 18'!AC17</f>
        <v>0</v>
      </c>
      <c r="AD17" s="756">
        <f>'[16]Объемы 18-23 '!AD17+'[16]Изменения 1 - 18'!AD17</f>
        <v>0</v>
      </c>
      <c r="AE17" s="756">
        <f>'[16]Объемы 18-23 '!AE17+'[16]Изменения 1 - 18'!AE17</f>
        <v>0</v>
      </c>
      <c r="AF17" s="756">
        <f>'[16]Объемы 18-23 '!AF17+'[16]Изменения 1 - 18'!AF17</f>
        <v>0</v>
      </c>
      <c r="AG17" s="756">
        <f>'[16]Объемы 18-23 '!AG17+'[16]Изменения 1 - 18'!AG17</f>
        <v>0</v>
      </c>
      <c r="AH17" s="756">
        <f>'[16]Объемы 18-23 '!AH17+'[16]Изменения 1 - 18'!AH17</f>
        <v>0</v>
      </c>
      <c r="AI17" s="756">
        <f>'[16]Объемы 18-23 '!AI17+'[16]Изменения 1 - 18'!AI17</f>
        <v>0</v>
      </c>
      <c r="AJ17" s="756">
        <f>'[16]Объемы 18-23 '!AJ17+'[16]Изменения 1 - 18'!AJ17</f>
        <v>0</v>
      </c>
      <c r="AK17" s="756">
        <f>'[16]Объемы 18-23 '!AK17+'[16]Изменения 1 - 18'!AK17</f>
        <v>0</v>
      </c>
      <c r="AL17" s="758">
        <f t="shared" si="3"/>
        <v>150</v>
      </c>
      <c r="AM17" s="756">
        <f>'[16]Объемы 18-23 '!AM17+'[16]Изменения 1 - 18'!AM17</f>
        <v>30</v>
      </c>
      <c r="AN17" s="756">
        <f>'[16]Объемы 18-23 '!AN17+'[16]Изменения 1 - 18'!AN17</f>
        <v>10</v>
      </c>
      <c r="AO17" s="756">
        <f>'[16]Объемы 18-23 '!AO17+'[16]Изменения 1 - 18'!AO17</f>
        <v>20</v>
      </c>
      <c r="AP17" s="756">
        <f>'[16]Объемы 18-23 '!AP17+'[16]Изменения 1 - 18'!AP17</f>
        <v>20</v>
      </c>
      <c r="AQ17" s="756">
        <f>'[16]Объемы 18-23 '!AQ17+'[16]Изменения 1 - 18'!AQ17</f>
        <v>30</v>
      </c>
      <c r="AR17" s="756">
        <f>'[16]Объемы 18-23 '!AR17+'[16]Изменения 1 - 18'!AR17</f>
        <v>10</v>
      </c>
      <c r="AS17" s="756">
        <f>'[16]Объемы 18-23 '!AS17+'[16]Изменения 1 - 18'!AS17</f>
        <v>0</v>
      </c>
      <c r="AT17" s="756">
        <f>'[16]Объемы 18-23 '!AT17+'[16]Изменения 1 - 18'!AT17</f>
        <v>0</v>
      </c>
      <c r="AU17" s="756">
        <f>'[16]Объемы 18-23 '!AU17+'[16]Изменения 1 - 18'!AU17</f>
        <v>20</v>
      </c>
      <c r="AV17" s="756">
        <f>'[16]Объемы 18-23 '!AV17+'[16]Изменения 1 - 18'!AV17</f>
        <v>10</v>
      </c>
      <c r="AW17" s="756">
        <f>'[16]Объемы 18-23 '!AW17+'[16]Изменения 1 - 18'!AW17</f>
        <v>0</v>
      </c>
      <c r="AX17" s="756">
        <f>'[16]Объемы 18-23 '!AX17+'[16]Изменения 1 - 18'!AX17</f>
        <v>0</v>
      </c>
      <c r="AY17" s="756">
        <f>'[16]Объемы 18-23 '!AY17+'[16]Изменения 1 - 18'!AY17</f>
        <v>0</v>
      </c>
      <c r="AZ17" s="756">
        <f>'[16]Объемы 18-23 '!AZ17+'[16]Изменения 1 - 18'!AZ17</f>
        <v>0</v>
      </c>
      <c r="BA17" s="759"/>
      <c r="BD17" s="759"/>
    </row>
    <row r="18" spans="1:56" x14ac:dyDescent="0.25">
      <c r="A18" s="752">
        <v>11</v>
      </c>
      <c r="B18" s="754" t="s">
        <v>187</v>
      </c>
      <c r="C18" s="755" t="s">
        <v>188</v>
      </c>
      <c r="D18" s="756">
        <f t="shared" si="1"/>
        <v>35</v>
      </c>
      <c r="E18" s="757">
        <f t="shared" si="0"/>
        <v>0</v>
      </c>
      <c r="F18" s="757">
        <f t="shared" si="0"/>
        <v>0</v>
      </c>
      <c r="G18" s="757">
        <f t="shared" si="0"/>
        <v>0</v>
      </c>
      <c r="H18" s="757">
        <f t="shared" si="0"/>
        <v>0</v>
      </c>
      <c r="I18" s="757">
        <f t="shared" si="0"/>
        <v>0</v>
      </c>
      <c r="J18" s="757">
        <f t="shared" si="0"/>
        <v>10</v>
      </c>
      <c r="K18" s="757">
        <f t="shared" si="0"/>
        <v>0</v>
      </c>
      <c r="L18" s="757">
        <f t="shared" si="0"/>
        <v>25</v>
      </c>
      <c r="M18" s="757">
        <f t="shared" si="0"/>
        <v>0</v>
      </c>
      <c r="N18" s="757">
        <f t="shared" si="0"/>
        <v>0</v>
      </c>
      <c r="O18" s="757">
        <f t="shared" si="0"/>
        <v>0</v>
      </c>
      <c r="P18" s="757">
        <f t="shared" si="0"/>
        <v>0</v>
      </c>
      <c r="Q18" s="757">
        <f t="shared" si="0"/>
        <v>0</v>
      </c>
      <c r="R18" s="757">
        <f t="shared" si="0"/>
        <v>0</v>
      </c>
      <c r="S18" s="757">
        <f t="shared" si="0"/>
        <v>0</v>
      </c>
      <c r="T18" s="757">
        <f t="shared" si="0"/>
        <v>0</v>
      </c>
      <c r="U18" s="756">
        <f t="shared" si="2"/>
        <v>35</v>
      </c>
      <c r="V18" s="756">
        <f>'[16]Объемы 18-23 '!V18+'[16]Изменения 1 - 18'!V18</f>
        <v>0</v>
      </c>
      <c r="W18" s="756">
        <f>'[16]Объемы 18-23 '!W18+'[16]Изменения 1 - 18'!W18</f>
        <v>0</v>
      </c>
      <c r="X18" s="756">
        <f>'[16]Объемы 18-23 '!X18+'[16]Изменения 1 - 18'!X18</f>
        <v>0</v>
      </c>
      <c r="Y18" s="756">
        <f>'[16]Объемы 18-23 '!Y18+'[16]Изменения 1 - 18'!Y18</f>
        <v>0</v>
      </c>
      <c r="Z18" s="756">
        <f>'[16]Объемы 18-23 '!Z18+'[16]Изменения 1 - 18'!Z18</f>
        <v>0</v>
      </c>
      <c r="AA18" s="756">
        <f>'[16]Объемы 18-23 '!AA18+'[16]Изменения 1 - 18'!AA18</f>
        <v>10</v>
      </c>
      <c r="AB18" s="756">
        <f>'[16]Объемы 18-23 '!AB18+'[16]Изменения 1 - 18'!AB18</f>
        <v>0</v>
      </c>
      <c r="AC18" s="756">
        <f>'[16]Объемы 18-23 '!AC18+'[16]Изменения 1 - 18'!AC18</f>
        <v>25</v>
      </c>
      <c r="AD18" s="756">
        <f>'[16]Объемы 18-23 '!AD18+'[16]Изменения 1 - 18'!AD18</f>
        <v>0</v>
      </c>
      <c r="AE18" s="756">
        <f>'[16]Объемы 18-23 '!AE18+'[16]Изменения 1 - 18'!AE18</f>
        <v>0</v>
      </c>
      <c r="AF18" s="756">
        <f>'[16]Объемы 18-23 '!AF18+'[16]Изменения 1 - 18'!AF18</f>
        <v>0</v>
      </c>
      <c r="AG18" s="756">
        <f>'[16]Объемы 18-23 '!AG18+'[16]Изменения 1 - 18'!AG18</f>
        <v>0</v>
      </c>
      <c r="AH18" s="756">
        <f>'[16]Объемы 18-23 '!AH18+'[16]Изменения 1 - 18'!AH18</f>
        <v>0</v>
      </c>
      <c r="AI18" s="756">
        <f>'[16]Объемы 18-23 '!AI18+'[16]Изменения 1 - 18'!AI18</f>
        <v>0</v>
      </c>
      <c r="AJ18" s="756">
        <f>'[16]Объемы 18-23 '!AJ18+'[16]Изменения 1 - 18'!AJ18</f>
        <v>0</v>
      </c>
      <c r="AK18" s="756">
        <f>'[16]Объемы 18-23 '!AK18+'[16]Изменения 1 - 18'!AK18</f>
        <v>0</v>
      </c>
      <c r="AL18" s="758">
        <f t="shared" si="3"/>
        <v>0</v>
      </c>
      <c r="AM18" s="756">
        <f>'[16]Объемы 18-23 '!AM18+'[16]Изменения 1 - 18'!AM18</f>
        <v>0</v>
      </c>
      <c r="AN18" s="756">
        <f>'[16]Объемы 18-23 '!AN18+'[16]Изменения 1 - 18'!AN18</f>
        <v>0</v>
      </c>
      <c r="AO18" s="756">
        <f>'[16]Объемы 18-23 '!AO18+'[16]Изменения 1 - 18'!AO18</f>
        <v>0</v>
      </c>
      <c r="AP18" s="756">
        <f>'[16]Объемы 18-23 '!AP18+'[16]Изменения 1 - 18'!AP18</f>
        <v>0</v>
      </c>
      <c r="AQ18" s="756">
        <f>'[16]Объемы 18-23 '!AQ18+'[16]Изменения 1 - 18'!AQ18</f>
        <v>0</v>
      </c>
      <c r="AR18" s="756">
        <f>'[16]Объемы 18-23 '!AR18+'[16]Изменения 1 - 18'!AR18</f>
        <v>0</v>
      </c>
      <c r="AS18" s="756">
        <f>'[16]Объемы 18-23 '!AS18+'[16]Изменения 1 - 18'!AS18</f>
        <v>0</v>
      </c>
      <c r="AT18" s="756">
        <f>'[16]Объемы 18-23 '!AT18+'[16]Изменения 1 - 18'!AT18</f>
        <v>0</v>
      </c>
      <c r="AU18" s="756">
        <f>'[16]Объемы 18-23 '!AU18+'[16]Изменения 1 - 18'!AU18</f>
        <v>0</v>
      </c>
      <c r="AV18" s="756">
        <f>'[16]Объемы 18-23 '!AV18+'[16]Изменения 1 - 18'!AV18</f>
        <v>0</v>
      </c>
      <c r="AW18" s="756">
        <f>'[16]Объемы 18-23 '!AW18+'[16]Изменения 1 - 18'!AW18</f>
        <v>0</v>
      </c>
      <c r="AX18" s="756">
        <f>'[16]Объемы 18-23 '!AX18+'[16]Изменения 1 - 18'!AX18</f>
        <v>0</v>
      </c>
      <c r="AY18" s="756">
        <f>'[16]Объемы 18-23 '!AY18+'[16]Изменения 1 - 18'!AY18</f>
        <v>0</v>
      </c>
      <c r="AZ18" s="756">
        <f>'[16]Объемы 18-23 '!AZ18+'[16]Изменения 1 - 18'!AZ18</f>
        <v>0</v>
      </c>
      <c r="BA18" s="759"/>
      <c r="BD18" s="759"/>
    </row>
    <row r="19" spans="1:56" x14ac:dyDescent="0.25">
      <c r="A19" s="752">
        <v>12</v>
      </c>
      <c r="B19" s="754" t="s">
        <v>189</v>
      </c>
      <c r="C19" s="755" t="s">
        <v>190</v>
      </c>
      <c r="D19" s="756">
        <f t="shared" si="1"/>
        <v>41</v>
      </c>
      <c r="E19" s="757">
        <f t="shared" si="0"/>
        <v>3</v>
      </c>
      <c r="F19" s="757">
        <f t="shared" si="0"/>
        <v>4</v>
      </c>
      <c r="G19" s="757">
        <f t="shared" si="0"/>
        <v>0</v>
      </c>
      <c r="H19" s="757">
        <f t="shared" si="0"/>
        <v>0</v>
      </c>
      <c r="I19" s="757">
        <f t="shared" si="0"/>
        <v>19</v>
      </c>
      <c r="J19" s="757">
        <f t="shared" si="0"/>
        <v>15</v>
      </c>
      <c r="K19" s="757">
        <f t="shared" si="0"/>
        <v>0</v>
      </c>
      <c r="L19" s="757">
        <f t="shared" si="0"/>
        <v>0</v>
      </c>
      <c r="M19" s="757">
        <f t="shared" si="0"/>
        <v>0</v>
      </c>
      <c r="N19" s="757">
        <f t="shared" si="0"/>
        <v>0</v>
      </c>
      <c r="O19" s="757">
        <f t="shared" si="0"/>
        <v>0</v>
      </c>
      <c r="P19" s="757">
        <f t="shared" si="0"/>
        <v>0</v>
      </c>
      <c r="Q19" s="757">
        <f t="shared" si="0"/>
        <v>0</v>
      </c>
      <c r="R19" s="757">
        <f t="shared" si="0"/>
        <v>0</v>
      </c>
      <c r="S19" s="757">
        <f t="shared" si="0"/>
        <v>0</v>
      </c>
      <c r="T19" s="757">
        <f t="shared" si="0"/>
        <v>0</v>
      </c>
      <c r="U19" s="756">
        <f t="shared" si="2"/>
        <v>41</v>
      </c>
      <c r="V19" s="756">
        <f>'[16]Объемы 18-23 '!V19+'[16]Изменения 1 - 18'!V19</f>
        <v>3</v>
      </c>
      <c r="W19" s="756">
        <f>'[16]Объемы 18-23 '!W19+'[16]Изменения 1 - 18'!W19</f>
        <v>4</v>
      </c>
      <c r="X19" s="756">
        <f>'[16]Объемы 18-23 '!X19+'[16]Изменения 1 - 18'!X19</f>
        <v>0</v>
      </c>
      <c r="Y19" s="756">
        <f>'[16]Объемы 18-23 '!Y19+'[16]Изменения 1 - 18'!Y19</f>
        <v>0</v>
      </c>
      <c r="Z19" s="756">
        <f>'[16]Объемы 18-23 '!Z19+'[16]Изменения 1 - 18'!Z19</f>
        <v>19</v>
      </c>
      <c r="AA19" s="756">
        <f>'[16]Объемы 18-23 '!AA19+'[16]Изменения 1 - 18'!AA19</f>
        <v>15</v>
      </c>
      <c r="AB19" s="756">
        <f>'[16]Объемы 18-23 '!AB19+'[16]Изменения 1 - 18'!AB19</f>
        <v>0</v>
      </c>
      <c r="AC19" s="756">
        <f>'[16]Объемы 18-23 '!AC19+'[16]Изменения 1 - 18'!AC19</f>
        <v>0</v>
      </c>
      <c r="AD19" s="756">
        <f>'[16]Объемы 18-23 '!AD19+'[16]Изменения 1 - 18'!AD19</f>
        <v>0</v>
      </c>
      <c r="AE19" s="756">
        <f>'[16]Объемы 18-23 '!AE19+'[16]Изменения 1 - 18'!AE19</f>
        <v>0</v>
      </c>
      <c r="AF19" s="756">
        <f>'[16]Объемы 18-23 '!AF19+'[16]Изменения 1 - 18'!AF19</f>
        <v>0</v>
      </c>
      <c r="AG19" s="756">
        <f>'[16]Объемы 18-23 '!AG19+'[16]Изменения 1 - 18'!AG19</f>
        <v>0</v>
      </c>
      <c r="AH19" s="756">
        <f>'[16]Объемы 18-23 '!AH19+'[16]Изменения 1 - 18'!AH19</f>
        <v>0</v>
      </c>
      <c r="AI19" s="756">
        <f>'[16]Объемы 18-23 '!AI19+'[16]Изменения 1 - 18'!AI19</f>
        <v>0</v>
      </c>
      <c r="AJ19" s="756">
        <f>'[16]Объемы 18-23 '!AJ19+'[16]Изменения 1 - 18'!AJ19</f>
        <v>0</v>
      </c>
      <c r="AK19" s="756">
        <f>'[16]Объемы 18-23 '!AK19+'[16]Изменения 1 - 18'!AK19</f>
        <v>0</v>
      </c>
      <c r="AL19" s="758">
        <f t="shared" si="3"/>
        <v>0</v>
      </c>
      <c r="AM19" s="756">
        <f>'[16]Объемы 18-23 '!AM19+'[16]Изменения 1 - 18'!AM19</f>
        <v>0</v>
      </c>
      <c r="AN19" s="756">
        <f>'[16]Объемы 18-23 '!AN19+'[16]Изменения 1 - 18'!AN19</f>
        <v>0</v>
      </c>
      <c r="AO19" s="756">
        <f>'[16]Объемы 18-23 '!AO19+'[16]Изменения 1 - 18'!AO19</f>
        <v>0</v>
      </c>
      <c r="AP19" s="756">
        <f>'[16]Объемы 18-23 '!AP19+'[16]Изменения 1 - 18'!AP19</f>
        <v>0</v>
      </c>
      <c r="AQ19" s="756">
        <f>'[16]Объемы 18-23 '!AQ19+'[16]Изменения 1 - 18'!AQ19</f>
        <v>0</v>
      </c>
      <c r="AR19" s="756">
        <f>'[16]Объемы 18-23 '!AR19+'[16]Изменения 1 - 18'!AR19</f>
        <v>0</v>
      </c>
      <c r="AS19" s="756">
        <f>'[16]Объемы 18-23 '!AS19+'[16]Изменения 1 - 18'!AS19</f>
        <v>0</v>
      </c>
      <c r="AT19" s="756">
        <f>'[16]Объемы 18-23 '!AT19+'[16]Изменения 1 - 18'!AT19</f>
        <v>0</v>
      </c>
      <c r="AU19" s="756">
        <f>'[16]Объемы 18-23 '!AU19+'[16]Изменения 1 - 18'!AU19</f>
        <v>0</v>
      </c>
      <c r="AV19" s="756">
        <f>'[16]Объемы 18-23 '!AV19+'[16]Изменения 1 - 18'!AV19</f>
        <v>0</v>
      </c>
      <c r="AW19" s="756">
        <f>'[16]Объемы 18-23 '!AW19+'[16]Изменения 1 - 18'!AW19</f>
        <v>0</v>
      </c>
      <c r="AX19" s="756">
        <f>'[16]Объемы 18-23 '!AX19+'[16]Изменения 1 - 18'!AX19</f>
        <v>0</v>
      </c>
      <c r="AY19" s="756">
        <f>'[16]Объемы 18-23 '!AY19+'[16]Изменения 1 - 18'!AY19</f>
        <v>0</v>
      </c>
      <c r="AZ19" s="756">
        <f>'[16]Объемы 18-23 '!AZ19+'[16]Изменения 1 - 18'!AZ19</f>
        <v>0</v>
      </c>
      <c r="BA19" s="759"/>
      <c r="BD19" s="759"/>
    </row>
    <row r="20" spans="1:56" ht="21" customHeight="1" x14ac:dyDescent="0.25">
      <c r="A20" s="752">
        <v>13</v>
      </c>
      <c r="B20" s="754" t="s">
        <v>107</v>
      </c>
      <c r="C20" s="755" t="s">
        <v>108</v>
      </c>
      <c r="D20" s="756">
        <f t="shared" si="1"/>
        <v>120</v>
      </c>
      <c r="E20" s="757">
        <f t="shared" si="0"/>
        <v>30</v>
      </c>
      <c r="F20" s="757">
        <f t="shared" si="0"/>
        <v>0</v>
      </c>
      <c r="G20" s="757">
        <f t="shared" si="0"/>
        <v>0</v>
      </c>
      <c r="H20" s="757">
        <f t="shared" si="0"/>
        <v>0</v>
      </c>
      <c r="I20" s="757">
        <f t="shared" si="0"/>
        <v>30</v>
      </c>
      <c r="J20" s="757">
        <f t="shared" si="0"/>
        <v>0</v>
      </c>
      <c r="K20" s="757">
        <f t="shared" si="0"/>
        <v>30</v>
      </c>
      <c r="L20" s="757">
        <f t="shared" si="0"/>
        <v>0</v>
      </c>
      <c r="M20" s="757">
        <f t="shared" si="0"/>
        <v>30</v>
      </c>
      <c r="N20" s="757">
        <f t="shared" si="0"/>
        <v>0</v>
      </c>
      <c r="O20" s="757">
        <f t="shared" si="0"/>
        <v>0</v>
      </c>
      <c r="P20" s="757">
        <f t="shared" si="0"/>
        <v>0</v>
      </c>
      <c r="Q20" s="757">
        <f t="shared" si="0"/>
        <v>0</v>
      </c>
      <c r="R20" s="757">
        <f t="shared" si="0"/>
        <v>0</v>
      </c>
      <c r="S20" s="757">
        <f t="shared" si="0"/>
        <v>0</v>
      </c>
      <c r="T20" s="757">
        <f t="shared" si="0"/>
        <v>0</v>
      </c>
      <c r="U20" s="756">
        <f t="shared" si="2"/>
        <v>120</v>
      </c>
      <c r="V20" s="756">
        <f>'[16]Объемы 18-23 '!V20+'[16]Изменения 1 - 18'!V20</f>
        <v>30</v>
      </c>
      <c r="W20" s="756">
        <f>'[16]Объемы 18-23 '!W20+'[16]Изменения 1 - 18'!W20</f>
        <v>0</v>
      </c>
      <c r="X20" s="756">
        <f>'[16]Объемы 18-23 '!X20+'[16]Изменения 1 - 18'!X20</f>
        <v>0</v>
      </c>
      <c r="Y20" s="756">
        <f>'[16]Объемы 18-23 '!Y20+'[16]Изменения 1 - 18'!Y20</f>
        <v>0</v>
      </c>
      <c r="Z20" s="756">
        <f>'[16]Объемы 18-23 '!Z20+'[16]Изменения 1 - 18'!Z20</f>
        <v>30</v>
      </c>
      <c r="AA20" s="756">
        <f>'[16]Объемы 18-23 '!AA20+'[16]Изменения 1 - 18'!AA20</f>
        <v>0</v>
      </c>
      <c r="AB20" s="756">
        <f>'[16]Объемы 18-23 '!AB20+'[16]Изменения 1 - 18'!AB20</f>
        <v>30</v>
      </c>
      <c r="AC20" s="756">
        <f>'[16]Объемы 18-23 '!AC20+'[16]Изменения 1 - 18'!AC20</f>
        <v>0</v>
      </c>
      <c r="AD20" s="756">
        <f>'[16]Объемы 18-23 '!AD20+'[16]Изменения 1 - 18'!AD20</f>
        <v>30</v>
      </c>
      <c r="AE20" s="756">
        <f>'[16]Объемы 18-23 '!AE20+'[16]Изменения 1 - 18'!AE20</f>
        <v>0</v>
      </c>
      <c r="AF20" s="756">
        <f>'[16]Объемы 18-23 '!AF20+'[16]Изменения 1 - 18'!AF20</f>
        <v>0</v>
      </c>
      <c r="AG20" s="756">
        <f>'[16]Объемы 18-23 '!AG20+'[16]Изменения 1 - 18'!AG20</f>
        <v>0</v>
      </c>
      <c r="AH20" s="756">
        <f>'[16]Объемы 18-23 '!AH20+'[16]Изменения 1 - 18'!AH20</f>
        <v>0</v>
      </c>
      <c r="AI20" s="756">
        <f>'[16]Объемы 18-23 '!AI20+'[16]Изменения 1 - 18'!AI20</f>
        <v>0</v>
      </c>
      <c r="AJ20" s="756">
        <f>'[16]Объемы 18-23 '!AJ20+'[16]Изменения 1 - 18'!AJ20</f>
        <v>0</v>
      </c>
      <c r="AK20" s="756">
        <f>'[16]Объемы 18-23 '!AK20+'[16]Изменения 1 - 18'!AK20</f>
        <v>0</v>
      </c>
      <c r="AL20" s="758">
        <f t="shared" si="3"/>
        <v>0</v>
      </c>
      <c r="AM20" s="756">
        <f>'[16]Объемы 18-23 '!AM20+'[16]Изменения 1 - 18'!AM20</f>
        <v>0</v>
      </c>
      <c r="AN20" s="756">
        <f>'[16]Объемы 18-23 '!AN20+'[16]Изменения 1 - 18'!AN20</f>
        <v>0</v>
      </c>
      <c r="AO20" s="756">
        <f>'[16]Объемы 18-23 '!AO20+'[16]Изменения 1 - 18'!AO20</f>
        <v>0</v>
      </c>
      <c r="AP20" s="756">
        <f>'[16]Объемы 18-23 '!AP20+'[16]Изменения 1 - 18'!AP20</f>
        <v>0</v>
      </c>
      <c r="AQ20" s="756">
        <f>'[16]Объемы 18-23 '!AQ20+'[16]Изменения 1 - 18'!AQ20</f>
        <v>0</v>
      </c>
      <c r="AR20" s="756">
        <f>'[16]Объемы 18-23 '!AR20+'[16]Изменения 1 - 18'!AR20</f>
        <v>0</v>
      </c>
      <c r="AS20" s="756">
        <f>'[16]Объемы 18-23 '!AS20+'[16]Изменения 1 - 18'!AS20</f>
        <v>0</v>
      </c>
      <c r="AT20" s="756">
        <f>'[16]Объемы 18-23 '!AT20+'[16]Изменения 1 - 18'!AT20</f>
        <v>0</v>
      </c>
      <c r="AU20" s="756">
        <f>'[16]Объемы 18-23 '!AU20+'[16]Изменения 1 - 18'!AU20</f>
        <v>0</v>
      </c>
      <c r="AV20" s="756">
        <f>'[16]Объемы 18-23 '!AV20+'[16]Изменения 1 - 18'!AV20</f>
        <v>0</v>
      </c>
      <c r="AW20" s="756">
        <f>'[16]Объемы 18-23 '!AW20+'[16]Изменения 1 - 18'!AW20</f>
        <v>0</v>
      </c>
      <c r="AX20" s="756">
        <f>'[16]Объемы 18-23 '!AX20+'[16]Изменения 1 - 18'!AX20</f>
        <v>0</v>
      </c>
      <c r="AY20" s="756">
        <f>'[16]Объемы 18-23 '!AY20+'[16]Изменения 1 - 18'!AY20</f>
        <v>0</v>
      </c>
      <c r="AZ20" s="756">
        <f>'[16]Объемы 18-23 '!AZ20+'[16]Изменения 1 - 18'!AZ20</f>
        <v>0</v>
      </c>
      <c r="BA20" s="759"/>
      <c r="BD20" s="759"/>
    </row>
    <row r="21" spans="1:56" x14ac:dyDescent="0.25">
      <c r="A21" s="752">
        <v>14</v>
      </c>
      <c r="B21" s="754" t="s">
        <v>167</v>
      </c>
      <c r="C21" s="755" t="s">
        <v>536</v>
      </c>
      <c r="D21" s="756">
        <f t="shared" si="1"/>
        <v>100</v>
      </c>
      <c r="E21" s="757">
        <f t="shared" si="0"/>
        <v>30</v>
      </c>
      <c r="F21" s="757">
        <f t="shared" si="0"/>
        <v>0</v>
      </c>
      <c r="G21" s="757">
        <f t="shared" si="0"/>
        <v>20</v>
      </c>
      <c r="H21" s="757">
        <f t="shared" si="0"/>
        <v>0</v>
      </c>
      <c r="I21" s="757">
        <f t="shared" si="0"/>
        <v>0</v>
      </c>
      <c r="J21" s="757">
        <f t="shared" si="0"/>
        <v>0</v>
      </c>
      <c r="K21" s="757">
        <f t="shared" si="0"/>
        <v>40</v>
      </c>
      <c r="L21" s="757">
        <f t="shared" si="0"/>
        <v>0</v>
      </c>
      <c r="M21" s="757">
        <f t="shared" si="0"/>
        <v>10</v>
      </c>
      <c r="N21" s="757">
        <f t="shared" si="0"/>
        <v>0</v>
      </c>
      <c r="O21" s="757">
        <f t="shared" si="0"/>
        <v>0</v>
      </c>
      <c r="P21" s="757">
        <f t="shared" si="0"/>
        <v>0</v>
      </c>
      <c r="Q21" s="757">
        <f t="shared" si="0"/>
        <v>0</v>
      </c>
      <c r="R21" s="757">
        <f t="shared" si="0"/>
        <v>0</v>
      </c>
      <c r="S21" s="757">
        <f t="shared" si="0"/>
        <v>0</v>
      </c>
      <c r="T21" s="757">
        <f t="shared" si="0"/>
        <v>0</v>
      </c>
      <c r="U21" s="756">
        <f t="shared" si="2"/>
        <v>100</v>
      </c>
      <c r="V21" s="756">
        <f>'[16]Объемы 18-23 '!V21+'[16]Изменения 1 - 18'!V21</f>
        <v>30</v>
      </c>
      <c r="W21" s="756">
        <f>'[16]Объемы 18-23 '!W21+'[16]Изменения 1 - 18'!W21</f>
        <v>0</v>
      </c>
      <c r="X21" s="756">
        <f>'[16]Объемы 18-23 '!X21+'[16]Изменения 1 - 18'!X21</f>
        <v>20</v>
      </c>
      <c r="Y21" s="756">
        <f>'[16]Объемы 18-23 '!Y21+'[16]Изменения 1 - 18'!Y21</f>
        <v>0</v>
      </c>
      <c r="Z21" s="756">
        <f>'[16]Объемы 18-23 '!Z21+'[16]Изменения 1 - 18'!Z21</f>
        <v>0</v>
      </c>
      <c r="AA21" s="756">
        <f>'[16]Объемы 18-23 '!AA21+'[16]Изменения 1 - 18'!AA21</f>
        <v>0</v>
      </c>
      <c r="AB21" s="756">
        <f>'[16]Объемы 18-23 '!AB21+'[16]Изменения 1 - 18'!AB21</f>
        <v>40</v>
      </c>
      <c r="AC21" s="756">
        <f>'[16]Объемы 18-23 '!AC21+'[16]Изменения 1 - 18'!AC21</f>
        <v>0</v>
      </c>
      <c r="AD21" s="756">
        <f>'[16]Объемы 18-23 '!AD21+'[16]Изменения 1 - 18'!AD21</f>
        <v>10</v>
      </c>
      <c r="AE21" s="756">
        <f>'[16]Объемы 18-23 '!AE21+'[16]Изменения 1 - 18'!AE21</f>
        <v>0</v>
      </c>
      <c r="AF21" s="756">
        <f>'[16]Объемы 18-23 '!AF21+'[16]Изменения 1 - 18'!AF21</f>
        <v>0</v>
      </c>
      <c r="AG21" s="756">
        <f>'[16]Объемы 18-23 '!AG21+'[16]Изменения 1 - 18'!AG21</f>
        <v>0</v>
      </c>
      <c r="AH21" s="756">
        <f>'[16]Объемы 18-23 '!AH21+'[16]Изменения 1 - 18'!AH21</f>
        <v>0</v>
      </c>
      <c r="AI21" s="756">
        <f>'[16]Объемы 18-23 '!AI21+'[16]Изменения 1 - 18'!AI21</f>
        <v>0</v>
      </c>
      <c r="AJ21" s="756">
        <f>'[16]Объемы 18-23 '!AJ21+'[16]Изменения 1 - 18'!AJ21</f>
        <v>0</v>
      </c>
      <c r="AK21" s="756">
        <f>'[16]Объемы 18-23 '!AK21+'[16]Изменения 1 - 18'!AK21</f>
        <v>0</v>
      </c>
      <c r="AL21" s="758">
        <f t="shared" si="3"/>
        <v>0</v>
      </c>
      <c r="AM21" s="756">
        <f>'[16]Объемы 18-23 '!AM21+'[16]Изменения 1 - 18'!AM21</f>
        <v>0</v>
      </c>
      <c r="AN21" s="756">
        <f>'[16]Объемы 18-23 '!AN21+'[16]Изменения 1 - 18'!AN21</f>
        <v>0</v>
      </c>
      <c r="AO21" s="756">
        <f>'[16]Объемы 18-23 '!AO21+'[16]Изменения 1 - 18'!AO21</f>
        <v>0</v>
      </c>
      <c r="AP21" s="756">
        <f>'[16]Объемы 18-23 '!AP21+'[16]Изменения 1 - 18'!AP21</f>
        <v>0</v>
      </c>
      <c r="AQ21" s="756">
        <f>'[16]Объемы 18-23 '!AQ21+'[16]Изменения 1 - 18'!AQ21</f>
        <v>0</v>
      </c>
      <c r="AR21" s="756">
        <f>'[16]Объемы 18-23 '!AR21+'[16]Изменения 1 - 18'!AR21</f>
        <v>0</v>
      </c>
      <c r="AS21" s="756">
        <f>'[16]Объемы 18-23 '!AS21+'[16]Изменения 1 - 18'!AS21</f>
        <v>0</v>
      </c>
      <c r="AT21" s="756">
        <f>'[16]Объемы 18-23 '!AT21+'[16]Изменения 1 - 18'!AT21</f>
        <v>0</v>
      </c>
      <c r="AU21" s="756">
        <f>'[16]Объемы 18-23 '!AU21+'[16]Изменения 1 - 18'!AU21</f>
        <v>0</v>
      </c>
      <c r="AV21" s="756">
        <f>'[16]Объемы 18-23 '!AV21+'[16]Изменения 1 - 18'!AV21</f>
        <v>0</v>
      </c>
      <c r="AW21" s="756">
        <f>'[16]Объемы 18-23 '!AW21+'[16]Изменения 1 - 18'!AW21</f>
        <v>0</v>
      </c>
      <c r="AX21" s="756">
        <f>'[16]Объемы 18-23 '!AX21+'[16]Изменения 1 - 18'!AX21</f>
        <v>0</v>
      </c>
      <c r="AY21" s="756">
        <f>'[16]Объемы 18-23 '!AY21+'[16]Изменения 1 - 18'!AY21</f>
        <v>0</v>
      </c>
      <c r="AZ21" s="756">
        <f>'[16]Объемы 18-23 '!AZ21+'[16]Изменения 1 - 18'!AZ21</f>
        <v>0</v>
      </c>
      <c r="BA21" s="759"/>
      <c r="BD21" s="759"/>
    </row>
    <row r="22" spans="1:56" x14ac:dyDescent="0.25">
      <c r="A22" s="752">
        <v>15</v>
      </c>
      <c r="B22" s="754" t="s">
        <v>79</v>
      </c>
      <c r="C22" s="755" t="s">
        <v>80</v>
      </c>
      <c r="D22" s="756">
        <f t="shared" si="1"/>
        <v>400</v>
      </c>
      <c r="E22" s="757">
        <f t="shared" si="0"/>
        <v>45</v>
      </c>
      <c r="F22" s="757">
        <f t="shared" si="0"/>
        <v>20</v>
      </c>
      <c r="G22" s="757">
        <f t="shared" si="0"/>
        <v>45</v>
      </c>
      <c r="H22" s="757">
        <f t="shared" si="0"/>
        <v>20</v>
      </c>
      <c r="I22" s="757">
        <f t="shared" si="0"/>
        <v>50</v>
      </c>
      <c r="J22" s="757">
        <f t="shared" si="0"/>
        <v>90</v>
      </c>
      <c r="K22" s="757">
        <f t="shared" si="0"/>
        <v>50</v>
      </c>
      <c r="L22" s="757">
        <f t="shared" si="0"/>
        <v>40</v>
      </c>
      <c r="M22" s="757">
        <f t="shared" si="0"/>
        <v>20</v>
      </c>
      <c r="N22" s="757">
        <f t="shared" si="0"/>
        <v>20</v>
      </c>
      <c r="O22" s="757">
        <f t="shared" si="0"/>
        <v>0</v>
      </c>
      <c r="P22" s="757">
        <f t="shared" si="0"/>
        <v>0</v>
      </c>
      <c r="Q22" s="757">
        <f t="shared" si="0"/>
        <v>0</v>
      </c>
      <c r="R22" s="757">
        <f t="shared" si="0"/>
        <v>0</v>
      </c>
      <c r="S22" s="757">
        <f t="shared" si="0"/>
        <v>0</v>
      </c>
      <c r="T22" s="757">
        <f t="shared" si="0"/>
        <v>0</v>
      </c>
      <c r="U22" s="756">
        <f t="shared" si="2"/>
        <v>400</v>
      </c>
      <c r="V22" s="756">
        <f>'[16]Объемы 18-23 '!V22+'[16]Изменения 1 - 18'!V22</f>
        <v>45</v>
      </c>
      <c r="W22" s="756">
        <f>'[16]Объемы 18-23 '!W22+'[16]Изменения 1 - 18'!W22</f>
        <v>20</v>
      </c>
      <c r="X22" s="756">
        <f>'[16]Объемы 18-23 '!X22+'[16]Изменения 1 - 18'!X22</f>
        <v>45</v>
      </c>
      <c r="Y22" s="756">
        <f>'[16]Объемы 18-23 '!Y22+'[16]Изменения 1 - 18'!Y22</f>
        <v>20</v>
      </c>
      <c r="Z22" s="756">
        <f>'[16]Объемы 18-23 '!Z22+'[16]Изменения 1 - 18'!Z22</f>
        <v>50</v>
      </c>
      <c r="AA22" s="756">
        <f>'[16]Объемы 18-23 '!AA22+'[16]Изменения 1 - 18'!AA22</f>
        <v>90</v>
      </c>
      <c r="AB22" s="756">
        <f>'[16]Объемы 18-23 '!AB22+'[16]Изменения 1 - 18'!AB22</f>
        <v>50</v>
      </c>
      <c r="AC22" s="756">
        <f>'[16]Объемы 18-23 '!AC22+'[16]Изменения 1 - 18'!AC22</f>
        <v>40</v>
      </c>
      <c r="AD22" s="756">
        <f>'[16]Объемы 18-23 '!AD22+'[16]Изменения 1 - 18'!AD22</f>
        <v>20</v>
      </c>
      <c r="AE22" s="756">
        <f>'[16]Объемы 18-23 '!AE22+'[16]Изменения 1 - 18'!AE22</f>
        <v>20</v>
      </c>
      <c r="AF22" s="756">
        <f>'[16]Объемы 18-23 '!AF22+'[16]Изменения 1 - 18'!AF22</f>
        <v>0</v>
      </c>
      <c r="AG22" s="756">
        <f>'[16]Объемы 18-23 '!AG22+'[16]Изменения 1 - 18'!AG22</f>
        <v>0</v>
      </c>
      <c r="AH22" s="756">
        <f>'[16]Объемы 18-23 '!AH22+'[16]Изменения 1 - 18'!AH22</f>
        <v>0</v>
      </c>
      <c r="AI22" s="756">
        <f>'[16]Объемы 18-23 '!AI22+'[16]Изменения 1 - 18'!AI22</f>
        <v>0</v>
      </c>
      <c r="AJ22" s="756">
        <f>'[16]Объемы 18-23 '!AJ22+'[16]Изменения 1 - 18'!AJ22</f>
        <v>0</v>
      </c>
      <c r="AK22" s="756">
        <f>'[16]Объемы 18-23 '!AK22+'[16]Изменения 1 - 18'!AK22</f>
        <v>0</v>
      </c>
      <c r="AL22" s="758">
        <f t="shared" si="3"/>
        <v>0</v>
      </c>
      <c r="AM22" s="756">
        <f>'[16]Объемы 18-23 '!AM22+'[16]Изменения 1 - 18'!AM22</f>
        <v>0</v>
      </c>
      <c r="AN22" s="756">
        <f>'[16]Объемы 18-23 '!AN22+'[16]Изменения 1 - 18'!AN22</f>
        <v>0</v>
      </c>
      <c r="AO22" s="756">
        <f>'[16]Объемы 18-23 '!AO22+'[16]Изменения 1 - 18'!AO22</f>
        <v>0</v>
      </c>
      <c r="AP22" s="756">
        <f>'[16]Объемы 18-23 '!AP22+'[16]Изменения 1 - 18'!AP22</f>
        <v>0</v>
      </c>
      <c r="AQ22" s="756">
        <f>'[16]Объемы 18-23 '!AQ22+'[16]Изменения 1 - 18'!AQ22</f>
        <v>0</v>
      </c>
      <c r="AR22" s="756">
        <f>'[16]Объемы 18-23 '!AR22+'[16]Изменения 1 - 18'!AR22</f>
        <v>0</v>
      </c>
      <c r="AS22" s="756">
        <f>'[16]Объемы 18-23 '!AS22+'[16]Изменения 1 - 18'!AS22</f>
        <v>0</v>
      </c>
      <c r="AT22" s="756">
        <f>'[16]Объемы 18-23 '!AT22+'[16]Изменения 1 - 18'!AT22</f>
        <v>0</v>
      </c>
      <c r="AU22" s="756">
        <f>'[16]Объемы 18-23 '!AU22+'[16]Изменения 1 - 18'!AU22</f>
        <v>0</v>
      </c>
      <c r="AV22" s="756">
        <f>'[16]Объемы 18-23 '!AV22+'[16]Изменения 1 - 18'!AV22</f>
        <v>0</v>
      </c>
      <c r="AW22" s="756">
        <f>'[16]Объемы 18-23 '!AW22+'[16]Изменения 1 - 18'!AW22</f>
        <v>0</v>
      </c>
      <c r="AX22" s="756">
        <f>'[16]Объемы 18-23 '!AX22+'[16]Изменения 1 - 18'!AX22</f>
        <v>0</v>
      </c>
      <c r="AY22" s="756">
        <f>'[16]Объемы 18-23 '!AY22+'[16]Изменения 1 - 18'!AY22</f>
        <v>0</v>
      </c>
      <c r="AZ22" s="756">
        <f>'[16]Объемы 18-23 '!AZ22+'[16]Изменения 1 - 18'!AZ22</f>
        <v>0</v>
      </c>
      <c r="BA22" s="759"/>
      <c r="BD22" s="759"/>
    </row>
    <row r="23" spans="1:56" x14ac:dyDescent="0.25">
      <c r="A23" s="752">
        <v>16</v>
      </c>
      <c r="B23" s="754" t="s">
        <v>173</v>
      </c>
      <c r="C23" s="755" t="s">
        <v>537</v>
      </c>
      <c r="D23" s="756">
        <f t="shared" si="1"/>
        <v>74</v>
      </c>
      <c r="E23" s="757">
        <f t="shared" si="0"/>
        <v>6</v>
      </c>
      <c r="F23" s="757">
        <f t="shared" si="0"/>
        <v>6</v>
      </c>
      <c r="G23" s="757">
        <f t="shared" si="0"/>
        <v>13</v>
      </c>
      <c r="H23" s="757">
        <f t="shared" si="0"/>
        <v>11</v>
      </c>
      <c r="I23" s="757">
        <f t="shared" si="0"/>
        <v>11</v>
      </c>
      <c r="J23" s="757">
        <f t="shared" si="0"/>
        <v>9</v>
      </c>
      <c r="K23" s="757">
        <f t="shared" si="0"/>
        <v>9</v>
      </c>
      <c r="L23" s="757">
        <f t="shared" si="0"/>
        <v>8</v>
      </c>
      <c r="M23" s="757">
        <f t="shared" si="0"/>
        <v>1</v>
      </c>
      <c r="N23" s="757">
        <f t="shared" si="0"/>
        <v>0</v>
      </c>
      <c r="O23" s="757">
        <f t="shared" si="0"/>
        <v>0</v>
      </c>
      <c r="P23" s="757">
        <f t="shared" si="0"/>
        <v>0</v>
      </c>
      <c r="Q23" s="757">
        <f t="shared" si="0"/>
        <v>0</v>
      </c>
      <c r="R23" s="757">
        <f t="shared" si="0"/>
        <v>0</v>
      </c>
      <c r="S23" s="757">
        <f t="shared" si="0"/>
        <v>0</v>
      </c>
      <c r="T23" s="757">
        <f t="shared" ref="T23:T44" si="4">AK23+BB23</f>
        <v>0</v>
      </c>
      <c r="U23" s="756">
        <f t="shared" si="2"/>
        <v>74</v>
      </c>
      <c r="V23" s="756">
        <f>'[16]Объемы 18-23 '!V23+'[16]Изменения 1 - 18'!V23</f>
        <v>6</v>
      </c>
      <c r="W23" s="756">
        <f>'[16]Объемы 18-23 '!W23+'[16]Изменения 1 - 18'!W23</f>
        <v>6</v>
      </c>
      <c r="X23" s="756">
        <f>'[16]Объемы 18-23 '!X23+'[16]Изменения 1 - 18'!X23</f>
        <v>13</v>
      </c>
      <c r="Y23" s="756">
        <f>'[16]Объемы 18-23 '!Y23+'[16]Изменения 1 - 18'!Y23</f>
        <v>11</v>
      </c>
      <c r="Z23" s="756">
        <f>'[16]Объемы 18-23 '!Z23+'[16]Изменения 1 - 18'!Z23</f>
        <v>11</v>
      </c>
      <c r="AA23" s="756">
        <f>'[16]Объемы 18-23 '!AA23+'[16]Изменения 1 - 18'!AA23</f>
        <v>9</v>
      </c>
      <c r="AB23" s="756">
        <f>'[16]Объемы 18-23 '!AB23+'[16]Изменения 1 - 18'!AB23</f>
        <v>9</v>
      </c>
      <c r="AC23" s="756">
        <f>'[16]Объемы 18-23 '!AC23+'[16]Изменения 1 - 18'!AC23</f>
        <v>8</v>
      </c>
      <c r="AD23" s="756">
        <f>'[16]Объемы 18-23 '!AD23+'[16]Изменения 1 - 18'!AD23</f>
        <v>1</v>
      </c>
      <c r="AE23" s="756">
        <f>'[16]Объемы 18-23 '!AE23+'[16]Изменения 1 - 18'!AE23</f>
        <v>0</v>
      </c>
      <c r="AF23" s="756">
        <f>'[16]Объемы 18-23 '!AF23+'[16]Изменения 1 - 18'!AF23</f>
        <v>0</v>
      </c>
      <c r="AG23" s="756">
        <f>'[16]Объемы 18-23 '!AG23+'[16]Изменения 1 - 18'!AG23</f>
        <v>0</v>
      </c>
      <c r="AH23" s="756">
        <f>'[16]Объемы 18-23 '!AH23+'[16]Изменения 1 - 18'!AH23</f>
        <v>0</v>
      </c>
      <c r="AI23" s="756">
        <f>'[16]Объемы 18-23 '!AI23+'[16]Изменения 1 - 18'!AI23</f>
        <v>0</v>
      </c>
      <c r="AJ23" s="756">
        <f>'[16]Объемы 18-23 '!AJ23+'[16]Изменения 1 - 18'!AJ23</f>
        <v>0</v>
      </c>
      <c r="AK23" s="756">
        <f>'[16]Объемы 18-23 '!AK23+'[16]Изменения 1 - 18'!AK23</f>
        <v>0</v>
      </c>
      <c r="AL23" s="758">
        <f t="shared" si="3"/>
        <v>0</v>
      </c>
      <c r="AM23" s="756">
        <f>'[16]Объемы 18-23 '!AM23+'[16]Изменения 1 - 18'!AM23</f>
        <v>0</v>
      </c>
      <c r="AN23" s="756">
        <f>'[16]Объемы 18-23 '!AN23+'[16]Изменения 1 - 18'!AN23</f>
        <v>0</v>
      </c>
      <c r="AO23" s="756">
        <f>'[16]Объемы 18-23 '!AO23+'[16]Изменения 1 - 18'!AO23</f>
        <v>0</v>
      </c>
      <c r="AP23" s="756">
        <f>'[16]Объемы 18-23 '!AP23+'[16]Изменения 1 - 18'!AP23</f>
        <v>0</v>
      </c>
      <c r="AQ23" s="756">
        <f>'[16]Объемы 18-23 '!AQ23+'[16]Изменения 1 - 18'!AQ23</f>
        <v>0</v>
      </c>
      <c r="AR23" s="756">
        <f>'[16]Объемы 18-23 '!AR23+'[16]Изменения 1 - 18'!AR23</f>
        <v>0</v>
      </c>
      <c r="AS23" s="756">
        <f>'[16]Объемы 18-23 '!AS23+'[16]Изменения 1 - 18'!AS23</f>
        <v>0</v>
      </c>
      <c r="AT23" s="756">
        <f>'[16]Объемы 18-23 '!AT23+'[16]Изменения 1 - 18'!AT23</f>
        <v>0</v>
      </c>
      <c r="AU23" s="756">
        <f>'[16]Объемы 18-23 '!AU23+'[16]Изменения 1 - 18'!AU23</f>
        <v>0</v>
      </c>
      <c r="AV23" s="756">
        <f>'[16]Объемы 18-23 '!AV23+'[16]Изменения 1 - 18'!AV23</f>
        <v>0</v>
      </c>
      <c r="AW23" s="756">
        <f>'[16]Объемы 18-23 '!AW23+'[16]Изменения 1 - 18'!AW23</f>
        <v>0</v>
      </c>
      <c r="AX23" s="756">
        <f>'[16]Объемы 18-23 '!AX23+'[16]Изменения 1 - 18'!AX23</f>
        <v>0</v>
      </c>
      <c r="AY23" s="756">
        <f>'[16]Объемы 18-23 '!AY23+'[16]Изменения 1 - 18'!AY23</f>
        <v>0</v>
      </c>
      <c r="AZ23" s="756">
        <f>'[16]Объемы 18-23 '!AZ23+'[16]Изменения 1 - 18'!AZ23</f>
        <v>0</v>
      </c>
      <c r="BA23" s="759"/>
      <c r="BD23" s="759"/>
    </row>
    <row r="24" spans="1:56" x14ac:dyDescent="0.25">
      <c r="A24" s="752">
        <v>17</v>
      </c>
      <c r="B24" s="754" t="s">
        <v>163</v>
      </c>
      <c r="C24" s="755" t="s">
        <v>538</v>
      </c>
      <c r="D24" s="756">
        <f t="shared" si="1"/>
        <v>149</v>
      </c>
      <c r="E24" s="757">
        <f t="shared" ref="E24:S40" si="5">V24+AM24</f>
        <v>30</v>
      </c>
      <c r="F24" s="757">
        <f t="shared" si="5"/>
        <v>10</v>
      </c>
      <c r="G24" s="757">
        <f t="shared" si="5"/>
        <v>0</v>
      </c>
      <c r="H24" s="757">
        <f t="shared" si="5"/>
        <v>0</v>
      </c>
      <c r="I24" s="757">
        <f t="shared" si="5"/>
        <v>30</v>
      </c>
      <c r="J24" s="757">
        <f t="shared" si="5"/>
        <v>10</v>
      </c>
      <c r="K24" s="757">
        <f t="shared" si="5"/>
        <v>45</v>
      </c>
      <c r="L24" s="757">
        <f t="shared" si="5"/>
        <v>24</v>
      </c>
      <c r="M24" s="757">
        <f t="shared" si="5"/>
        <v>0</v>
      </c>
      <c r="N24" s="757">
        <f t="shared" si="5"/>
        <v>0</v>
      </c>
      <c r="O24" s="757">
        <f t="shared" si="5"/>
        <v>0</v>
      </c>
      <c r="P24" s="757">
        <f t="shared" si="5"/>
        <v>0</v>
      </c>
      <c r="Q24" s="757">
        <f t="shared" si="5"/>
        <v>0</v>
      </c>
      <c r="R24" s="757">
        <f t="shared" si="5"/>
        <v>0</v>
      </c>
      <c r="S24" s="757">
        <f t="shared" si="5"/>
        <v>0</v>
      </c>
      <c r="T24" s="757">
        <f t="shared" si="4"/>
        <v>0</v>
      </c>
      <c r="U24" s="756">
        <f t="shared" si="2"/>
        <v>149</v>
      </c>
      <c r="V24" s="756">
        <f>'[16]Объемы 18-23 '!V24+'[16]Изменения 1 - 18'!V24</f>
        <v>30</v>
      </c>
      <c r="W24" s="756">
        <f>'[16]Объемы 18-23 '!W24+'[16]Изменения 1 - 18'!W24</f>
        <v>10</v>
      </c>
      <c r="X24" s="756">
        <f>'[16]Объемы 18-23 '!X24+'[16]Изменения 1 - 18'!X24</f>
        <v>0</v>
      </c>
      <c r="Y24" s="756">
        <f>'[16]Объемы 18-23 '!Y24+'[16]Изменения 1 - 18'!Y24</f>
        <v>0</v>
      </c>
      <c r="Z24" s="756">
        <f>'[16]Объемы 18-23 '!Z24+'[16]Изменения 1 - 18'!Z24</f>
        <v>30</v>
      </c>
      <c r="AA24" s="756">
        <f>'[16]Объемы 18-23 '!AA24+'[16]Изменения 1 - 18'!AA24</f>
        <v>10</v>
      </c>
      <c r="AB24" s="756">
        <f>'[16]Объемы 18-23 '!AB24+'[16]Изменения 1 - 18'!AB24</f>
        <v>45</v>
      </c>
      <c r="AC24" s="756">
        <f>'[16]Объемы 18-23 '!AC24+'[16]Изменения 1 - 18'!AC24</f>
        <v>24</v>
      </c>
      <c r="AD24" s="756">
        <f>'[16]Объемы 18-23 '!AD24+'[16]Изменения 1 - 18'!AD24</f>
        <v>0</v>
      </c>
      <c r="AE24" s="756">
        <f>'[16]Объемы 18-23 '!AE24+'[16]Изменения 1 - 18'!AE24</f>
        <v>0</v>
      </c>
      <c r="AF24" s="756">
        <f>'[16]Объемы 18-23 '!AF24+'[16]Изменения 1 - 18'!AF24</f>
        <v>0</v>
      </c>
      <c r="AG24" s="756">
        <f>'[16]Объемы 18-23 '!AG24+'[16]Изменения 1 - 18'!AG24</f>
        <v>0</v>
      </c>
      <c r="AH24" s="756">
        <f>'[16]Объемы 18-23 '!AH24+'[16]Изменения 1 - 18'!AH24</f>
        <v>0</v>
      </c>
      <c r="AI24" s="756">
        <f>'[16]Объемы 18-23 '!AI24+'[16]Изменения 1 - 18'!AI24</f>
        <v>0</v>
      </c>
      <c r="AJ24" s="756">
        <f>'[16]Объемы 18-23 '!AJ24+'[16]Изменения 1 - 18'!AJ24</f>
        <v>0</v>
      </c>
      <c r="AK24" s="756">
        <f>'[16]Объемы 18-23 '!AK24+'[16]Изменения 1 - 18'!AK24</f>
        <v>0</v>
      </c>
      <c r="AL24" s="758">
        <f t="shared" si="3"/>
        <v>0</v>
      </c>
      <c r="AM24" s="756">
        <f>'[16]Объемы 18-23 '!AM24+'[16]Изменения 1 - 18'!AM24</f>
        <v>0</v>
      </c>
      <c r="AN24" s="756">
        <f>'[16]Объемы 18-23 '!AN24+'[16]Изменения 1 - 18'!AN24</f>
        <v>0</v>
      </c>
      <c r="AO24" s="756">
        <f>'[16]Объемы 18-23 '!AO24+'[16]Изменения 1 - 18'!AO24</f>
        <v>0</v>
      </c>
      <c r="AP24" s="756">
        <f>'[16]Объемы 18-23 '!AP24+'[16]Изменения 1 - 18'!AP24</f>
        <v>0</v>
      </c>
      <c r="AQ24" s="756">
        <f>'[16]Объемы 18-23 '!AQ24+'[16]Изменения 1 - 18'!AQ24</f>
        <v>0</v>
      </c>
      <c r="AR24" s="756">
        <f>'[16]Объемы 18-23 '!AR24+'[16]Изменения 1 - 18'!AR24</f>
        <v>0</v>
      </c>
      <c r="AS24" s="756">
        <f>'[16]Объемы 18-23 '!AS24+'[16]Изменения 1 - 18'!AS24</f>
        <v>0</v>
      </c>
      <c r="AT24" s="756">
        <f>'[16]Объемы 18-23 '!AT24+'[16]Изменения 1 - 18'!AT24</f>
        <v>0</v>
      </c>
      <c r="AU24" s="756">
        <f>'[16]Объемы 18-23 '!AU24+'[16]Изменения 1 - 18'!AU24</f>
        <v>0</v>
      </c>
      <c r="AV24" s="756">
        <f>'[16]Объемы 18-23 '!AV24+'[16]Изменения 1 - 18'!AV24</f>
        <v>0</v>
      </c>
      <c r="AW24" s="756">
        <f>'[16]Объемы 18-23 '!AW24+'[16]Изменения 1 - 18'!AW24</f>
        <v>0</v>
      </c>
      <c r="AX24" s="756">
        <f>'[16]Объемы 18-23 '!AX24+'[16]Изменения 1 - 18'!AX24</f>
        <v>0</v>
      </c>
      <c r="AY24" s="756">
        <f>'[16]Объемы 18-23 '!AY24+'[16]Изменения 1 - 18'!AY24</f>
        <v>0</v>
      </c>
      <c r="AZ24" s="756">
        <f>'[16]Объемы 18-23 '!AZ24+'[16]Изменения 1 - 18'!AZ24</f>
        <v>0</v>
      </c>
      <c r="BA24" s="759"/>
      <c r="BD24" s="759"/>
    </row>
    <row r="25" spans="1:56" x14ac:dyDescent="0.25">
      <c r="A25" s="752">
        <v>18</v>
      </c>
      <c r="B25" s="754" t="s">
        <v>165</v>
      </c>
      <c r="C25" s="755" t="s">
        <v>539</v>
      </c>
      <c r="D25" s="756">
        <f t="shared" si="1"/>
        <v>849</v>
      </c>
      <c r="E25" s="757">
        <f t="shared" si="5"/>
        <v>0</v>
      </c>
      <c r="F25" s="757">
        <f t="shared" si="5"/>
        <v>0</v>
      </c>
      <c r="G25" s="757">
        <f t="shared" si="5"/>
        <v>0</v>
      </c>
      <c r="H25" s="757">
        <f t="shared" si="5"/>
        <v>0</v>
      </c>
      <c r="I25" s="757">
        <f t="shared" si="5"/>
        <v>429</v>
      </c>
      <c r="J25" s="757">
        <f t="shared" si="5"/>
        <v>420</v>
      </c>
      <c r="K25" s="757">
        <f t="shared" si="5"/>
        <v>0</v>
      </c>
      <c r="L25" s="757">
        <f t="shared" si="5"/>
        <v>0</v>
      </c>
      <c r="M25" s="757">
        <f t="shared" si="5"/>
        <v>0</v>
      </c>
      <c r="N25" s="757">
        <f t="shared" si="5"/>
        <v>0</v>
      </c>
      <c r="O25" s="757">
        <f t="shared" si="5"/>
        <v>0</v>
      </c>
      <c r="P25" s="757">
        <f t="shared" si="5"/>
        <v>0</v>
      </c>
      <c r="Q25" s="757">
        <f t="shared" si="5"/>
        <v>0</v>
      </c>
      <c r="R25" s="757">
        <f t="shared" si="5"/>
        <v>0</v>
      </c>
      <c r="S25" s="757">
        <f t="shared" si="5"/>
        <v>0</v>
      </c>
      <c r="T25" s="757">
        <f t="shared" si="4"/>
        <v>0</v>
      </c>
      <c r="U25" s="756">
        <f t="shared" si="2"/>
        <v>849</v>
      </c>
      <c r="V25" s="756">
        <f>'[16]Объемы 18-23 '!V25+'[16]Изменения 1 - 18'!V25</f>
        <v>0</v>
      </c>
      <c r="W25" s="756">
        <f>'[16]Объемы 18-23 '!W25+'[16]Изменения 1 - 18'!W25</f>
        <v>0</v>
      </c>
      <c r="X25" s="756">
        <f>'[16]Объемы 18-23 '!X25+'[16]Изменения 1 - 18'!X25</f>
        <v>0</v>
      </c>
      <c r="Y25" s="756">
        <f>'[16]Объемы 18-23 '!Y25+'[16]Изменения 1 - 18'!Y25</f>
        <v>0</v>
      </c>
      <c r="Z25" s="756">
        <f>'[16]Объемы 18-23 '!Z25+'[16]Изменения 1 - 18'!Z25</f>
        <v>429</v>
      </c>
      <c r="AA25" s="756">
        <f>'[16]Объемы 18-23 '!AA25+'[16]Изменения 1 - 18'!AA25</f>
        <v>420</v>
      </c>
      <c r="AB25" s="756">
        <f>'[16]Объемы 18-23 '!AB25+'[16]Изменения 1 - 18'!AB25</f>
        <v>0</v>
      </c>
      <c r="AC25" s="756">
        <f>'[16]Объемы 18-23 '!AC25+'[16]Изменения 1 - 18'!AC25</f>
        <v>0</v>
      </c>
      <c r="AD25" s="756">
        <f>'[16]Объемы 18-23 '!AD25+'[16]Изменения 1 - 18'!AD25</f>
        <v>0</v>
      </c>
      <c r="AE25" s="756">
        <f>'[16]Объемы 18-23 '!AE25+'[16]Изменения 1 - 18'!AE25</f>
        <v>0</v>
      </c>
      <c r="AF25" s="756">
        <f>'[16]Объемы 18-23 '!AF25+'[16]Изменения 1 - 18'!AF25</f>
        <v>0</v>
      </c>
      <c r="AG25" s="756">
        <f>'[16]Объемы 18-23 '!AG25+'[16]Изменения 1 - 18'!AG25</f>
        <v>0</v>
      </c>
      <c r="AH25" s="756">
        <f>'[16]Объемы 18-23 '!AH25+'[16]Изменения 1 - 18'!AH25</f>
        <v>0</v>
      </c>
      <c r="AI25" s="756">
        <f>'[16]Объемы 18-23 '!AI25+'[16]Изменения 1 - 18'!AI25</f>
        <v>0</v>
      </c>
      <c r="AJ25" s="756">
        <f>'[16]Объемы 18-23 '!AJ25+'[16]Изменения 1 - 18'!AJ25</f>
        <v>0</v>
      </c>
      <c r="AK25" s="756">
        <f>'[16]Объемы 18-23 '!AK25+'[16]Изменения 1 - 18'!AK25</f>
        <v>0</v>
      </c>
      <c r="AL25" s="758">
        <f t="shared" si="3"/>
        <v>0</v>
      </c>
      <c r="AM25" s="756">
        <f>'[16]Объемы 18-23 '!AM25+'[16]Изменения 1 - 18'!AM25</f>
        <v>0</v>
      </c>
      <c r="AN25" s="756">
        <f>'[16]Объемы 18-23 '!AN25+'[16]Изменения 1 - 18'!AN25</f>
        <v>0</v>
      </c>
      <c r="AO25" s="756">
        <f>'[16]Объемы 18-23 '!AO25+'[16]Изменения 1 - 18'!AO25</f>
        <v>0</v>
      </c>
      <c r="AP25" s="756">
        <f>'[16]Объемы 18-23 '!AP25+'[16]Изменения 1 - 18'!AP25</f>
        <v>0</v>
      </c>
      <c r="AQ25" s="756">
        <f>'[16]Объемы 18-23 '!AQ25+'[16]Изменения 1 - 18'!AQ25</f>
        <v>0</v>
      </c>
      <c r="AR25" s="756">
        <f>'[16]Объемы 18-23 '!AR25+'[16]Изменения 1 - 18'!AR25</f>
        <v>0</v>
      </c>
      <c r="AS25" s="756">
        <f>'[16]Объемы 18-23 '!AS25+'[16]Изменения 1 - 18'!AS25</f>
        <v>0</v>
      </c>
      <c r="AT25" s="756">
        <f>'[16]Объемы 18-23 '!AT25+'[16]Изменения 1 - 18'!AT25</f>
        <v>0</v>
      </c>
      <c r="AU25" s="756">
        <f>'[16]Объемы 18-23 '!AU25+'[16]Изменения 1 - 18'!AU25</f>
        <v>0</v>
      </c>
      <c r="AV25" s="756">
        <f>'[16]Объемы 18-23 '!AV25+'[16]Изменения 1 - 18'!AV25</f>
        <v>0</v>
      </c>
      <c r="AW25" s="756">
        <f>'[16]Объемы 18-23 '!AW25+'[16]Изменения 1 - 18'!AW25</f>
        <v>0</v>
      </c>
      <c r="AX25" s="756">
        <f>'[16]Объемы 18-23 '!AX25+'[16]Изменения 1 - 18'!AX25</f>
        <v>0</v>
      </c>
      <c r="AY25" s="756">
        <f>'[16]Объемы 18-23 '!AY25+'[16]Изменения 1 - 18'!AY25</f>
        <v>0</v>
      </c>
      <c r="AZ25" s="756">
        <f>'[16]Объемы 18-23 '!AZ25+'[16]Изменения 1 - 18'!AZ25</f>
        <v>0</v>
      </c>
      <c r="BA25" s="759"/>
      <c r="BD25" s="759"/>
    </row>
    <row r="26" spans="1:56" x14ac:dyDescent="0.25">
      <c r="A26" s="752">
        <v>19</v>
      </c>
      <c r="B26" s="754" t="s">
        <v>169</v>
      </c>
      <c r="C26" s="755" t="s">
        <v>402</v>
      </c>
      <c r="D26" s="756">
        <f t="shared" si="1"/>
        <v>205</v>
      </c>
      <c r="E26" s="757">
        <f t="shared" si="5"/>
        <v>106</v>
      </c>
      <c r="F26" s="757">
        <f t="shared" si="5"/>
        <v>0</v>
      </c>
      <c r="G26" s="757">
        <f t="shared" si="5"/>
        <v>0</v>
      </c>
      <c r="H26" s="757">
        <f t="shared" si="5"/>
        <v>0</v>
      </c>
      <c r="I26" s="757">
        <f t="shared" si="5"/>
        <v>49</v>
      </c>
      <c r="J26" s="757">
        <f t="shared" si="5"/>
        <v>0</v>
      </c>
      <c r="K26" s="757">
        <f t="shared" si="5"/>
        <v>50</v>
      </c>
      <c r="L26" s="757">
        <f t="shared" si="5"/>
        <v>0</v>
      </c>
      <c r="M26" s="757">
        <f t="shared" si="5"/>
        <v>0</v>
      </c>
      <c r="N26" s="757">
        <f t="shared" si="5"/>
        <v>0</v>
      </c>
      <c r="O26" s="757">
        <f t="shared" si="5"/>
        <v>0</v>
      </c>
      <c r="P26" s="757">
        <f t="shared" si="5"/>
        <v>0</v>
      </c>
      <c r="Q26" s="757">
        <f t="shared" si="5"/>
        <v>0</v>
      </c>
      <c r="R26" s="757">
        <f t="shared" si="5"/>
        <v>0</v>
      </c>
      <c r="S26" s="757">
        <f t="shared" si="5"/>
        <v>0</v>
      </c>
      <c r="T26" s="757">
        <f t="shared" si="4"/>
        <v>0</v>
      </c>
      <c r="U26" s="756">
        <f t="shared" si="2"/>
        <v>205</v>
      </c>
      <c r="V26" s="756">
        <f>'[16]Объемы 18-23 '!V26+'[16]Изменения 1 - 18'!V26</f>
        <v>106</v>
      </c>
      <c r="W26" s="756">
        <f>'[16]Объемы 18-23 '!W26+'[16]Изменения 1 - 18'!W26</f>
        <v>0</v>
      </c>
      <c r="X26" s="756">
        <f>'[16]Объемы 18-23 '!X26+'[16]Изменения 1 - 18'!X26</f>
        <v>0</v>
      </c>
      <c r="Y26" s="756">
        <f>'[16]Объемы 18-23 '!Y26+'[16]Изменения 1 - 18'!Y26</f>
        <v>0</v>
      </c>
      <c r="Z26" s="756">
        <f>'[16]Объемы 18-23 '!Z26+'[16]Изменения 1 - 18'!Z26</f>
        <v>49</v>
      </c>
      <c r="AA26" s="756">
        <f>'[16]Объемы 18-23 '!AA26+'[16]Изменения 1 - 18'!AA26</f>
        <v>0</v>
      </c>
      <c r="AB26" s="756">
        <f>'[16]Объемы 18-23 '!AB26+'[16]Изменения 1 - 18'!AB26</f>
        <v>50</v>
      </c>
      <c r="AC26" s="756">
        <f>'[16]Объемы 18-23 '!AC26+'[16]Изменения 1 - 18'!AC26</f>
        <v>0</v>
      </c>
      <c r="AD26" s="756">
        <f>'[16]Объемы 18-23 '!AD26+'[16]Изменения 1 - 18'!AD26</f>
        <v>0</v>
      </c>
      <c r="AE26" s="756">
        <f>'[16]Объемы 18-23 '!AE26+'[16]Изменения 1 - 18'!AE26</f>
        <v>0</v>
      </c>
      <c r="AF26" s="756">
        <f>'[16]Объемы 18-23 '!AF26+'[16]Изменения 1 - 18'!AF26</f>
        <v>0</v>
      </c>
      <c r="AG26" s="756">
        <f>'[16]Объемы 18-23 '!AG26+'[16]Изменения 1 - 18'!AG26</f>
        <v>0</v>
      </c>
      <c r="AH26" s="756">
        <f>'[16]Объемы 18-23 '!AH26+'[16]Изменения 1 - 18'!AH26</f>
        <v>0</v>
      </c>
      <c r="AI26" s="756">
        <f>'[16]Объемы 18-23 '!AI26+'[16]Изменения 1 - 18'!AI26</f>
        <v>0</v>
      </c>
      <c r="AJ26" s="756">
        <f>'[16]Объемы 18-23 '!AJ26+'[16]Изменения 1 - 18'!AJ26</f>
        <v>0</v>
      </c>
      <c r="AK26" s="756">
        <f>'[16]Объемы 18-23 '!AK26+'[16]Изменения 1 - 18'!AK26</f>
        <v>0</v>
      </c>
      <c r="AL26" s="758">
        <f t="shared" si="3"/>
        <v>0</v>
      </c>
      <c r="AM26" s="756">
        <f>'[16]Объемы 18-23 '!AM26+'[16]Изменения 1 - 18'!AM26</f>
        <v>0</v>
      </c>
      <c r="AN26" s="756">
        <f>'[16]Объемы 18-23 '!AN26+'[16]Изменения 1 - 18'!AN26</f>
        <v>0</v>
      </c>
      <c r="AO26" s="756">
        <f>'[16]Объемы 18-23 '!AO26+'[16]Изменения 1 - 18'!AO26</f>
        <v>0</v>
      </c>
      <c r="AP26" s="756">
        <f>'[16]Объемы 18-23 '!AP26+'[16]Изменения 1 - 18'!AP26</f>
        <v>0</v>
      </c>
      <c r="AQ26" s="756">
        <f>'[16]Объемы 18-23 '!AQ26+'[16]Изменения 1 - 18'!AQ26</f>
        <v>0</v>
      </c>
      <c r="AR26" s="756">
        <f>'[16]Объемы 18-23 '!AR26+'[16]Изменения 1 - 18'!AR26</f>
        <v>0</v>
      </c>
      <c r="AS26" s="756">
        <f>'[16]Объемы 18-23 '!AS26+'[16]Изменения 1 - 18'!AS26</f>
        <v>0</v>
      </c>
      <c r="AT26" s="756">
        <f>'[16]Объемы 18-23 '!AT26+'[16]Изменения 1 - 18'!AT26</f>
        <v>0</v>
      </c>
      <c r="AU26" s="756">
        <f>'[16]Объемы 18-23 '!AU26+'[16]Изменения 1 - 18'!AU26</f>
        <v>0</v>
      </c>
      <c r="AV26" s="756">
        <f>'[16]Объемы 18-23 '!AV26+'[16]Изменения 1 - 18'!AV26</f>
        <v>0</v>
      </c>
      <c r="AW26" s="756">
        <f>'[16]Объемы 18-23 '!AW26+'[16]Изменения 1 - 18'!AW26</f>
        <v>0</v>
      </c>
      <c r="AX26" s="756">
        <f>'[16]Объемы 18-23 '!AX26+'[16]Изменения 1 - 18'!AX26</f>
        <v>0</v>
      </c>
      <c r="AY26" s="756">
        <f>'[16]Объемы 18-23 '!AY26+'[16]Изменения 1 - 18'!AY26</f>
        <v>0</v>
      </c>
      <c r="AZ26" s="756">
        <f>'[16]Объемы 18-23 '!AZ26+'[16]Изменения 1 - 18'!AZ26</f>
        <v>0</v>
      </c>
      <c r="BA26" s="759"/>
      <c r="BD26" s="759"/>
    </row>
    <row r="27" spans="1:56" x14ac:dyDescent="0.25">
      <c r="A27" s="752">
        <v>20</v>
      </c>
      <c r="B27" s="754" t="s">
        <v>278</v>
      </c>
      <c r="C27" s="755" t="s">
        <v>520</v>
      </c>
      <c r="D27" s="756">
        <f t="shared" si="1"/>
        <v>98</v>
      </c>
      <c r="E27" s="757">
        <f t="shared" si="5"/>
        <v>27</v>
      </c>
      <c r="F27" s="757">
        <f t="shared" si="5"/>
        <v>13</v>
      </c>
      <c r="G27" s="757">
        <f t="shared" si="5"/>
        <v>8</v>
      </c>
      <c r="H27" s="757">
        <f t="shared" si="5"/>
        <v>3</v>
      </c>
      <c r="I27" s="757">
        <f t="shared" si="5"/>
        <v>0</v>
      </c>
      <c r="J27" s="757">
        <f t="shared" si="5"/>
        <v>36</v>
      </c>
      <c r="K27" s="757">
        <f t="shared" si="5"/>
        <v>0</v>
      </c>
      <c r="L27" s="757">
        <f t="shared" si="5"/>
        <v>0</v>
      </c>
      <c r="M27" s="757">
        <f t="shared" si="5"/>
        <v>0</v>
      </c>
      <c r="N27" s="757">
        <f t="shared" si="5"/>
        <v>0</v>
      </c>
      <c r="O27" s="757">
        <f t="shared" si="5"/>
        <v>5</v>
      </c>
      <c r="P27" s="757">
        <f t="shared" si="5"/>
        <v>6</v>
      </c>
      <c r="Q27" s="757">
        <f t="shared" si="5"/>
        <v>0</v>
      </c>
      <c r="R27" s="757">
        <f t="shared" si="5"/>
        <v>0</v>
      </c>
      <c r="S27" s="757">
        <f t="shared" si="5"/>
        <v>0</v>
      </c>
      <c r="T27" s="757">
        <f t="shared" si="4"/>
        <v>0</v>
      </c>
      <c r="U27" s="756">
        <f t="shared" si="2"/>
        <v>98</v>
      </c>
      <c r="V27" s="756">
        <f>'[16]Объемы 18-23 '!V27+'[16]Изменения 1 - 18'!V27</f>
        <v>27</v>
      </c>
      <c r="W27" s="756">
        <f>'[16]Объемы 18-23 '!W27+'[16]Изменения 1 - 18'!W27</f>
        <v>13</v>
      </c>
      <c r="X27" s="756">
        <f>'[16]Объемы 18-23 '!X27+'[16]Изменения 1 - 18'!X27</f>
        <v>8</v>
      </c>
      <c r="Y27" s="756">
        <f>'[16]Объемы 18-23 '!Y27+'[16]Изменения 1 - 18'!Y27</f>
        <v>3</v>
      </c>
      <c r="Z27" s="756">
        <f>'[16]Объемы 18-23 '!Z27+'[16]Изменения 1 - 18'!Z27</f>
        <v>0</v>
      </c>
      <c r="AA27" s="756">
        <f>'[16]Объемы 18-23 '!AA27+'[16]Изменения 1 - 18'!AA27</f>
        <v>36</v>
      </c>
      <c r="AB27" s="756">
        <f>'[16]Объемы 18-23 '!AB27+'[16]Изменения 1 - 18'!AB27</f>
        <v>0</v>
      </c>
      <c r="AC27" s="756">
        <f>'[16]Объемы 18-23 '!AC27+'[16]Изменения 1 - 18'!AC27</f>
        <v>0</v>
      </c>
      <c r="AD27" s="756">
        <f>'[16]Объемы 18-23 '!AD27+'[16]Изменения 1 - 18'!AD27</f>
        <v>0</v>
      </c>
      <c r="AE27" s="756">
        <f>'[16]Объемы 18-23 '!AE27+'[16]Изменения 1 - 18'!AE27</f>
        <v>0</v>
      </c>
      <c r="AF27" s="756">
        <f>'[16]Объемы 18-23 '!AF27+'[16]Изменения 1 - 18'!AF27</f>
        <v>5</v>
      </c>
      <c r="AG27" s="756">
        <f>'[16]Объемы 18-23 '!AG27+'[16]Изменения 1 - 18'!AG27</f>
        <v>6</v>
      </c>
      <c r="AH27" s="756">
        <f>'[16]Объемы 18-23 '!AH27+'[16]Изменения 1 - 18'!AH27</f>
        <v>0</v>
      </c>
      <c r="AI27" s="756">
        <f>'[16]Объемы 18-23 '!AI27+'[16]Изменения 1 - 18'!AI27</f>
        <v>0</v>
      </c>
      <c r="AJ27" s="756">
        <f>'[16]Объемы 18-23 '!AJ27+'[16]Изменения 1 - 18'!AJ27</f>
        <v>0</v>
      </c>
      <c r="AK27" s="756">
        <f>'[16]Объемы 18-23 '!AK27+'[16]Изменения 1 - 18'!AK27</f>
        <v>0</v>
      </c>
      <c r="AL27" s="758">
        <f t="shared" si="3"/>
        <v>0</v>
      </c>
      <c r="AM27" s="756">
        <f>'[16]Объемы 18-23 '!AM27+'[16]Изменения 1 - 18'!AM27</f>
        <v>0</v>
      </c>
      <c r="AN27" s="756">
        <f>'[16]Объемы 18-23 '!AN27+'[16]Изменения 1 - 18'!AN27</f>
        <v>0</v>
      </c>
      <c r="AO27" s="756">
        <f>'[16]Объемы 18-23 '!AO27+'[16]Изменения 1 - 18'!AO27</f>
        <v>0</v>
      </c>
      <c r="AP27" s="756">
        <f>'[16]Объемы 18-23 '!AP27+'[16]Изменения 1 - 18'!AP27</f>
        <v>0</v>
      </c>
      <c r="AQ27" s="756">
        <f>'[16]Объемы 18-23 '!AQ27+'[16]Изменения 1 - 18'!AQ27</f>
        <v>0</v>
      </c>
      <c r="AR27" s="756">
        <f>'[16]Объемы 18-23 '!AR27+'[16]Изменения 1 - 18'!AR27</f>
        <v>0</v>
      </c>
      <c r="AS27" s="756">
        <f>'[16]Объемы 18-23 '!AS27+'[16]Изменения 1 - 18'!AS27</f>
        <v>0</v>
      </c>
      <c r="AT27" s="756">
        <f>'[16]Объемы 18-23 '!AT27+'[16]Изменения 1 - 18'!AT27</f>
        <v>0</v>
      </c>
      <c r="AU27" s="756">
        <f>'[16]Объемы 18-23 '!AU27+'[16]Изменения 1 - 18'!AU27</f>
        <v>0</v>
      </c>
      <c r="AV27" s="756">
        <f>'[16]Объемы 18-23 '!AV27+'[16]Изменения 1 - 18'!AV27</f>
        <v>0</v>
      </c>
      <c r="AW27" s="756">
        <f>'[16]Объемы 18-23 '!AW27+'[16]Изменения 1 - 18'!AW27</f>
        <v>0</v>
      </c>
      <c r="AX27" s="756">
        <f>'[16]Объемы 18-23 '!AX27+'[16]Изменения 1 - 18'!AX27</f>
        <v>0</v>
      </c>
      <c r="AY27" s="756">
        <f>'[16]Объемы 18-23 '!AY27+'[16]Изменения 1 - 18'!AY27</f>
        <v>0</v>
      </c>
      <c r="AZ27" s="756">
        <f>'[16]Объемы 18-23 '!AZ27+'[16]Изменения 1 - 18'!AZ27</f>
        <v>0</v>
      </c>
      <c r="BA27" s="759"/>
      <c r="BD27" s="759"/>
    </row>
    <row r="28" spans="1:56" x14ac:dyDescent="0.25">
      <c r="A28" s="752">
        <v>21</v>
      </c>
      <c r="B28" s="754" t="s">
        <v>83</v>
      </c>
      <c r="C28" s="755" t="s">
        <v>84</v>
      </c>
      <c r="D28" s="756">
        <f t="shared" si="1"/>
        <v>248</v>
      </c>
      <c r="E28" s="757">
        <f t="shared" si="5"/>
        <v>0</v>
      </c>
      <c r="F28" s="757">
        <f t="shared" si="5"/>
        <v>0</v>
      </c>
      <c r="G28" s="757">
        <f t="shared" si="5"/>
        <v>0</v>
      </c>
      <c r="H28" s="757">
        <f t="shared" si="5"/>
        <v>0</v>
      </c>
      <c r="I28" s="757">
        <f t="shared" si="5"/>
        <v>44</v>
      </c>
      <c r="J28" s="757">
        <f t="shared" si="5"/>
        <v>45</v>
      </c>
      <c r="K28" s="757">
        <f t="shared" si="5"/>
        <v>45</v>
      </c>
      <c r="L28" s="757">
        <f t="shared" si="5"/>
        <v>45</v>
      </c>
      <c r="M28" s="757">
        <f t="shared" si="5"/>
        <v>34</v>
      </c>
      <c r="N28" s="757">
        <f t="shared" si="5"/>
        <v>35</v>
      </c>
      <c r="O28" s="757">
        <f t="shared" si="5"/>
        <v>0</v>
      </c>
      <c r="P28" s="757">
        <f t="shared" si="5"/>
        <v>0</v>
      </c>
      <c r="Q28" s="757">
        <f t="shared" si="5"/>
        <v>0</v>
      </c>
      <c r="R28" s="757">
        <f t="shared" si="5"/>
        <v>0</v>
      </c>
      <c r="S28" s="757">
        <f t="shared" si="5"/>
        <v>0</v>
      </c>
      <c r="T28" s="757">
        <f t="shared" si="4"/>
        <v>0</v>
      </c>
      <c r="U28" s="756">
        <f t="shared" si="2"/>
        <v>248</v>
      </c>
      <c r="V28" s="756">
        <f>'[16]Объемы 18-23 '!V28+'[16]Изменения 1 - 18'!V28</f>
        <v>0</v>
      </c>
      <c r="W28" s="756">
        <f>'[16]Объемы 18-23 '!W28+'[16]Изменения 1 - 18'!W28</f>
        <v>0</v>
      </c>
      <c r="X28" s="756">
        <f>'[16]Объемы 18-23 '!X28+'[16]Изменения 1 - 18'!X28</f>
        <v>0</v>
      </c>
      <c r="Y28" s="756">
        <f>'[16]Объемы 18-23 '!Y28+'[16]Изменения 1 - 18'!Y28</f>
        <v>0</v>
      </c>
      <c r="Z28" s="756">
        <f>'[16]Объемы 18-23 '!Z28+'[16]Изменения 1 - 18'!Z28</f>
        <v>44</v>
      </c>
      <c r="AA28" s="756">
        <f>'[16]Объемы 18-23 '!AA28+'[16]Изменения 1 - 18'!AA28</f>
        <v>45</v>
      </c>
      <c r="AB28" s="756">
        <f>'[16]Объемы 18-23 '!AB28+'[16]Изменения 1 - 18'!AB28</f>
        <v>45</v>
      </c>
      <c r="AC28" s="756">
        <f>'[16]Объемы 18-23 '!AC28+'[16]Изменения 1 - 18'!AC28</f>
        <v>45</v>
      </c>
      <c r="AD28" s="756">
        <f>'[16]Объемы 18-23 '!AD28+'[16]Изменения 1 - 18'!AD28</f>
        <v>34</v>
      </c>
      <c r="AE28" s="756">
        <f>'[16]Объемы 18-23 '!AE28+'[16]Изменения 1 - 18'!AE28</f>
        <v>35</v>
      </c>
      <c r="AF28" s="756">
        <f>'[16]Объемы 18-23 '!AF28+'[16]Изменения 1 - 18'!AF28</f>
        <v>0</v>
      </c>
      <c r="AG28" s="756">
        <f>'[16]Объемы 18-23 '!AG28+'[16]Изменения 1 - 18'!AG28</f>
        <v>0</v>
      </c>
      <c r="AH28" s="756">
        <f>'[16]Объемы 18-23 '!AH28+'[16]Изменения 1 - 18'!AH28</f>
        <v>0</v>
      </c>
      <c r="AI28" s="756">
        <f>'[16]Объемы 18-23 '!AI28+'[16]Изменения 1 - 18'!AI28</f>
        <v>0</v>
      </c>
      <c r="AJ28" s="756">
        <f>'[16]Объемы 18-23 '!AJ28+'[16]Изменения 1 - 18'!AJ28</f>
        <v>0</v>
      </c>
      <c r="AK28" s="756">
        <f>'[16]Объемы 18-23 '!AK28+'[16]Изменения 1 - 18'!AK28</f>
        <v>0</v>
      </c>
      <c r="AL28" s="758">
        <f t="shared" si="3"/>
        <v>0</v>
      </c>
      <c r="AM28" s="756">
        <f>'[16]Объемы 18-23 '!AM28+'[16]Изменения 1 - 18'!AM28</f>
        <v>0</v>
      </c>
      <c r="AN28" s="756">
        <f>'[16]Объемы 18-23 '!AN28+'[16]Изменения 1 - 18'!AN28</f>
        <v>0</v>
      </c>
      <c r="AO28" s="756">
        <f>'[16]Объемы 18-23 '!AO28+'[16]Изменения 1 - 18'!AO28</f>
        <v>0</v>
      </c>
      <c r="AP28" s="756">
        <f>'[16]Объемы 18-23 '!AP28+'[16]Изменения 1 - 18'!AP28</f>
        <v>0</v>
      </c>
      <c r="AQ28" s="756">
        <f>'[16]Объемы 18-23 '!AQ28+'[16]Изменения 1 - 18'!AQ28</f>
        <v>0</v>
      </c>
      <c r="AR28" s="756">
        <f>'[16]Объемы 18-23 '!AR28+'[16]Изменения 1 - 18'!AR28</f>
        <v>0</v>
      </c>
      <c r="AS28" s="756">
        <f>'[16]Объемы 18-23 '!AS28+'[16]Изменения 1 - 18'!AS28</f>
        <v>0</v>
      </c>
      <c r="AT28" s="756">
        <f>'[16]Объемы 18-23 '!AT28+'[16]Изменения 1 - 18'!AT28</f>
        <v>0</v>
      </c>
      <c r="AU28" s="756">
        <f>'[16]Объемы 18-23 '!AU28+'[16]Изменения 1 - 18'!AU28</f>
        <v>0</v>
      </c>
      <c r="AV28" s="756">
        <f>'[16]Объемы 18-23 '!AV28+'[16]Изменения 1 - 18'!AV28</f>
        <v>0</v>
      </c>
      <c r="AW28" s="756">
        <f>'[16]Объемы 18-23 '!AW28+'[16]Изменения 1 - 18'!AW28</f>
        <v>0</v>
      </c>
      <c r="AX28" s="756">
        <f>'[16]Объемы 18-23 '!AX28+'[16]Изменения 1 - 18'!AX28</f>
        <v>0</v>
      </c>
      <c r="AY28" s="756">
        <f>'[16]Объемы 18-23 '!AY28+'[16]Изменения 1 - 18'!AY28</f>
        <v>0</v>
      </c>
      <c r="AZ28" s="756">
        <f>'[16]Объемы 18-23 '!AZ28+'[16]Изменения 1 - 18'!AZ28</f>
        <v>0</v>
      </c>
      <c r="BA28" s="759"/>
      <c r="BD28" s="759"/>
    </row>
    <row r="29" spans="1:56" x14ac:dyDescent="0.25">
      <c r="A29" s="752">
        <v>22</v>
      </c>
      <c r="B29" s="754" t="s">
        <v>276</v>
      </c>
      <c r="C29" s="755" t="s">
        <v>540</v>
      </c>
      <c r="D29" s="756">
        <f t="shared" si="1"/>
        <v>636</v>
      </c>
      <c r="E29" s="757">
        <f t="shared" si="5"/>
        <v>21</v>
      </c>
      <c r="F29" s="757">
        <f t="shared" si="5"/>
        <v>117</v>
      </c>
      <c r="G29" s="757">
        <f t="shared" si="5"/>
        <v>48</v>
      </c>
      <c r="H29" s="757">
        <f t="shared" si="5"/>
        <v>70</v>
      </c>
      <c r="I29" s="757">
        <f t="shared" si="5"/>
        <v>0</v>
      </c>
      <c r="J29" s="757">
        <f t="shared" si="5"/>
        <v>0</v>
      </c>
      <c r="K29" s="757">
        <f t="shared" si="5"/>
        <v>0</v>
      </c>
      <c r="L29" s="757">
        <f t="shared" si="5"/>
        <v>0</v>
      </c>
      <c r="M29" s="757">
        <f t="shared" si="5"/>
        <v>70</v>
      </c>
      <c r="N29" s="757">
        <f t="shared" si="5"/>
        <v>140</v>
      </c>
      <c r="O29" s="757">
        <f t="shared" si="5"/>
        <v>70</v>
      </c>
      <c r="P29" s="757">
        <f t="shared" si="5"/>
        <v>100</v>
      </c>
      <c r="Q29" s="757">
        <f t="shared" si="5"/>
        <v>0</v>
      </c>
      <c r="R29" s="757">
        <f t="shared" si="5"/>
        <v>0</v>
      </c>
      <c r="S29" s="757">
        <f t="shared" si="5"/>
        <v>0</v>
      </c>
      <c r="T29" s="757">
        <f t="shared" si="4"/>
        <v>0</v>
      </c>
      <c r="U29" s="756">
        <f t="shared" si="2"/>
        <v>636</v>
      </c>
      <c r="V29" s="756">
        <f>'[16]Объемы 18-23 '!V29+'[16]Изменения 1 - 18'!V29</f>
        <v>21</v>
      </c>
      <c r="W29" s="756">
        <f>'[16]Объемы 18-23 '!W29+'[16]Изменения 1 - 18'!W29</f>
        <v>117</v>
      </c>
      <c r="X29" s="756">
        <f>'[16]Объемы 18-23 '!X29+'[16]Изменения 1 - 18'!X29</f>
        <v>48</v>
      </c>
      <c r="Y29" s="756">
        <f>'[16]Объемы 18-23 '!Y29+'[16]Изменения 1 - 18'!Y29</f>
        <v>70</v>
      </c>
      <c r="Z29" s="756">
        <f>'[16]Объемы 18-23 '!Z29+'[16]Изменения 1 - 18'!Z29</f>
        <v>0</v>
      </c>
      <c r="AA29" s="756">
        <f>'[16]Объемы 18-23 '!AA29+'[16]Изменения 1 - 18'!AA29</f>
        <v>0</v>
      </c>
      <c r="AB29" s="756">
        <f>'[16]Объемы 18-23 '!AB29+'[16]Изменения 1 - 18'!AB29</f>
        <v>0</v>
      </c>
      <c r="AC29" s="756">
        <f>'[16]Объемы 18-23 '!AC29+'[16]Изменения 1 - 18'!AC29</f>
        <v>0</v>
      </c>
      <c r="AD29" s="756">
        <f>'[16]Объемы 18-23 '!AD29+'[16]Изменения 1 - 18'!AD29</f>
        <v>70</v>
      </c>
      <c r="AE29" s="756">
        <f>'[16]Объемы 18-23 '!AE29+'[16]Изменения 1 - 18'!AE29</f>
        <v>140</v>
      </c>
      <c r="AF29" s="756">
        <f>'[16]Объемы 18-23 '!AF29+'[16]Изменения 1 - 18'!AF29</f>
        <v>70</v>
      </c>
      <c r="AG29" s="756">
        <f>'[16]Объемы 18-23 '!AG29+'[16]Изменения 1 - 18'!AG29</f>
        <v>100</v>
      </c>
      <c r="AH29" s="756">
        <f>'[16]Объемы 18-23 '!AH29+'[16]Изменения 1 - 18'!AH29</f>
        <v>0</v>
      </c>
      <c r="AI29" s="756">
        <f>'[16]Объемы 18-23 '!AI29+'[16]Изменения 1 - 18'!AI29</f>
        <v>0</v>
      </c>
      <c r="AJ29" s="756">
        <f>'[16]Объемы 18-23 '!AJ29+'[16]Изменения 1 - 18'!AJ29</f>
        <v>0</v>
      </c>
      <c r="AK29" s="756">
        <f>'[16]Объемы 18-23 '!AK29+'[16]Изменения 1 - 18'!AK29</f>
        <v>0</v>
      </c>
      <c r="AL29" s="758">
        <f t="shared" si="3"/>
        <v>0</v>
      </c>
      <c r="AM29" s="756">
        <f>'[16]Объемы 18-23 '!AM29+'[16]Изменения 1 - 18'!AM29</f>
        <v>0</v>
      </c>
      <c r="AN29" s="756">
        <f>'[16]Объемы 18-23 '!AN29+'[16]Изменения 1 - 18'!AN29</f>
        <v>0</v>
      </c>
      <c r="AO29" s="756">
        <f>'[16]Объемы 18-23 '!AO29+'[16]Изменения 1 - 18'!AO29</f>
        <v>0</v>
      </c>
      <c r="AP29" s="756">
        <f>'[16]Объемы 18-23 '!AP29+'[16]Изменения 1 - 18'!AP29</f>
        <v>0</v>
      </c>
      <c r="AQ29" s="756">
        <f>'[16]Объемы 18-23 '!AQ29+'[16]Изменения 1 - 18'!AQ29</f>
        <v>0</v>
      </c>
      <c r="AR29" s="756">
        <f>'[16]Объемы 18-23 '!AR29+'[16]Изменения 1 - 18'!AR29</f>
        <v>0</v>
      </c>
      <c r="AS29" s="756">
        <f>'[16]Объемы 18-23 '!AS29+'[16]Изменения 1 - 18'!AS29</f>
        <v>0</v>
      </c>
      <c r="AT29" s="756">
        <f>'[16]Объемы 18-23 '!AT29+'[16]Изменения 1 - 18'!AT29</f>
        <v>0</v>
      </c>
      <c r="AU29" s="756">
        <f>'[16]Объемы 18-23 '!AU29+'[16]Изменения 1 - 18'!AU29</f>
        <v>0</v>
      </c>
      <c r="AV29" s="756">
        <f>'[16]Объемы 18-23 '!AV29+'[16]Изменения 1 - 18'!AV29</f>
        <v>0</v>
      </c>
      <c r="AW29" s="756">
        <f>'[16]Объемы 18-23 '!AW29+'[16]Изменения 1 - 18'!AW29</f>
        <v>0</v>
      </c>
      <c r="AX29" s="756">
        <f>'[16]Объемы 18-23 '!AX29+'[16]Изменения 1 - 18'!AX29</f>
        <v>0</v>
      </c>
      <c r="AY29" s="756">
        <f>'[16]Объемы 18-23 '!AY29+'[16]Изменения 1 - 18'!AY29</f>
        <v>0</v>
      </c>
      <c r="AZ29" s="756">
        <f>'[16]Объемы 18-23 '!AZ29+'[16]Изменения 1 - 18'!AZ29</f>
        <v>0</v>
      </c>
      <c r="BA29" s="759"/>
      <c r="BD29" s="759"/>
    </row>
    <row r="30" spans="1:56" ht="22.5" x14ac:dyDescent="0.25">
      <c r="A30" s="752">
        <v>23</v>
      </c>
      <c r="B30" s="754" t="s">
        <v>141</v>
      </c>
      <c r="C30" s="755" t="s">
        <v>541</v>
      </c>
      <c r="D30" s="756">
        <f t="shared" si="1"/>
        <v>150</v>
      </c>
      <c r="E30" s="757">
        <f t="shared" si="5"/>
        <v>35</v>
      </c>
      <c r="F30" s="757">
        <f t="shared" si="5"/>
        <v>0</v>
      </c>
      <c r="G30" s="757">
        <f t="shared" si="5"/>
        <v>104</v>
      </c>
      <c r="H30" s="757">
        <f t="shared" si="5"/>
        <v>0</v>
      </c>
      <c r="I30" s="757">
        <f t="shared" si="5"/>
        <v>7</v>
      </c>
      <c r="J30" s="757">
        <f t="shared" si="5"/>
        <v>4</v>
      </c>
      <c r="K30" s="757">
        <f t="shared" si="5"/>
        <v>0</v>
      </c>
      <c r="L30" s="757">
        <f t="shared" si="5"/>
        <v>0</v>
      </c>
      <c r="M30" s="757">
        <f t="shared" si="5"/>
        <v>0</v>
      </c>
      <c r="N30" s="757">
        <f t="shared" si="5"/>
        <v>0</v>
      </c>
      <c r="O30" s="757">
        <f t="shared" si="5"/>
        <v>0</v>
      </c>
      <c r="P30" s="757">
        <f t="shared" si="5"/>
        <v>0</v>
      </c>
      <c r="Q30" s="757">
        <f t="shared" si="5"/>
        <v>0</v>
      </c>
      <c r="R30" s="757">
        <f t="shared" si="5"/>
        <v>0</v>
      </c>
      <c r="S30" s="757">
        <f t="shared" si="5"/>
        <v>0</v>
      </c>
      <c r="T30" s="757">
        <f t="shared" si="4"/>
        <v>0</v>
      </c>
      <c r="U30" s="756">
        <f t="shared" si="2"/>
        <v>150</v>
      </c>
      <c r="V30" s="756">
        <f>'[16]Объемы 18-23 '!V30+'[16]Изменения 1 - 18'!V30</f>
        <v>35</v>
      </c>
      <c r="W30" s="756">
        <f>'[16]Объемы 18-23 '!W30+'[16]Изменения 1 - 18'!W30</f>
        <v>0</v>
      </c>
      <c r="X30" s="756">
        <f>'[16]Объемы 18-23 '!X30+'[16]Изменения 1 - 18'!X30</f>
        <v>104</v>
      </c>
      <c r="Y30" s="756">
        <f>'[16]Объемы 18-23 '!Y30+'[16]Изменения 1 - 18'!Y30</f>
        <v>0</v>
      </c>
      <c r="Z30" s="756">
        <f>'[16]Объемы 18-23 '!Z30+'[16]Изменения 1 - 18'!Z30</f>
        <v>7</v>
      </c>
      <c r="AA30" s="756">
        <f>'[16]Объемы 18-23 '!AA30+'[16]Изменения 1 - 18'!AA30</f>
        <v>4</v>
      </c>
      <c r="AB30" s="756">
        <f>'[16]Объемы 18-23 '!AB30+'[16]Изменения 1 - 18'!AB30</f>
        <v>0</v>
      </c>
      <c r="AC30" s="756">
        <f>'[16]Объемы 18-23 '!AC30+'[16]Изменения 1 - 18'!AC30</f>
        <v>0</v>
      </c>
      <c r="AD30" s="756">
        <f>'[16]Объемы 18-23 '!AD30+'[16]Изменения 1 - 18'!AD30</f>
        <v>0</v>
      </c>
      <c r="AE30" s="756">
        <f>'[16]Объемы 18-23 '!AE30+'[16]Изменения 1 - 18'!AE30</f>
        <v>0</v>
      </c>
      <c r="AF30" s="756">
        <f>'[16]Объемы 18-23 '!AF30+'[16]Изменения 1 - 18'!AF30</f>
        <v>0</v>
      </c>
      <c r="AG30" s="756">
        <f>'[16]Объемы 18-23 '!AG30+'[16]Изменения 1 - 18'!AG30</f>
        <v>0</v>
      </c>
      <c r="AH30" s="756">
        <f>'[16]Объемы 18-23 '!AH30+'[16]Изменения 1 - 18'!AH30</f>
        <v>0</v>
      </c>
      <c r="AI30" s="756">
        <f>'[16]Объемы 18-23 '!AI30+'[16]Изменения 1 - 18'!AI30</f>
        <v>0</v>
      </c>
      <c r="AJ30" s="756">
        <f>'[16]Объемы 18-23 '!AJ30+'[16]Изменения 1 - 18'!AJ30</f>
        <v>0</v>
      </c>
      <c r="AK30" s="756">
        <f>'[16]Объемы 18-23 '!AK30+'[16]Изменения 1 - 18'!AK30</f>
        <v>0</v>
      </c>
      <c r="AL30" s="758">
        <f t="shared" si="3"/>
        <v>0</v>
      </c>
      <c r="AM30" s="756">
        <f>'[16]Объемы 18-23 '!AM30+'[16]Изменения 1 - 18'!AM30</f>
        <v>0</v>
      </c>
      <c r="AN30" s="756">
        <f>'[16]Объемы 18-23 '!AN30+'[16]Изменения 1 - 18'!AN30</f>
        <v>0</v>
      </c>
      <c r="AO30" s="756">
        <f>'[16]Объемы 18-23 '!AO30+'[16]Изменения 1 - 18'!AO30</f>
        <v>0</v>
      </c>
      <c r="AP30" s="756">
        <f>'[16]Объемы 18-23 '!AP30+'[16]Изменения 1 - 18'!AP30</f>
        <v>0</v>
      </c>
      <c r="AQ30" s="756">
        <f>'[16]Объемы 18-23 '!AQ30+'[16]Изменения 1 - 18'!AQ30</f>
        <v>0</v>
      </c>
      <c r="AR30" s="756">
        <f>'[16]Объемы 18-23 '!AR30+'[16]Изменения 1 - 18'!AR30</f>
        <v>0</v>
      </c>
      <c r="AS30" s="756">
        <f>'[16]Объемы 18-23 '!AS30+'[16]Изменения 1 - 18'!AS30</f>
        <v>0</v>
      </c>
      <c r="AT30" s="756">
        <f>'[16]Объемы 18-23 '!AT30+'[16]Изменения 1 - 18'!AT30</f>
        <v>0</v>
      </c>
      <c r="AU30" s="756">
        <f>'[16]Объемы 18-23 '!AU30+'[16]Изменения 1 - 18'!AU30</f>
        <v>0</v>
      </c>
      <c r="AV30" s="756">
        <f>'[16]Объемы 18-23 '!AV30+'[16]Изменения 1 - 18'!AV30</f>
        <v>0</v>
      </c>
      <c r="AW30" s="756">
        <f>'[16]Объемы 18-23 '!AW30+'[16]Изменения 1 - 18'!AW30</f>
        <v>0</v>
      </c>
      <c r="AX30" s="756">
        <f>'[16]Объемы 18-23 '!AX30+'[16]Изменения 1 - 18'!AX30</f>
        <v>0</v>
      </c>
      <c r="AY30" s="756">
        <f>'[16]Объемы 18-23 '!AY30+'[16]Изменения 1 - 18'!AY30</f>
        <v>0</v>
      </c>
      <c r="AZ30" s="756">
        <f>'[16]Объемы 18-23 '!AZ30+'[16]Изменения 1 - 18'!AZ30</f>
        <v>0</v>
      </c>
      <c r="BA30" s="759"/>
      <c r="BD30" s="759"/>
    </row>
    <row r="31" spans="1:56" ht="22.5" x14ac:dyDescent="0.25">
      <c r="A31" s="752">
        <v>24</v>
      </c>
      <c r="B31" s="754" t="s">
        <v>143</v>
      </c>
      <c r="C31" s="755" t="s">
        <v>542</v>
      </c>
      <c r="D31" s="756">
        <f t="shared" si="1"/>
        <v>209</v>
      </c>
      <c r="E31" s="757">
        <f t="shared" si="5"/>
        <v>0</v>
      </c>
      <c r="F31" s="757">
        <f t="shared" si="5"/>
        <v>0</v>
      </c>
      <c r="G31" s="757">
        <f t="shared" si="5"/>
        <v>35</v>
      </c>
      <c r="H31" s="757">
        <f t="shared" si="5"/>
        <v>35</v>
      </c>
      <c r="I31" s="757">
        <f t="shared" si="5"/>
        <v>34</v>
      </c>
      <c r="J31" s="757">
        <f t="shared" si="5"/>
        <v>35</v>
      </c>
      <c r="K31" s="757">
        <f t="shared" si="5"/>
        <v>35</v>
      </c>
      <c r="L31" s="757">
        <f t="shared" si="5"/>
        <v>35</v>
      </c>
      <c r="M31" s="757">
        <f t="shared" si="5"/>
        <v>0</v>
      </c>
      <c r="N31" s="757">
        <f t="shared" si="5"/>
        <v>0</v>
      </c>
      <c r="O31" s="757">
        <f t="shared" si="5"/>
        <v>0</v>
      </c>
      <c r="P31" s="757">
        <f t="shared" si="5"/>
        <v>0</v>
      </c>
      <c r="Q31" s="757">
        <f t="shared" si="5"/>
        <v>0</v>
      </c>
      <c r="R31" s="757">
        <f t="shared" si="5"/>
        <v>0</v>
      </c>
      <c r="S31" s="757">
        <f t="shared" si="5"/>
        <v>0</v>
      </c>
      <c r="T31" s="757">
        <f t="shared" si="4"/>
        <v>0</v>
      </c>
      <c r="U31" s="756">
        <f t="shared" si="2"/>
        <v>209</v>
      </c>
      <c r="V31" s="756">
        <f>'[16]Объемы 18-23 '!V31+'[16]Изменения 1 - 18'!V31</f>
        <v>0</v>
      </c>
      <c r="W31" s="756">
        <f>'[16]Объемы 18-23 '!W31+'[16]Изменения 1 - 18'!W31</f>
        <v>0</v>
      </c>
      <c r="X31" s="756">
        <f>'[16]Объемы 18-23 '!X31+'[16]Изменения 1 - 18'!X31</f>
        <v>35</v>
      </c>
      <c r="Y31" s="756">
        <f>'[16]Объемы 18-23 '!Y31+'[16]Изменения 1 - 18'!Y31</f>
        <v>35</v>
      </c>
      <c r="Z31" s="756">
        <f>'[16]Объемы 18-23 '!Z31+'[16]Изменения 1 - 18'!Z31</f>
        <v>34</v>
      </c>
      <c r="AA31" s="756">
        <f>'[16]Объемы 18-23 '!AA31+'[16]Изменения 1 - 18'!AA31</f>
        <v>35</v>
      </c>
      <c r="AB31" s="756">
        <f>'[16]Объемы 18-23 '!AB31+'[16]Изменения 1 - 18'!AB31</f>
        <v>35</v>
      </c>
      <c r="AC31" s="756">
        <f>'[16]Объемы 18-23 '!AC31+'[16]Изменения 1 - 18'!AC31</f>
        <v>35</v>
      </c>
      <c r="AD31" s="756">
        <f>'[16]Объемы 18-23 '!AD31+'[16]Изменения 1 - 18'!AD31</f>
        <v>0</v>
      </c>
      <c r="AE31" s="756">
        <f>'[16]Объемы 18-23 '!AE31+'[16]Изменения 1 - 18'!AE31</f>
        <v>0</v>
      </c>
      <c r="AF31" s="756">
        <f>'[16]Объемы 18-23 '!AF31+'[16]Изменения 1 - 18'!AF31</f>
        <v>0</v>
      </c>
      <c r="AG31" s="756">
        <f>'[16]Объемы 18-23 '!AG31+'[16]Изменения 1 - 18'!AG31</f>
        <v>0</v>
      </c>
      <c r="AH31" s="756">
        <f>'[16]Объемы 18-23 '!AH31+'[16]Изменения 1 - 18'!AH31</f>
        <v>0</v>
      </c>
      <c r="AI31" s="756">
        <f>'[16]Объемы 18-23 '!AI31+'[16]Изменения 1 - 18'!AI31</f>
        <v>0</v>
      </c>
      <c r="AJ31" s="756">
        <f>'[16]Объемы 18-23 '!AJ31+'[16]Изменения 1 - 18'!AJ31</f>
        <v>0</v>
      </c>
      <c r="AK31" s="756">
        <f>'[16]Объемы 18-23 '!AK31+'[16]Изменения 1 - 18'!AK31</f>
        <v>0</v>
      </c>
      <c r="AL31" s="758">
        <f t="shared" si="3"/>
        <v>0</v>
      </c>
      <c r="AM31" s="756">
        <f>'[16]Объемы 18-23 '!AM31+'[16]Изменения 1 - 18'!AM31</f>
        <v>0</v>
      </c>
      <c r="AN31" s="756">
        <f>'[16]Объемы 18-23 '!AN31+'[16]Изменения 1 - 18'!AN31</f>
        <v>0</v>
      </c>
      <c r="AO31" s="756">
        <f>'[16]Объемы 18-23 '!AO31+'[16]Изменения 1 - 18'!AO31</f>
        <v>0</v>
      </c>
      <c r="AP31" s="756">
        <f>'[16]Объемы 18-23 '!AP31+'[16]Изменения 1 - 18'!AP31</f>
        <v>0</v>
      </c>
      <c r="AQ31" s="756">
        <f>'[16]Объемы 18-23 '!AQ31+'[16]Изменения 1 - 18'!AQ31</f>
        <v>0</v>
      </c>
      <c r="AR31" s="756">
        <f>'[16]Объемы 18-23 '!AR31+'[16]Изменения 1 - 18'!AR31</f>
        <v>0</v>
      </c>
      <c r="AS31" s="756">
        <f>'[16]Объемы 18-23 '!AS31+'[16]Изменения 1 - 18'!AS31</f>
        <v>0</v>
      </c>
      <c r="AT31" s="756">
        <f>'[16]Объемы 18-23 '!AT31+'[16]Изменения 1 - 18'!AT31</f>
        <v>0</v>
      </c>
      <c r="AU31" s="756">
        <f>'[16]Объемы 18-23 '!AU31+'[16]Изменения 1 - 18'!AU31</f>
        <v>0</v>
      </c>
      <c r="AV31" s="756">
        <f>'[16]Объемы 18-23 '!AV31+'[16]Изменения 1 - 18'!AV31</f>
        <v>0</v>
      </c>
      <c r="AW31" s="756">
        <f>'[16]Объемы 18-23 '!AW31+'[16]Изменения 1 - 18'!AW31</f>
        <v>0</v>
      </c>
      <c r="AX31" s="756">
        <f>'[16]Объемы 18-23 '!AX31+'[16]Изменения 1 - 18'!AX31</f>
        <v>0</v>
      </c>
      <c r="AY31" s="756">
        <f>'[16]Объемы 18-23 '!AY31+'[16]Изменения 1 - 18'!AY31</f>
        <v>0</v>
      </c>
      <c r="AZ31" s="756">
        <f>'[16]Объемы 18-23 '!AZ31+'[16]Изменения 1 - 18'!AZ31</f>
        <v>0</v>
      </c>
      <c r="BA31" s="759"/>
      <c r="BD31" s="759"/>
    </row>
    <row r="32" spans="1:56" ht="22.5" x14ac:dyDescent="0.25">
      <c r="A32" s="752">
        <v>25</v>
      </c>
      <c r="B32" s="754" t="s">
        <v>145</v>
      </c>
      <c r="C32" s="755" t="s">
        <v>543</v>
      </c>
      <c r="D32" s="756">
        <f t="shared" si="1"/>
        <v>376</v>
      </c>
      <c r="E32" s="757">
        <f t="shared" si="5"/>
        <v>35</v>
      </c>
      <c r="F32" s="757">
        <f t="shared" si="5"/>
        <v>25</v>
      </c>
      <c r="G32" s="757">
        <f t="shared" si="5"/>
        <v>75</v>
      </c>
      <c r="H32" s="757">
        <f t="shared" si="5"/>
        <v>45</v>
      </c>
      <c r="I32" s="757">
        <f t="shared" si="5"/>
        <v>25</v>
      </c>
      <c r="J32" s="757">
        <f t="shared" si="5"/>
        <v>25</v>
      </c>
      <c r="K32" s="757">
        <f t="shared" si="5"/>
        <v>75</v>
      </c>
      <c r="L32" s="757">
        <f t="shared" si="5"/>
        <v>21</v>
      </c>
      <c r="M32" s="757">
        <f t="shared" si="5"/>
        <v>25</v>
      </c>
      <c r="N32" s="757">
        <f t="shared" si="5"/>
        <v>25</v>
      </c>
      <c r="O32" s="757">
        <f t="shared" si="5"/>
        <v>0</v>
      </c>
      <c r="P32" s="757">
        <f t="shared" si="5"/>
        <v>0</v>
      </c>
      <c r="Q32" s="757">
        <f t="shared" si="5"/>
        <v>0</v>
      </c>
      <c r="R32" s="757">
        <f t="shared" si="5"/>
        <v>0</v>
      </c>
      <c r="S32" s="757">
        <f t="shared" si="5"/>
        <v>0</v>
      </c>
      <c r="T32" s="757">
        <f t="shared" si="4"/>
        <v>0</v>
      </c>
      <c r="U32" s="756">
        <f t="shared" si="2"/>
        <v>376</v>
      </c>
      <c r="V32" s="756">
        <f>'[16]Объемы 18-23 '!V32+'[16]Изменения 1 - 18'!V32</f>
        <v>35</v>
      </c>
      <c r="W32" s="756">
        <f>'[16]Объемы 18-23 '!W32+'[16]Изменения 1 - 18'!W32</f>
        <v>25</v>
      </c>
      <c r="X32" s="756">
        <f>'[16]Объемы 18-23 '!X32+'[16]Изменения 1 - 18'!X32</f>
        <v>75</v>
      </c>
      <c r="Y32" s="756">
        <f>'[16]Объемы 18-23 '!Y32+'[16]Изменения 1 - 18'!Y32</f>
        <v>45</v>
      </c>
      <c r="Z32" s="756">
        <f>'[16]Объемы 18-23 '!Z32+'[16]Изменения 1 - 18'!Z32</f>
        <v>25</v>
      </c>
      <c r="AA32" s="756">
        <f>'[16]Объемы 18-23 '!AA32+'[16]Изменения 1 - 18'!AA32</f>
        <v>25</v>
      </c>
      <c r="AB32" s="756">
        <f>'[16]Объемы 18-23 '!AB32+'[16]Изменения 1 - 18'!AB32</f>
        <v>75</v>
      </c>
      <c r="AC32" s="756">
        <f>'[16]Объемы 18-23 '!AC32+'[16]Изменения 1 - 18'!AC32</f>
        <v>21</v>
      </c>
      <c r="AD32" s="756">
        <f>'[16]Объемы 18-23 '!AD32+'[16]Изменения 1 - 18'!AD32</f>
        <v>25</v>
      </c>
      <c r="AE32" s="756">
        <f>'[16]Объемы 18-23 '!AE32+'[16]Изменения 1 - 18'!AE32</f>
        <v>25</v>
      </c>
      <c r="AF32" s="756">
        <f>'[16]Объемы 18-23 '!AF32+'[16]Изменения 1 - 18'!AF32</f>
        <v>0</v>
      </c>
      <c r="AG32" s="756">
        <f>'[16]Объемы 18-23 '!AG32+'[16]Изменения 1 - 18'!AG32</f>
        <v>0</v>
      </c>
      <c r="AH32" s="756">
        <f>'[16]Объемы 18-23 '!AH32+'[16]Изменения 1 - 18'!AH32</f>
        <v>0</v>
      </c>
      <c r="AI32" s="756">
        <f>'[16]Объемы 18-23 '!AI32+'[16]Изменения 1 - 18'!AI32</f>
        <v>0</v>
      </c>
      <c r="AJ32" s="756">
        <f>'[16]Объемы 18-23 '!AJ32+'[16]Изменения 1 - 18'!AJ32</f>
        <v>0</v>
      </c>
      <c r="AK32" s="756">
        <f>'[16]Объемы 18-23 '!AK32+'[16]Изменения 1 - 18'!AK32</f>
        <v>0</v>
      </c>
      <c r="AL32" s="758">
        <f t="shared" si="3"/>
        <v>0</v>
      </c>
      <c r="AM32" s="756">
        <f>'[16]Объемы 18-23 '!AM32+'[16]Изменения 1 - 18'!AM32</f>
        <v>0</v>
      </c>
      <c r="AN32" s="756">
        <f>'[16]Объемы 18-23 '!AN32+'[16]Изменения 1 - 18'!AN32</f>
        <v>0</v>
      </c>
      <c r="AO32" s="756">
        <f>'[16]Объемы 18-23 '!AO32+'[16]Изменения 1 - 18'!AO32</f>
        <v>0</v>
      </c>
      <c r="AP32" s="756">
        <f>'[16]Объемы 18-23 '!AP32+'[16]Изменения 1 - 18'!AP32</f>
        <v>0</v>
      </c>
      <c r="AQ32" s="756">
        <f>'[16]Объемы 18-23 '!AQ32+'[16]Изменения 1 - 18'!AQ32</f>
        <v>0</v>
      </c>
      <c r="AR32" s="756">
        <f>'[16]Объемы 18-23 '!AR32+'[16]Изменения 1 - 18'!AR32</f>
        <v>0</v>
      </c>
      <c r="AS32" s="756">
        <f>'[16]Объемы 18-23 '!AS32+'[16]Изменения 1 - 18'!AS32</f>
        <v>0</v>
      </c>
      <c r="AT32" s="756">
        <f>'[16]Объемы 18-23 '!AT32+'[16]Изменения 1 - 18'!AT32</f>
        <v>0</v>
      </c>
      <c r="AU32" s="756">
        <f>'[16]Объемы 18-23 '!AU32+'[16]Изменения 1 - 18'!AU32</f>
        <v>0</v>
      </c>
      <c r="AV32" s="756">
        <f>'[16]Объемы 18-23 '!AV32+'[16]Изменения 1 - 18'!AV32</f>
        <v>0</v>
      </c>
      <c r="AW32" s="756">
        <f>'[16]Объемы 18-23 '!AW32+'[16]Изменения 1 - 18'!AW32</f>
        <v>0</v>
      </c>
      <c r="AX32" s="756">
        <f>'[16]Объемы 18-23 '!AX32+'[16]Изменения 1 - 18'!AX32</f>
        <v>0</v>
      </c>
      <c r="AY32" s="756">
        <f>'[16]Объемы 18-23 '!AY32+'[16]Изменения 1 - 18'!AY32</f>
        <v>0</v>
      </c>
      <c r="AZ32" s="756">
        <f>'[16]Объемы 18-23 '!AZ32+'[16]Изменения 1 - 18'!AZ32</f>
        <v>0</v>
      </c>
      <c r="BA32" s="759"/>
      <c r="BD32" s="759"/>
    </row>
    <row r="33" spans="1:56" x14ac:dyDescent="0.25">
      <c r="A33" s="752">
        <v>26</v>
      </c>
      <c r="B33" s="754" t="s">
        <v>274</v>
      </c>
      <c r="C33" s="755" t="s">
        <v>275</v>
      </c>
      <c r="D33" s="756">
        <f t="shared" si="1"/>
        <v>972</v>
      </c>
      <c r="E33" s="757">
        <f t="shared" si="5"/>
        <v>90</v>
      </c>
      <c r="F33" s="757">
        <f t="shared" si="5"/>
        <v>60</v>
      </c>
      <c r="G33" s="757">
        <f t="shared" si="5"/>
        <v>120</v>
      </c>
      <c r="H33" s="757">
        <f t="shared" si="5"/>
        <v>70</v>
      </c>
      <c r="I33" s="757">
        <f t="shared" si="5"/>
        <v>282</v>
      </c>
      <c r="J33" s="757">
        <f t="shared" si="5"/>
        <v>350</v>
      </c>
      <c r="K33" s="757">
        <f t="shared" si="5"/>
        <v>0</v>
      </c>
      <c r="L33" s="757">
        <f t="shared" si="5"/>
        <v>0</v>
      </c>
      <c r="M33" s="757">
        <f t="shared" si="5"/>
        <v>0</v>
      </c>
      <c r="N33" s="757">
        <f t="shared" si="5"/>
        <v>0</v>
      </c>
      <c r="O33" s="757">
        <f t="shared" si="5"/>
        <v>0</v>
      </c>
      <c r="P33" s="757">
        <f t="shared" si="5"/>
        <v>0</v>
      </c>
      <c r="Q33" s="757">
        <f t="shared" si="5"/>
        <v>0</v>
      </c>
      <c r="R33" s="757">
        <f t="shared" si="5"/>
        <v>0</v>
      </c>
      <c r="S33" s="757">
        <f t="shared" si="5"/>
        <v>0</v>
      </c>
      <c r="T33" s="757">
        <f t="shared" si="4"/>
        <v>0</v>
      </c>
      <c r="U33" s="756">
        <f t="shared" si="2"/>
        <v>972</v>
      </c>
      <c r="V33" s="756">
        <f>'[16]Объемы 18-23 '!V33+'[16]Изменения 1 - 18'!V33</f>
        <v>90</v>
      </c>
      <c r="W33" s="756">
        <f>'[16]Объемы 18-23 '!W33+'[16]Изменения 1 - 18'!W33</f>
        <v>60</v>
      </c>
      <c r="X33" s="756">
        <f>'[16]Объемы 18-23 '!X33+'[16]Изменения 1 - 18'!X33</f>
        <v>120</v>
      </c>
      <c r="Y33" s="756">
        <f>'[16]Объемы 18-23 '!Y33+'[16]Изменения 1 - 18'!Y33</f>
        <v>70</v>
      </c>
      <c r="Z33" s="756">
        <f>'[16]Объемы 18-23 '!Z33+'[16]Изменения 1 - 18'!Z33</f>
        <v>282</v>
      </c>
      <c r="AA33" s="756">
        <f>'[16]Объемы 18-23 '!AA33+'[16]Изменения 1 - 18'!AA33</f>
        <v>350</v>
      </c>
      <c r="AB33" s="756">
        <f>'[16]Объемы 18-23 '!AB33+'[16]Изменения 1 - 18'!AB33</f>
        <v>0</v>
      </c>
      <c r="AC33" s="756">
        <f>'[16]Объемы 18-23 '!AC33+'[16]Изменения 1 - 18'!AC33</f>
        <v>0</v>
      </c>
      <c r="AD33" s="756">
        <f>'[16]Объемы 18-23 '!AD33+'[16]Изменения 1 - 18'!AD33</f>
        <v>0</v>
      </c>
      <c r="AE33" s="756">
        <f>'[16]Объемы 18-23 '!AE33+'[16]Изменения 1 - 18'!AE33</f>
        <v>0</v>
      </c>
      <c r="AF33" s="756">
        <f>'[16]Объемы 18-23 '!AF33+'[16]Изменения 1 - 18'!AF33</f>
        <v>0</v>
      </c>
      <c r="AG33" s="756">
        <f>'[16]Объемы 18-23 '!AG33+'[16]Изменения 1 - 18'!AG33</f>
        <v>0</v>
      </c>
      <c r="AH33" s="756">
        <f>'[16]Объемы 18-23 '!AH33+'[16]Изменения 1 - 18'!AH33</f>
        <v>0</v>
      </c>
      <c r="AI33" s="756">
        <f>'[16]Объемы 18-23 '!AI33+'[16]Изменения 1 - 18'!AI33</f>
        <v>0</v>
      </c>
      <c r="AJ33" s="756">
        <f>'[16]Объемы 18-23 '!AJ33+'[16]Изменения 1 - 18'!AJ33</f>
        <v>0</v>
      </c>
      <c r="AK33" s="756">
        <f>'[16]Объемы 18-23 '!AK33+'[16]Изменения 1 - 18'!AK33</f>
        <v>0</v>
      </c>
      <c r="AL33" s="758">
        <f t="shared" si="3"/>
        <v>0</v>
      </c>
      <c r="AM33" s="756">
        <f>'[16]Объемы 18-23 '!AM33+'[16]Изменения 1 - 18'!AM33</f>
        <v>0</v>
      </c>
      <c r="AN33" s="756">
        <f>'[16]Объемы 18-23 '!AN33+'[16]Изменения 1 - 18'!AN33</f>
        <v>0</v>
      </c>
      <c r="AO33" s="756">
        <f>'[16]Объемы 18-23 '!AO33+'[16]Изменения 1 - 18'!AO33</f>
        <v>0</v>
      </c>
      <c r="AP33" s="756">
        <f>'[16]Объемы 18-23 '!AP33+'[16]Изменения 1 - 18'!AP33</f>
        <v>0</v>
      </c>
      <c r="AQ33" s="756">
        <f>'[16]Объемы 18-23 '!AQ33+'[16]Изменения 1 - 18'!AQ33</f>
        <v>0</v>
      </c>
      <c r="AR33" s="756">
        <f>'[16]Объемы 18-23 '!AR33+'[16]Изменения 1 - 18'!AR33</f>
        <v>0</v>
      </c>
      <c r="AS33" s="756">
        <f>'[16]Объемы 18-23 '!AS33+'[16]Изменения 1 - 18'!AS33</f>
        <v>0</v>
      </c>
      <c r="AT33" s="756">
        <f>'[16]Объемы 18-23 '!AT33+'[16]Изменения 1 - 18'!AT33</f>
        <v>0</v>
      </c>
      <c r="AU33" s="756">
        <f>'[16]Объемы 18-23 '!AU33+'[16]Изменения 1 - 18'!AU33</f>
        <v>0</v>
      </c>
      <c r="AV33" s="756">
        <f>'[16]Объемы 18-23 '!AV33+'[16]Изменения 1 - 18'!AV33</f>
        <v>0</v>
      </c>
      <c r="AW33" s="756">
        <f>'[16]Объемы 18-23 '!AW33+'[16]Изменения 1 - 18'!AW33</f>
        <v>0</v>
      </c>
      <c r="AX33" s="756">
        <f>'[16]Объемы 18-23 '!AX33+'[16]Изменения 1 - 18'!AX33</f>
        <v>0</v>
      </c>
      <c r="AY33" s="756">
        <f>'[16]Объемы 18-23 '!AY33+'[16]Изменения 1 - 18'!AY33</f>
        <v>0</v>
      </c>
      <c r="AZ33" s="756">
        <f>'[16]Объемы 18-23 '!AZ33+'[16]Изменения 1 - 18'!AZ33</f>
        <v>0</v>
      </c>
      <c r="BA33" s="759"/>
      <c r="BD33" s="759"/>
    </row>
    <row r="34" spans="1:56" x14ac:dyDescent="0.25">
      <c r="A34" s="752">
        <v>27</v>
      </c>
      <c r="B34" s="754" t="s">
        <v>260</v>
      </c>
      <c r="C34" s="755" t="s">
        <v>544</v>
      </c>
      <c r="D34" s="756">
        <f t="shared" si="1"/>
        <v>600</v>
      </c>
      <c r="E34" s="757">
        <f t="shared" si="5"/>
        <v>0</v>
      </c>
      <c r="F34" s="757">
        <f t="shared" si="5"/>
        <v>0</v>
      </c>
      <c r="G34" s="757">
        <f t="shared" si="5"/>
        <v>0</v>
      </c>
      <c r="H34" s="757">
        <f t="shared" si="5"/>
        <v>0</v>
      </c>
      <c r="I34" s="757">
        <f t="shared" si="5"/>
        <v>0</v>
      </c>
      <c r="J34" s="757">
        <f t="shared" si="5"/>
        <v>0</v>
      </c>
      <c r="K34" s="757">
        <f t="shared" si="5"/>
        <v>0</v>
      </c>
      <c r="L34" s="757">
        <f t="shared" si="5"/>
        <v>0</v>
      </c>
      <c r="M34" s="757">
        <f t="shared" si="5"/>
        <v>0</v>
      </c>
      <c r="N34" s="757">
        <f t="shared" si="5"/>
        <v>0</v>
      </c>
      <c r="O34" s="757">
        <f t="shared" si="5"/>
        <v>0</v>
      </c>
      <c r="P34" s="757">
        <f t="shared" si="5"/>
        <v>0</v>
      </c>
      <c r="Q34" s="757">
        <f t="shared" si="5"/>
        <v>300</v>
      </c>
      <c r="R34" s="757">
        <f t="shared" si="5"/>
        <v>300</v>
      </c>
      <c r="S34" s="757">
        <f t="shared" si="5"/>
        <v>0</v>
      </c>
      <c r="T34" s="757">
        <f t="shared" si="4"/>
        <v>0</v>
      </c>
      <c r="U34" s="756">
        <f t="shared" si="2"/>
        <v>600</v>
      </c>
      <c r="V34" s="756">
        <f>'[16]Объемы 18-23 '!V34+'[16]Изменения 1 - 18'!V34</f>
        <v>0</v>
      </c>
      <c r="W34" s="756">
        <f>'[16]Объемы 18-23 '!W34+'[16]Изменения 1 - 18'!W34</f>
        <v>0</v>
      </c>
      <c r="X34" s="756">
        <f>'[16]Объемы 18-23 '!X34+'[16]Изменения 1 - 18'!X34</f>
        <v>0</v>
      </c>
      <c r="Y34" s="756">
        <f>'[16]Объемы 18-23 '!Y34+'[16]Изменения 1 - 18'!Y34</f>
        <v>0</v>
      </c>
      <c r="Z34" s="756">
        <f>'[16]Объемы 18-23 '!Z34+'[16]Изменения 1 - 18'!Z34</f>
        <v>0</v>
      </c>
      <c r="AA34" s="756">
        <f>'[16]Объемы 18-23 '!AA34+'[16]Изменения 1 - 18'!AA34</f>
        <v>0</v>
      </c>
      <c r="AB34" s="756">
        <f>'[16]Объемы 18-23 '!AB34+'[16]Изменения 1 - 18'!AB34</f>
        <v>0</v>
      </c>
      <c r="AC34" s="756">
        <f>'[16]Объемы 18-23 '!AC34+'[16]Изменения 1 - 18'!AC34</f>
        <v>0</v>
      </c>
      <c r="AD34" s="756">
        <f>'[16]Объемы 18-23 '!AD34+'[16]Изменения 1 - 18'!AD34</f>
        <v>0</v>
      </c>
      <c r="AE34" s="756">
        <f>'[16]Объемы 18-23 '!AE34+'[16]Изменения 1 - 18'!AE34</f>
        <v>0</v>
      </c>
      <c r="AF34" s="756">
        <f>'[16]Объемы 18-23 '!AF34+'[16]Изменения 1 - 18'!AF34</f>
        <v>0</v>
      </c>
      <c r="AG34" s="756">
        <f>'[16]Объемы 18-23 '!AG34+'[16]Изменения 1 - 18'!AG34</f>
        <v>0</v>
      </c>
      <c r="AH34" s="756">
        <f>'[16]Объемы 18-23 '!AH34+'[16]Изменения 1 - 18'!AH34</f>
        <v>300</v>
      </c>
      <c r="AI34" s="756">
        <f>'[16]Объемы 18-23 '!AI34+'[16]Изменения 1 - 18'!AI34</f>
        <v>300</v>
      </c>
      <c r="AJ34" s="756">
        <f>'[16]Объемы 18-23 '!AJ34+'[16]Изменения 1 - 18'!AJ34</f>
        <v>0</v>
      </c>
      <c r="AK34" s="756">
        <f>'[16]Объемы 18-23 '!AK34+'[16]Изменения 1 - 18'!AK34</f>
        <v>0</v>
      </c>
      <c r="AL34" s="758">
        <f t="shared" si="3"/>
        <v>0</v>
      </c>
      <c r="AM34" s="756">
        <f>'[16]Объемы 18-23 '!AM34+'[16]Изменения 1 - 18'!AM34</f>
        <v>0</v>
      </c>
      <c r="AN34" s="756">
        <f>'[16]Объемы 18-23 '!AN34+'[16]Изменения 1 - 18'!AN34</f>
        <v>0</v>
      </c>
      <c r="AO34" s="756">
        <f>'[16]Объемы 18-23 '!AO34+'[16]Изменения 1 - 18'!AO34</f>
        <v>0</v>
      </c>
      <c r="AP34" s="756">
        <f>'[16]Объемы 18-23 '!AP34+'[16]Изменения 1 - 18'!AP34</f>
        <v>0</v>
      </c>
      <c r="AQ34" s="756">
        <f>'[16]Объемы 18-23 '!AQ34+'[16]Изменения 1 - 18'!AQ34</f>
        <v>0</v>
      </c>
      <c r="AR34" s="756">
        <f>'[16]Объемы 18-23 '!AR34+'[16]Изменения 1 - 18'!AR34</f>
        <v>0</v>
      </c>
      <c r="AS34" s="756">
        <f>'[16]Объемы 18-23 '!AS34+'[16]Изменения 1 - 18'!AS34</f>
        <v>0</v>
      </c>
      <c r="AT34" s="756">
        <f>'[16]Объемы 18-23 '!AT34+'[16]Изменения 1 - 18'!AT34</f>
        <v>0</v>
      </c>
      <c r="AU34" s="756">
        <f>'[16]Объемы 18-23 '!AU34+'[16]Изменения 1 - 18'!AU34</f>
        <v>0</v>
      </c>
      <c r="AV34" s="756">
        <f>'[16]Объемы 18-23 '!AV34+'[16]Изменения 1 - 18'!AV34</f>
        <v>0</v>
      </c>
      <c r="AW34" s="756">
        <f>'[16]Объемы 18-23 '!AW34+'[16]Изменения 1 - 18'!AW34</f>
        <v>0</v>
      </c>
      <c r="AX34" s="756">
        <f>'[16]Объемы 18-23 '!AX34+'[16]Изменения 1 - 18'!AX34</f>
        <v>0</v>
      </c>
      <c r="AY34" s="756">
        <f>'[16]Объемы 18-23 '!AY34+'[16]Изменения 1 - 18'!AY34</f>
        <v>0</v>
      </c>
      <c r="AZ34" s="756">
        <f>'[16]Объемы 18-23 '!AZ34+'[16]Изменения 1 - 18'!AZ34</f>
        <v>0</v>
      </c>
      <c r="BA34" s="759"/>
      <c r="BD34" s="759"/>
    </row>
    <row r="35" spans="1:56" x14ac:dyDescent="0.25">
      <c r="A35" s="752">
        <v>28</v>
      </c>
      <c r="B35" s="754" t="s">
        <v>262</v>
      </c>
      <c r="C35" s="755" t="s">
        <v>263</v>
      </c>
      <c r="D35" s="756">
        <f t="shared" si="1"/>
        <v>150</v>
      </c>
      <c r="E35" s="757">
        <f t="shared" si="5"/>
        <v>0</v>
      </c>
      <c r="F35" s="757">
        <f t="shared" si="5"/>
        <v>0</v>
      </c>
      <c r="G35" s="757">
        <f t="shared" si="5"/>
        <v>0</v>
      </c>
      <c r="H35" s="757">
        <f t="shared" si="5"/>
        <v>0</v>
      </c>
      <c r="I35" s="757">
        <f t="shared" si="5"/>
        <v>0</v>
      </c>
      <c r="J35" s="757">
        <f t="shared" si="5"/>
        <v>0</v>
      </c>
      <c r="K35" s="757">
        <f t="shared" si="5"/>
        <v>0</v>
      </c>
      <c r="L35" s="757">
        <f t="shared" si="5"/>
        <v>0</v>
      </c>
      <c r="M35" s="757">
        <f t="shared" si="5"/>
        <v>0</v>
      </c>
      <c r="N35" s="757">
        <f t="shared" si="5"/>
        <v>0</v>
      </c>
      <c r="O35" s="757">
        <f t="shared" si="5"/>
        <v>0</v>
      </c>
      <c r="P35" s="757">
        <f t="shared" si="5"/>
        <v>150</v>
      </c>
      <c r="Q35" s="757">
        <f t="shared" si="5"/>
        <v>0</v>
      </c>
      <c r="R35" s="757">
        <f t="shared" si="5"/>
        <v>0</v>
      </c>
      <c r="S35" s="757">
        <f t="shared" si="5"/>
        <v>0</v>
      </c>
      <c r="T35" s="757">
        <f t="shared" si="4"/>
        <v>0</v>
      </c>
      <c r="U35" s="756">
        <f t="shared" si="2"/>
        <v>150</v>
      </c>
      <c r="V35" s="756">
        <f>'[16]Объемы 18-23 '!V35+'[16]Изменения 1 - 18'!V35</f>
        <v>0</v>
      </c>
      <c r="W35" s="756">
        <f>'[16]Объемы 18-23 '!W35+'[16]Изменения 1 - 18'!W35</f>
        <v>0</v>
      </c>
      <c r="X35" s="756">
        <f>'[16]Объемы 18-23 '!X35+'[16]Изменения 1 - 18'!X35</f>
        <v>0</v>
      </c>
      <c r="Y35" s="756">
        <f>'[16]Объемы 18-23 '!Y35+'[16]Изменения 1 - 18'!Y35</f>
        <v>0</v>
      </c>
      <c r="Z35" s="756">
        <f>'[16]Объемы 18-23 '!Z35+'[16]Изменения 1 - 18'!Z35</f>
        <v>0</v>
      </c>
      <c r="AA35" s="756">
        <f>'[16]Объемы 18-23 '!AA35+'[16]Изменения 1 - 18'!AA35</f>
        <v>0</v>
      </c>
      <c r="AB35" s="756">
        <f>'[16]Объемы 18-23 '!AB35+'[16]Изменения 1 - 18'!AB35</f>
        <v>0</v>
      </c>
      <c r="AC35" s="756">
        <f>'[16]Объемы 18-23 '!AC35+'[16]Изменения 1 - 18'!AC35</f>
        <v>0</v>
      </c>
      <c r="AD35" s="756">
        <f>'[16]Объемы 18-23 '!AD35+'[16]Изменения 1 - 18'!AD35</f>
        <v>0</v>
      </c>
      <c r="AE35" s="756">
        <f>'[16]Объемы 18-23 '!AE35+'[16]Изменения 1 - 18'!AE35</f>
        <v>0</v>
      </c>
      <c r="AF35" s="756">
        <f>'[16]Объемы 18-23 '!AF35+'[16]Изменения 1 - 18'!AF35</f>
        <v>0</v>
      </c>
      <c r="AG35" s="756">
        <f>'[16]Объемы 18-23 '!AG35+'[16]Изменения 1 - 18'!AG35</f>
        <v>150</v>
      </c>
      <c r="AH35" s="756">
        <f>'[16]Объемы 18-23 '!AH35+'[16]Изменения 1 - 18'!AH35</f>
        <v>0</v>
      </c>
      <c r="AI35" s="756">
        <f>'[16]Объемы 18-23 '!AI35+'[16]Изменения 1 - 18'!AI35</f>
        <v>0</v>
      </c>
      <c r="AJ35" s="756">
        <f>'[16]Объемы 18-23 '!AJ35+'[16]Изменения 1 - 18'!AJ35</f>
        <v>0</v>
      </c>
      <c r="AK35" s="756">
        <f>'[16]Объемы 18-23 '!AK35+'[16]Изменения 1 - 18'!AK35</f>
        <v>0</v>
      </c>
      <c r="AL35" s="758">
        <f t="shared" si="3"/>
        <v>0</v>
      </c>
      <c r="AM35" s="756">
        <f>'[16]Объемы 18-23 '!AM35+'[16]Изменения 1 - 18'!AM35</f>
        <v>0</v>
      </c>
      <c r="AN35" s="756">
        <f>'[16]Объемы 18-23 '!AN35+'[16]Изменения 1 - 18'!AN35</f>
        <v>0</v>
      </c>
      <c r="AO35" s="756">
        <f>'[16]Объемы 18-23 '!AO35+'[16]Изменения 1 - 18'!AO35</f>
        <v>0</v>
      </c>
      <c r="AP35" s="756">
        <f>'[16]Объемы 18-23 '!AP35+'[16]Изменения 1 - 18'!AP35</f>
        <v>0</v>
      </c>
      <c r="AQ35" s="756">
        <f>'[16]Объемы 18-23 '!AQ35+'[16]Изменения 1 - 18'!AQ35</f>
        <v>0</v>
      </c>
      <c r="AR35" s="756">
        <f>'[16]Объемы 18-23 '!AR35+'[16]Изменения 1 - 18'!AR35</f>
        <v>0</v>
      </c>
      <c r="AS35" s="756">
        <f>'[16]Объемы 18-23 '!AS35+'[16]Изменения 1 - 18'!AS35</f>
        <v>0</v>
      </c>
      <c r="AT35" s="756">
        <f>'[16]Объемы 18-23 '!AT35+'[16]Изменения 1 - 18'!AT35</f>
        <v>0</v>
      </c>
      <c r="AU35" s="756">
        <f>'[16]Объемы 18-23 '!AU35+'[16]Изменения 1 - 18'!AU35</f>
        <v>0</v>
      </c>
      <c r="AV35" s="756">
        <f>'[16]Объемы 18-23 '!AV35+'[16]Изменения 1 - 18'!AV35</f>
        <v>0</v>
      </c>
      <c r="AW35" s="756">
        <f>'[16]Объемы 18-23 '!AW35+'[16]Изменения 1 - 18'!AW35</f>
        <v>0</v>
      </c>
      <c r="AX35" s="756">
        <f>'[16]Объемы 18-23 '!AX35+'[16]Изменения 1 - 18'!AX35</f>
        <v>0</v>
      </c>
      <c r="AY35" s="756">
        <f>'[16]Объемы 18-23 '!AY35+'[16]Изменения 1 - 18'!AY35</f>
        <v>0</v>
      </c>
      <c r="AZ35" s="756">
        <f>'[16]Объемы 18-23 '!AZ35+'[16]Изменения 1 - 18'!AZ35</f>
        <v>0</v>
      </c>
      <c r="BA35" s="759"/>
      <c r="BD35" s="759"/>
    </row>
    <row r="36" spans="1:56" x14ac:dyDescent="0.25">
      <c r="A36" s="752">
        <v>29</v>
      </c>
      <c r="B36" s="754" t="s">
        <v>185</v>
      </c>
      <c r="C36" s="755" t="s">
        <v>545</v>
      </c>
      <c r="D36" s="756">
        <f t="shared" si="1"/>
        <v>615</v>
      </c>
      <c r="E36" s="757">
        <f t="shared" si="5"/>
        <v>143</v>
      </c>
      <c r="F36" s="757">
        <f t="shared" si="5"/>
        <v>144</v>
      </c>
      <c r="G36" s="757">
        <f t="shared" si="5"/>
        <v>10</v>
      </c>
      <c r="H36" s="757">
        <f t="shared" si="5"/>
        <v>10</v>
      </c>
      <c r="I36" s="757">
        <f t="shared" si="5"/>
        <v>25</v>
      </c>
      <c r="J36" s="757">
        <f t="shared" si="5"/>
        <v>25</v>
      </c>
      <c r="K36" s="757">
        <f t="shared" si="5"/>
        <v>50</v>
      </c>
      <c r="L36" s="757">
        <f t="shared" si="5"/>
        <v>50</v>
      </c>
      <c r="M36" s="757">
        <f t="shared" si="5"/>
        <v>79</v>
      </c>
      <c r="N36" s="757">
        <f t="shared" si="5"/>
        <v>79</v>
      </c>
      <c r="O36" s="757">
        <f t="shared" si="5"/>
        <v>0</v>
      </c>
      <c r="P36" s="757">
        <f t="shared" si="5"/>
        <v>0</v>
      </c>
      <c r="Q36" s="757">
        <f t="shared" si="5"/>
        <v>0</v>
      </c>
      <c r="R36" s="757">
        <f t="shared" si="5"/>
        <v>0</v>
      </c>
      <c r="S36" s="757">
        <f t="shared" si="5"/>
        <v>0</v>
      </c>
      <c r="T36" s="757">
        <f t="shared" si="4"/>
        <v>0</v>
      </c>
      <c r="U36" s="756">
        <f t="shared" si="2"/>
        <v>615</v>
      </c>
      <c r="V36" s="756">
        <f>'[16]Объемы 18-23 '!V36+'[16]Изменения 1 - 18'!V36</f>
        <v>143</v>
      </c>
      <c r="W36" s="756">
        <f>'[16]Объемы 18-23 '!W36+'[16]Изменения 1 - 18'!W36</f>
        <v>144</v>
      </c>
      <c r="X36" s="756">
        <f>'[16]Объемы 18-23 '!X36+'[16]Изменения 1 - 18'!X36</f>
        <v>10</v>
      </c>
      <c r="Y36" s="756">
        <f>'[16]Объемы 18-23 '!Y36+'[16]Изменения 1 - 18'!Y36</f>
        <v>10</v>
      </c>
      <c r="Z36" s="756">
        <f>'[16]Объемы 18-23 '!Z36+'[16]Изменения 1 - 18'!Z36</f>
        <v>25</v>
      </c>
      <c r="AA36" s="756">
        <f>'[16]Объемы 18-23 '!AA36+'[16]Изменения 1 - 18'!AA36</f>
        <v>25</v>
      </c>
      <c r="AB36" s="756">
        <f>'[16]Объемы 18-23 '!AB36+'[16]Изменения 1 - 18'!AB36</f>
        <v>50</v>
      </c>
      <c r="AC36" s="756">
        <f>'[16]Объемы 18-23 '!AC36+'[16]Изменения 1 - 18'!AC36</f>
        <v>50</v>
      </c>
      <c r="AD36" s="756">
        <f>'[16]Объемы 18-23 '!AD36+'[16]Изменения 1 - 18'!AD36</f>
        <v>79</v>
      </c>
      <c r="AE36" s="756">
        <f>'[16]Объемы 18-23 '!AE36+'[16]Изменения 1 - 18'!AE36</f>
        <v>79</v>
      </c>
      <c r="AF36" s="756">
        <f>'[16]Объемы 18-23 '!AF36+'[16]Изменения 1 - 18'!AF36</f>
        <v>0</v>
      </c>
      <c r="AG36" s="756">
        <f>'[16]Объемы 18-23 '!AG36+'[16]Изменения 1 - 18'!AG36</f>
        <v>0</v>
      </c>
      <c r="AH36" s="756">
        <f>'[16]Объемы 18-23 '!AH36+'[16]Изменения 1 - 18'!AH36</f>
        <v>0</v>
      </c>
      <c r="AI36" s="756">
        <f>'[16]Объемы 18-23 '!AI36+'[16]Изменения 1 - 18'!AI36</f>
        <v>0</v>
      </c>
      <c r="AJ36" s="756">
        <f>'[16]Объемы 18-23 '!AJ36+'[16]Изменения 1 - 18'!AJ36</f>
        <v>0</v>
      </c>
      <c r="AK36" s="756">
        <f>'[16]Объемы 18-23 '!AK36+'[16]Изменения 1 - 18'!AK36</f>
        <v>0</v>
      </c>
      <c r="AL36" s="758">
        <f t="shared" si="3"/>
        <v>0</v>
      </c>
      <c r="AM36" s="756">
        <f>'[16]Объемы 18-23 '!AM36+'[16]Изменения 1 - 18'!AM36</f>
        <v>0</v>
      </c>
      <c r="AN36" s="756">
        <f>'[16]Объемы 18-23 '!AN36+'[16]Изменения 1 - 18'!AN36</f>
        <v>0</v>
      </c>
      <c r="AO36" s="756">
        <f>'[16]Объемы 18-23 '!AO36+'[16]Изменения 1 - 18'!AO36</f>
        <v>0</v>
      </c>
      <c r="AP36" s="756">
        <f>'[16]Объемы 18-23 '!AP36+'[16]Изменения 1 - 18'!AP36</f>
        <v>0</v>
      </c>
      <c r="AQ36" s="756">
        <f>'[16]Объемы 18-23 '!AQ36+'[16]Изменения 1 - 18'!AQ36</f>
        <v>0</v>
      </c>
      <c r="AR36" s="756">
        <f>'[16]Объемы 18-23 '!AR36+'[16]Изменения 1 - 18'!AR36</f>
        <v>0</v>
      </c>
      <c r="AS36" s="756">
        <f>'[16]Объемы 18-23 '!AS36+'[16]Изменения 1 - 18'!AS36</f>
        <v>0</v>
      </c>
      <c r="AT36" s="756">
        <f>'[16]Объемы 18-23 '!AT36+'[16]Изменения 1 - 18'!AT36</f>
        <v>0</v>
      </c>
      <c r="AU36" s="756">
        <f>'[16]Объемы 18-23 '!AU36+'[16]Изменения 1 - 18'!AU36</f>
        <v>0</v>
      </c>
      <c r="AV36" s="756">
        <f>'[16]Объемы 18-23 '!AV36+'[16]Изменения 1 - 18'!AV36</f>
        <v>0</v>
      </c>
      <c r="AW36" s="756">
        <f>'[16]Объемы 18-23 '!AW36+'[16]Изменения 1 - 18'!AW36</f>
        <v>0</v>
      </c>
      <c r="AX36" s="756">
        <f>'[16]Объемы 18-23 '!AX36+'[16]Изменения 1 - 18'!AX36</f>
        <v>0</v>
      </c>
      <c r="AY36" s="756">
        <f>'[16]Объемы 18-23 '!AY36+'[16]Изменения 1 - 18'!AY36</f>
        <v>0</v>
      </c>
      <c r="AZ36" s="756">
        <f>'[16]Объемы 18-23 '!AZ36+'[16]Изменения 1 - 18'!AZ36</f>
        <v>0</v>
      </c>
      <c r="BA36" s="759"/>
      <c r="BD36" s="759"/>
    </row>
    <row r="37" spans="1:56" ht="19.5" customHeight="1" x14ac:dyDescent="0.25">
      <c r="A37" s="752">
        <v>30</v>
      </c>
      <c r="B37" s="754" t="s">
        <v>215</v>
      </c>
      <c r="C37" s="755" t="s">
        <v>216</v>
      </c>
      <c r="D37" s="756">
        <f t="shared" si="1"/>
        <v>248</v>
      </c>
      <c r="E37" s="757">
        <f t="shared" si="5"/>
        <v>25</v>
      </c>
      <c r="F37" s="757">
        <f t="shared" si="5"/>
        <v>25</v>
      </c>
      <c r="G37" s="757">
        <f t="shared" si="5"/>
        <v>25</v>
      </c>
      <c r="H37" s="757">
        <f t="shared" si="5"/>
        <v>24</v>
      </c>
      <c r="I37" s="757">
        <f t="shared" si="5"/>
        <v>24</v>
      </c>
      <c r="J37" s="757">
        <f t="shared" si="5"/>
        <v>25</v>
      </c>
      <c r="K37" s="757">
        <f t="shared" si="5"/>
        <v>25</v>
      </c>
      <c r="L37" s="757">
        <f t="shared" si="5"/>
        <v>25</v>
      </c>
      <c r="M37" s="757">
        <f t="shared" si="5"/>
        <v>25</v>
      </c>
      <c r="N37" s="757">
        <f t="shared" si="5"/>
        <v>25</v>
      </c>
      <c r="O37" s="757">
        <f t="shared" si="5"/>
        <v>0</v>
      </c>
      <c r="P37" s="757">
        <f t="shared" si="5"/>
        <v>0</v>
      </c>
      <c r="Q37" s="757">
        <f t="shared" si="5"/>
        <v>0</v>
      </c>
      <c r="R37" s="757">
        <f t="shared" si="5"/>
        <v>0</v>
      </c>
      <c r="S37" s="757">
        <f t="shared" si="5"/>
        <v>0</v>
      </c>
      <c r="T37" s="757">
        <f t="shared" si="4"/>
        <v>0</v>
      </c>
      <c r="U37" s="756">
        <f t="shared" si="2"/>
        <v>248</v>
      </c>
      <c r="V37" s="756">
        <f>'[16]Объемы 18-23 '!V37+'[16]Изменения 1 - 18'!V37</f>
        <v>25</v>
      </c>
      <c r="W37" s="756">
        <f>'[16]Объемы 18-23 '!W37+'[16]Изменения 1 - 18'!W37</f>
        <v>25</v>
      </c>
      <c r="X37" s="756">
        <f>'[16]Объемы 18-23 '!X37+'[16]Изменения 1 - 18'!X37</f>
        <v>25</v>
      </c>
      <c r="Y37" s="756">
        <f>'[16]Объемы 18-23 '!Y37+'[16]Изменения 1 - 18'!Y37</f>
        <v>24</v>
      </c>
      <c r="Z37" s="756">
        <f>'[16]Объемы 18-23 '!Z37+'[16]Изменения 1 - 18'!Z37</f>
        <v>24</v>
      </c>
      <c r="AA37" s="756">
        <f>'[16]Объемы 18-23 '!AA37+'[16]Изменения 1 - 18'!AA37</f>
        <v>25</v>
      </c>
      <c r="AB37" s="756">
        <f>'[16]Объемы 18-23 '!AB37+'[16]Изменения 1 - 18'!AB37</f>
        <v>25</v>
      </c>
      <c r="AC37" s="756">
        <f>'[16]Объемы 18-23 '!AC37+'[16]Изменения 1 - 18'!AC37</f>
        <v>25</v>
      </c>
      <c r="AD37" s="756">
        <f>'[16]Объемы 18-23 '!AD37+'[16]Изменения 1 - 18'!AD37</f>
        <v>25</v>
      </c>
      <c r="AE37" s="756">
        <f>'[16]Объемы 18-23 '!AE37+'[16]Изменения 1 - 18'!AE37</f>
        <v>25</v>
      </c>
      <c r="AF37" s="756">
        <f>'[16]Объемы 18-23 '!AF37+'[16]Изменения 1 - 18'!AF37</f>
        <v>0</v>
      </c>
      <c r="AG37" s="756">
        <f>'[16]Объемы 18-23 '!AG37+'[16]Изменения 1 - 18'!AG37</f>
        <v>0</v>
      </c>
      <c r="AH37" s="756">
        <f>'[16]Объемы 18-23 '!AH37+'[16]Изменения 1 - 18'!AH37</f>
        <v>0</v>
      </c>
      <c r="AI37" s="756">
        <f>'[16]Объемы 18-23 '!AI37+'[16]Изменения 1 - 18'!AI37</f>
        <v>0</v>
      </c>
      <c r="AJ37" s="756">
        <f>'[16]Объемы 18-23 '!AJ37+'[16]Изменения 1 - 18'!AJ37</f>
        <v>0</v>
      </c>
      <c r="AK37" s="756">
        <f>'[16]Объемы 18-23 '!AK37+'[16]Изменения 1 - 18'!AK37</f>
        <v>0</v>
      </c>
      <c r="AL37" s="758">
        <f t="shared" si="3"/>
        <v>0</v>
      </c>
      <c r="AM37" s="756">
        <f>'[16]Объемы 18-23 '!AM37+'[16]Изменения 1 - 18'!AM37</f>
        <v>0</v>
      </c>
      <c r="AN37" s="756">
        <f>'[16]Объемы 18-23 '!AN37+'[16]Изменения 1 - 18'!AN37</f>
        <v>0</v>
      </c>
      <c r="AO37" s="756">
        <f>'[16]Объемы 18-23 '!AO37+'[16]Изменения 1 - 18'!AO37</f>
        <v>0</v>
      </c>
      <c r="AP37" s="756">
        <f>'[16]Объемы 18-23 '!AP37+'[16]Изменения 1 - 18'!AP37</f>
        <v>0</v>
      </c>
      <c r="AQ37" s="756">
        <f>'[16]Объемы 18-23 '!AQ37+'[16]Изменения 1 - 18'!AQ37</f>
        <v>0</v>
      </c>
      <c r="AR37" s="756">
        <f>'[16]Объемы 18-23 '!AR37+'[16]Изменения 1 - 18'!AR37</f>
        <v>0</v>
      </c>
      <c r="AS37" s="756">
        <f>'[16]Объемы 18-23 '!AS37+'[16]Изменения 1 - 18'!AS37</f>
        <v>0</v>
      </c>
      <c r="AT37" s="756">
        <f>'[16]Объемы 18-23 '!AT37+'[16]Изменения 1 - 18'!AT37</f>
        <v>0</v>
      </c>
      <c r="AU37" s="756">
        <f>'[16]Объемы 18-23 '!AU37+'[16]Изменения 1 - 18'!AU37</f>
        <v>0</v>
      </c>
      <c r="AV37" s="756">
        <f>'[16]Объемы 18-23 '!AV37+'[16]Изменения 1 - 18'!AV37</f>
        <v>0</v>
      </c>
      <c r="AW37" s="756">
        <f>'[16]Объемы 18-23 '!AW37+'[16]Изменения 1 - 18'!AW37</f>
        <v>0</v>
      </c>
      <c r="AX37" s="756">
        <f>'[16]Объемы 18-23 '!AX37+'[16]Изменения 1 - 18'!AX37</f>
        <v>0</v>
      </c>
      <c r="AY37" s="756">
        <f>'[16]Объемы 18-23 '!AY37+'[16]Изменения 1 - 18'!AY37</f>
        <v>0</v>
      </c>
      <c r="AZ37" s="756">
        <f>'[16]Объемы 18-23 '!AZ37+'[16]Изменения 1 - 18'!AZ37</f>
        <v>0</v>
      </c>
      <c r="BA37" s="759"/>
      <c r="BD37" s="759"/>
    </row>
    <row r="38" spans="1:56" ht="19.5" customHeight="1" x14ac:dyDescent="0.25">
      <c r="A38" s="752">
        <v>31</v>
      </c>
      <c r="B38" s="754" t="s">
        <v>101</v>
      </c>
      <c r="C38" s="755" t="s">
        <v>102</v>
      </c>
      <c r="D38" s="756">
        <f t="shared" si="1"/>
        <v>10</v>
      </c>
      <c r="E38" s="757">
        <f t="shared" si="5"/>
        <v>3</v>
      </c>
      <c r="F38" s="757">
        <f t="shared" si="5"/>
        <v>0</v>
      </c>
      <c r="G38" s="757">
        <f t="shared" si="5"/>
        <v>2</v>
      </c>
      <c r="H38" s="757">
        <f t="shared" si="5"/>
        <v>2</v>
      </c>
      <c r="I38" s="757">
        <f t="shared" si="5"/>
        <v>3</v>
      </c>
      <c r="J38" s="757">
        <f t="shared" si="5"/>
        <v>0</v>
      </c>
      <c r="K38" s="757">
        <f t="shared" si="5"/>
        <v>0</v>
      </c>
      <c r="L38" s="757">
        <f t="shared" si="5"/>
        <v>0</v>
      </c>
      <c r="M38" s="757">
        <f t="shared" si="5"/>
        <v>0</v>
      </c>
      <c r="N38" s="757">
        <f t="shared" si="5"/>
        <v>0</v>
      </c>
      <c r="O38" s="757">
        <f t="shared" si="5"/>
        <v>0</v>
      </c>
      <c r="P38" s="757">
        <f t="shared" si="5"/>
        <v>0</v>
      </c>
      <c r="Q38" s="757">
        <f t="shared" si="5"/>
        <v>0</v>
      </c>
      <c r="R38" s="757">
        <f t="shared" si="5"/>
        <v>0</v>
      </c>
      <c r="S38" s="757">
        <f t="shared" si="5"/>
        <v>0</v>
      </c>
      <c r="T38" s="757">
        <f t="shared" si="4"/>
        <v>0</v>
      </c>
      <c r="U38" s="756">
        <f t="shared" si="2"/>
        <v>10</v>
      </c>
      <c r="V38" s="756">
        <f>'[16]Объемы 18-23 '!V38+'[16]Изменения 1 - 18'!V38</f>
        <v>3</v>
      </c>
      <c r="W38" s="756">
        <f>'[16]Объемы 18-23 '!W38+'[16]Изменения 1 - 18'!W38</f>
        <v>0</v>
      </c>
      <c r="X38" s="756">
        <f>'[16]Объемы 18-23 '!X38+'[16]Изменения 1 - 18'!X38</f>
        <v>2</v>
      </c>
      <c r="Y38" s="756">
        <f>'[16]Объемы 18-23 '!Y38+'[16]Изменения 1 - 18'!Y38</f>
        <v>2</v>
      </c>
      <c r="Z38" s="756">
        <f>'[16]Объемы 18-23 '!Z38+'[16]Изменения 1 - 18'!Z38</f>
        <v>3</v>
      </c>
      <c r="AA38" s="756">
        <f>'[16]Объемы 18-23 '!AA38+'[16]Изменения 1 - 18'!AA38</f>
        <v>0</v>
      </c>
      <c r="AB38" s="756">
        <f>'[16]Объемы 18-23 '!AB38+'[16]Изменения 1 - 18'!AB38</f>
        <v>0</v>
      </c>
      <c r="AC38" s="756">
        <f>'[16]Объемы 18-23 '!AC38+'[16]Изменения 1 - 18'!AC38</f>
        <v>0</v>
      </c>
      <c r="AD38" s="756">
        <f>'[16]Объемы 18-23 '!AD38+'[16]Изменения 1 - 18'!AD38</f>
        <v>0</v>
      </c>
      <c r="AE38" s="756">
        <f>'[16]Объемы 18-23 '!AE38+'[16]Изменения 1 - 18'!AE38</f>
        <v>0</v>
      </c>
      <c r="AF38" s="756">
        <f>'[16]Объемы 18-23 '!AF38+'[16]Изменения 1 - 18'!AF38</f>
        <v>0</v>
      </c>
      <c r="AG38" s="756">
        <f>'[16]Объемы 18-23 '!AG38+'[16]Изменения 1 - 18'!AG38</f>
        <v>0</v>
      </c>
      <c r="AH38" s="756">
        <f>'[16]Объемы 18-23 '!AH38+'[16]Изменения 1 - 18'!AH38</f>
        <v>0</v>
      </c>
      <c r="AI38" s="756">
        <f>'[16]Объемы 18-23 '!AI38+'[16]Изменения 1 - 18'!AI38</f>
        <v>0</v>
      </c>
      <c r="AJ38" s="756">
        <f>'[16]Объемы 18-23 '!AJ38+'[16]Изменения 1 - 18'!AJ38</f>
        <v>0</v>
      </c>
      <c r="AK38" s="756">
        <f>'[16]Объемы 18-23 '!AK38+'[16]Изменения 1 - 18'!AK38</f>
        <v>0</v>
      </c>
      <c r="AL38" s="758">
        <f t="shared" si="3"/>
        <v>0</v>
      </c>
      <c r="AM38" s="756">
        <f>'[16]Объемы 18-23 '!AM38+'[16]Изменения 1 - 18'!AM38</f>
        <v>0</v>
      </c>
      <c r="AN38" s="756">
        <f>'[16]Объемы 18-23 '!AN38+'[16]Изменения 1 - 18'!AN38</f>
        <v>0</v>
      </c>
      <c r="AO38" s="756">
        <f>'[16]Объемы 18-23 '!AO38+'[16]Изменения 1 - 18'!AO38</f>
        <v>0</v>
      </c>
      <c r="AP38" s="756">
        <f>'[16]Объемы 18-23 '!AP38+'[16]Изменения 1 - 18'!AP38</f>
        <v>0</v>
      </c>
      <c r="AQ38" s="756">
        <f>'[16]Объемы 18-23 '!AQ38+'[16]Изменения 1 - 18'!AQ38</f>
        <v>0</v>
      </c>
      <c r="AR38" s="756">
        <f>'[16]Объемы 18-23 '!AR38+'[16]Изменения 1 - 18'!AR38</f>
        <v>0</v>
      </c>
      <c r="AS38" s="756">
        <f>'[16]Объемы 18-23 '!AS38+'[16]Изменения 1 - 18'!AS38</f>
        <v>0</v>
      </c>
      <c r="AT38" s="756">
        <f>'[16]Объемы 18-23 '!AT38+'[16]Изменения 1 - 18'!AT38</f>
        <v>0</v>
      </c>
      <c r="AU38" s="756">
        <f>'[16]Объемы 18-23 '!AU38+'[16]Изменения 1 - 18'!AU38</f>
        <v>0</v>
      </c>
      <c r="AV38" s="756">
        <f>'[16]Объемы 18-23 '!AV38+'[16]Изменения 1 - 18'!AV38</f>
        <v>0</v>
      </c>
      <c r="AW38" s="756">
        <f>'[16]Объемы 18-23 '!AW38+'[16]Изменения 1 - 18'!AW38</f>
        <v>0</v>
      </c>
      <c r="AX38" s="756">
        <f>'[16]Объемы 18-23 '!AX38+'[16]Изменения 1 - 18'!AX38</f>
        <v>0</v>
      </c>
      <c r="AY38" s="756">
        <f>'[16]Объемы 18-23 '!AY38+'[16]Изменения 1 - 18'!AY38</f>
        <v>0</v>
      </c>
      <c r="AZ38" s="756">
        <f>'[16]Объемы 18-23 '!AZ38+'[16]Изменения 1 - 18'!AZ38</f>
        <v>0</v>
      </c>
      <c r="BA38" s="759"/>
      <c r="BD38" s="759"/>
    </row>
    <row r="39" spans="1:56" ht="19.5" customHeight="1" x14ac:dyDescent="0.25">
      <c r="A39" s="752">
        <v>32</v>
      </c>
      <c r="B39" s="754" t="s">
        <v>20</v>
      </c>
      <c r="C39" s="755" t="s">
        <v>21</v>
      </c>
      <c r="D39" s="756">
        <f t="shared" si="1"/>
        <v>18</v>
      </c>
      <c r="E39" s="757">
        <f t="shared" si="5"/>
        <v>5</v>
      </c>
      <c r="F39" s="757">
        <f t="shared" si="5"/>
        <v>2</v>
      </c>
      <c r="G39" s="757">
        <f t="shared" si="5"/>
        <v>5</v>
      </c>
      <c r="H39" s="757">
        <f t="shared" si="5"/>
        <v>2</v>
      </c>
      <c r="I39" s="757">
        <f t="shared" si="5"/>
        <v>0</v>
      </c>
      <c r="J39" s="757">
        <f t="shared" si="5"/>
        <v>0</v>
      </c>
      <c r="K39" s="757">
        <f t="shared" si="5"/>
        <v>2</v>
      </c>
      <c r="L39" s="757">
        <f t="shared" si="5"/>
        <v>2</v>
      </c>
      <c r="M39" s="757">
        <f t="shared" si="5"/>
        <v>0</v>
      </c>
      <c r="N39" s="757">
        <f t="shared" si="5"/>
        <v>0</v>
      </c>
      <c r="O39" s="757">
        <f t="shared" si="5"/>
        <v>0</v>
      </c>
      <c r="P39" s="757">
        <f t="shared" si="5"/>
        <v>0</v>
      </c>
      <c r="Q39" s="757">
        <f t="shared" si="5"/>
        <v>0</v>
      </c>
      <c r="R39" s="757">
        <f t="shared" si="5"/>
        <v>0</v>
      </c>
      <c r="S39" s="757">
        <f t="shared" si="5"/>
        <v>0</v>
      </c>
      <c r="T39" s="757">
        <f t="shared" si="4"/>
        <v>0</v>
      </c>
      <c r="U39" s="756">
        <f t="shared" si="2"/>
        <v>18</v>
      </c>
      <c r="V39" s="756">
        <f>'[16]Объемы 18-23 '!V39+'[16]Изменения 1 - 18'!V39</f>
        <v>5</v>
      </c>
      <c r="W39" s="756">
        <f>'[16]Объемы 18-23 '!W39+'[16]Изменения 1 - 18'!W39</f>
        <v>2</v>
      </c>
      <c r="X39" s="756">
        <f>'[16]Объемы 18-23 '!X39+'[16]Изменения 1 - 18'!X39</f>
        <v>5</v>
      </c>
      <c r="Y39" s="756">
        <f>'[16]Объемы 18-23 '!Y39+'[16]Изменения 1 - 18'!Y39</f>
        <v>2</v>
      </c>
      <c r="Z39" s="756">
        <f>'[16]Объемы 18-23 '!Z39+'[16]Изменения 1 - 18'!Z39</f>
        <v>0</v>
      </c>
      <c r="AA39" s="756">
        <f>'[16]Объемы 18-23 '!AA39+'[16]Изменения 1 - 18'!AA39</f>
        <v>0</v>
      </c>
      <c r="AB39" s="756">
        <f>'[16]Объемы 18-23 '!AB39+'[16]Изменения 1 - 18'!AB39</f>
        <v>2</v>
      </c>
      <c r="AC39" s="756">
        <f>'[16]Объемы 18-23 '!AC39+'[16]Изменения 1 - 18'!AC39</f>
        <v>2</v>
      </c>
      <c r="AD39" s="756">
        <f>'[16]Объемы 18-23 '!AD39+'[16]Изменения 1 - 18'!AD39</f>
        <v>0</v>
      </c>
      <c r="AE39" s="756">
        <f>'[16]Объемы 18-23 '!AE39+'[16]Изменения 1 - 18'!AE39</f>
        <v>0</v>
      </c>
      <c r="AF39" s="756">
        <f>'[16]Объемы 18-23 '!AF39+'[16]Изменения 1 - 18'!AF39</f>
        <v>0</v>
      </c>
      <c r="AG39" s="756">
        <f>'[16]Объемы 18-23 '!AG39+'[16]Изменения 1 - 18'!AG39</f>
        <v>0</v>
      </c>
      <c r="AH39" s="756">
        <f>'[16]Объемы 18-23 '!AH39+'[16]Изменения 1 - 18'!AH39</f>
        <v>0</v>
      </c>
      <c r="AI39" s="756">
        <f>'[16]Объемы 18-23 '!AI39+'[16]Изменения 1 - 18'!AI39</f>
        <v>0</v>
      </c>
      <c r="AJ39" s="756">
        <f>'[16]Объемы 18-23 '!AJ39+'[16]Изменения 1 - 18'!AJ39</f>
        <v>0</v>
      </c>
      <c r="AK39" s="756">
        <f>'[16]Объемы 18-23 '!AK39+'[16]Изменения 1 - 18'!AK39</f>
        <v>0</v>
      </c>
      <c r="AL39" s="758">
        <f t="shared" si="3"/>
        <v>0</v>
      </c>
      <c r="AM39" s="756">
        <f>'[16]Объемы 18-23 '!AM39+'[16]Изменения 1 - 18'!AM39</f>
        <v>0</v>
      </c>
      <c r="AN39" s="756">
        <f>'[16]Объемы 18-23 '!AN39+'[16]Изменения 1 - 18'!AN39</f>
        <v>0</v>
      </c>
      <c r="AO39" s="756">
        <f>'[16]Объемы 18-23 '!AO39+'[16]Изменения 1 - 18'!AO39</f>
        <v>0</v>
      </c>
      <c r="AP39" s="756">
        <f>'[16]Объемы 18-23 '!AP39+'[16]Изменения 1 - 18'!AP39</f>
        <v>0</v>
      </c>
      <c r="AQ39" s="756">
        <f>'[16]Объемы 18-23 '!AQ39+'[16]Изменения 1 - 18'!AQ39</f>
        <v>0</v>
      </c>
      <c r="AR39" s="756">
        <f>'[16]Объемы 18-23 '!AR39+'[16]Изменения 1 - 18'!AR39</f>
        <v>0</v>
      </c>
      <c r="AS39" s="756">
        <f>'[16]Объемы 18-23 '!AS39+'[16]Изменения 1 - 18'!AS39</f>
        <v>0</v>
      </c>
      <c r="AT39" s="756">
        <f>'[16]Объемы 18-23 '!AT39+'[16]Изменения 1 - 18'!AT39</f>
        <v>0</v>
      </c>
      <c r="AU39" s="756">
        <f>'[16]Объемы 18-23 '!AU39+'[16]Изменения 1 - 18'!AU39</f>
        <v>0</v>
      </c>
      <c r="AV39" s="756">
        <f>'[16]Объемы 18-23 '!AV39+'[16]Изменения 1 - 18'!AV39</f>
        <v>0</v>
      </c>
      <c r="AW39" s="756">
        <f>'[16]Объемы 18-23 '!AW39+'[16]Изменения 1 - 18'!AW39</f>
        <v>0</v>
      </c>
      <c r="AX39" s="756">
        <f>'[16]Объемы 18-23 '!AX39+'[16]Изменения 1 - 18'!AX39</f>
        <v>0</v>
      </c>
      <c r="AY39" s="756">
        <f>'[16]Объемы 18-23 '!AY39+'[16]Изменения 1 - 18'!AY39</f>
        <v>0</v>
      </c>
      <c r="AZ39" s="756">
        <f>'[16]Объемы 18-23 '!AZ39+'[16]Изменения 1 - 18'!AZ39</f>
        <v>0</v>
      </c>
      <c r="BA39" s="759"/>
      <c r="BD39" s="759"/>
    </row>
    <row r="40" spans="1:56" ht="19.5" customHeight="1" x14ac:dyDescent="0.25">
      <c r="A40" s="752">
        <v>33</v>
      </c>
      <c r="B40" s="760" t="s">
        <v>87</v>
      </c>
      <c r="C40" s="761" t="s">
        <v>88</v>
      </c>
      <c r="D40" s="756">
        <f t="shared" si="1"/>
        <v>30</v>
      </c>
      <c r="E40" s="757">
        <f t="shared" si="5"/>
        <v>6</v>
      </c>
      <c r="F40" s="757">
        <f t="shared" si="5"/>
        <v>3</v>
      </c>
      <c r="G40" s="757">
        <f t="shared" si="5"/>
        <v>5</v>
      </c>
      <c r="H40" s="757">
        <f t="shared" si="5"/>
        <v>2</v>
      </c>
      <c r="I40" s="757">
        <f t="shared" si="5"/>
        <v>5</v>
      </c>
      <c r="J40" s="757">
        <f t="shared" si="5"/>
        <v>2</v>
      </c>
      <c r="K40" s="757">
        <f t="shared" si="5"/>
        <v>5</v>
      </c>
      <c r="L40" s="757">
        <f t="shared" si="5"/>
        <v>2</v>
      </c>
      <c r="M40" s="757">
        <f t="shared" si="5"/>
        <v>0</v>
      </c>
      <c r="N40" s="757">
        <f t="shared" si="5"/>
        <v>0</v>
      </c>
      <c r="O40" s="757">
        <f t="shared" si="5"/>
        <v>0</v>
      </c>
      <c r="P40" s="757">
        <f t="shared" si="5"/>
        <v>0</v>
      </c>
      <c r="Q40" s="757">
        <f t="shared" si="5"/>
        <v>0</v>
      </c>
      <c r="R40" s="757">
        <f t="shared" si="5"/>
        <v>0</v>
      </c>
      <c r="S40" s="757">
        <f t="shared" si="5"/>
        <v>0</v>
      </c>
      <c r="T40" s="757">
        <f t="shared" si="4"/>
        <v>0</v>
      </c>
      <c r="U40" s="756">
        <f t="shared" si="2"/>
        <v>30</v>
      </c>
      <c r="V40" s="756">
        <f>'[16]Объемы 18-23 '!V40+'[16]Изменения 1 - 18'!V40</f>
        <v>6</v>
      </c>
      <c r="W40" s="756">
        <f>'[16]Объемы 18-23 '!W40+'[16]Изменения 1 - 18'!W40</f>
        <v>3</v>
      </c>
      <c r="X40" s="756">
        <f>'[16]Объемы 18-23 '!X40+'[16]Изменения 1 - 18'!X40</f>
        <v>5</v>
      </c>
      <c r="Y40" s="756">
        <f>'[16]Объемы 18-23 '!Y40+'[16]Изменения 1 - 18'!Y40</f>
        <v>2</v>
      </c>
      <c r="Z40" s="756">
        <f>'[16]Объемы 18-23 '!Z40+'[16]Изменения 1 - 18'!Z40</f>
        <v>5</v>
      </c>
      <c r="AA40" s="756">
        <f>'[16]Объемы 18-23 '!AA40+'[16]Изменения 1 - 18'!AA40</f>
        <v>2</v>
      </c>
      <c r="AB40" s="756">
        <f>'[16]Объемы 18-23 '!AB40+'[16]Изменения 1 - 18'!AB40</f>
        <v>5</v>
      </c>
      <c r="AC40" s="756">
        <f>'[16]Объемы 18-23 '!AC40+'[16]Изменения 1 - 18'!AC40</f>
        <v>2</v>
      </c>
      <c r="AD40" s="756">
        <f>'[16]Объемы 18-23 '!AD40+'[16]Изменения 1 - 18'!AD40</f>
        <v>0</v>
      </c>
      <c r="AE40" s="756">
        <f>'[16]Объемы 18-23 '!AE40+'[16]Изменения 1 - 18'!AE40</f>
        <v>0</v>
      </c>
      <c r="AF40" s="756">
        <f>'[16]Объемы 18-23 '!AF40+'[16]Изменения 1 - 18'!AF40</f>
        <v>0</v>
      </c>
      <c r="AG40" s="756">
        <f>'[16]Объемы 18-23 '!AG40+'[16]Изменения 1 - 18'!AG40</f>
        <v>0</v>
      </c>
      <c r="AH40" s="756">
        <f>'[16]Объемы 18-23 '!AH40+'[16]Изменения 1 - 18'!AH40</f>
        <v>0</v>
      </c>
      <c r="AI40" s="756">
        <f>'[16]Объемы 18-23 '!AI40+'[16]Изменения 1 - 18'!AI40</f>
        <v>0</v>
      </c>
      <c r="AJ40" s="756">
        <f>'[16]Объемы 18-23 '!AJ40+'[16]Изменения 1 - 18'!AJ40</f>
        <v>0</v>
      </c>
      <c r="AK40" s="756">
        <f>'[16]Объемы 18-23 '!AK40+'[16]Изменения 1 - 18'!AK40</f>
        <v>0</v>
      </c>
      <c r="AL40" s="758">
        <f t="shared" si="3"/>
        <v>0</v>
      </c>
      <c r="AM40" s="756">
        <f>'[16]Объемы 18-23 '!AM40+'[16]Изменения 1 - 18'!AM40</f>
        <v>0</v>
      </c>
      <c r="AN40" s="756">
        <f>'[16]Объемы 18-23 '!AN40+'[16]Изменения 1 - 18'!AN40</f>
        <v>0</v>
      </c>
      <c r="AO40" s="756">
        <f>'[16]Объемы 18-23 '!AO40+'[16]Изменения 1 - 18'!AO40</f>
        <v>0</v>
      </c>
      <c r="AP40" s="756">
        <f>'[16]Объемы 18-23 '!AP40+'[16]Изменения 1 - 18'!AP40</f>
        <v>0</v>
      </c>
      <c r="AQ40" s="756">
        <f>'[16]Объемы 18-23 '!AQ40+'[16]Изменения 1 - 18'!AQ40</f>
        <v>0</v>
      </c>
      <c r="AR40" s="756">
        <f>'[16]Объемы 18-23 '!AR40+'[16]Изменения 1 - 18'!AR40</f>
        <v>0</v>
      </c>
      <c r="AS40" s="756">
        <f>'[16]Объемы 18-23 '!AS40+'[16]Изменения 1 - 18'!AS40</f>
        <v>0</v>
      </c>
      <c r="AT40" s="756">
        <f>'[16]Объемы 18-23 '!AT40+'[16]Изменения 1 - 18'!AT40</f>
        <v>0</v>
      </c>
      <c r="AU40" s="756">
        <f>'[16]Объемы 18-23 '!AU40+'[16]Изменения 1 - 18'!AU40</f>
        <v>0</v>
      </c>
      <c r="AV40" s="756">
        <f>'[16]Объемы 18-23 '!AV40+'[16]Изменения 1 - 18'!AV40</f>
        <v>0</v>
      </c>
      <c r="AW40" s="756">
        <f>'[16]Объемы 18-23 '!AW40+'[16]Изменения 1 - 18'!AW40</f>
        <v>0</v>
      </c>
      <c r="AX40" s="756">
        <f>'[16]Объемы 18-23 '!AX40+'[16]Изменения 1 - 18'!AX40</f>
        <v>0</v>
      </c>
      <c r="AY40" s="756">
        <f>'[16]Объемы 18-23 '!AY40+'[16]Изменения 1 - 18'!AY40</f>
        <v>0</v>
      </c>
      <c r="AZ40" s="756">
        <f>'[16]Объемы 18-23 '!AZ40+'[16]Изменения 1 - 18'!AZ40</f>
        <v>0</v>
      </c>
      <c r="BA40" s="759"/>
      <c r="BD40" s="759"/>
    </row>
    <row r="41" spans="1:56" ht="19.5" customHeight="1" x14ac:dyDescent="0.25">
      <c r="A41" s="752">
        <v>34</v>
      </c>
      <c r="B41" s="760" t="s">
        <v>56</v>
      </c>
      <c r="C41" s="761" t="s">
        <v>57</v>
      </c>
      <c r="D41" s="756">
        <f t="shared" si="1"/>
        <v>14</v>
      </c>
      <c r="E41" s="757">
        <f t="shared" ref="E41:S44" si="6">V41+AM41</f>
        <v>3</v>
      </c>
      <c r="F41" s="757">
        <f t="shared" si="6"/>
        <v>1</v>
      </c>
      <c r="G41" s="757">
        <f t="shared" si="6"/>
        <v>3</v>
      </c>
      <c r="H41" s="757">
        <f t="shared" si="6"/>
        <v>2</v>
      </c>
      <c r="I41" s="757">
        <f t="shared" si="6"/>
        <v>3</v>
      </c>
      <c r="J41" s="757">
        <f t="shared" si="6"/>
        <v>2</v>
      </c>
      <c r="K41" s="757">
        <f t="shared" si="6"/>
        <v>0</v>
      </c>
      <c r="L41" s="757">
        <f t="shared" si="6"/>
        <v>0</v>
      </c>
      <c r="M41" s="757">
        <f t="shared" si="6"/>
        <v>0</v>
      </c>
      <c r="N41" s="757">
        <f t="shared" si="6"/>
        <v>0</v>
      </c>
      <c r="O41" s="757">
        <f t="shared" si="6"/>
        <v>0</v>
      </c>
      <c r="P41" s="757">
        <f t="shared" si="6"/>
        <v>0</v>
      </c>
      <c r="Q41" s="757">
        <f t="shared" si="6"/>
        <v>0</v>
      </c>
      <c r="R41" s="757">
        <f t="shared" si="6"/>
        <v>0</v>
      </c>
      <c r="S41" s="757">
        <f t="shared" si="6"/>
        <v>0</v>
      </c>
      <c r="T41" s="757">
        <f t="shared" si="4"/>
        <v>0</v>
      </c>
      <c r="U41" s="756">
        <f t="shared" si="2"/>
        <v>14</v>
      </c>
      <c r="V41" s="756">
        <f>'[16]Объемы 18-23 '!V41+'[16]Изменения 1 - 18'!V41</f>
        <v>3</v>
      </c>
      <c r="W41" s="756">
        <f>'[16]Объемы 18-23 '!W41+'[16]Изменения 1 - 18'!W41</f>
        <v>1</v>
      </c>
      <c r="X41" s="756">
        <f>'[16]Объемы 18-23 '!X41+'[16]Изменения 1 - 18'!X41</f>
        <v>3</v>
      </c>
      <c r="Y41" s="756">
        <f>'[16]Объемы 18-23 '!Y41+'[16]Изменения 1 - 18'!Y41</f>
        <v>2</v>
      </c>
      <c r="Z41" s="756">
        <f>'[16]Объемы 18-23 '!Z41+'[16]Изменения 1 - 18'!Z41</f>
        <v>3</v>
      </c>
      <c r="AA41" s="756">
        <f>'[16]Объемы 18-23 '!AA41+'[16]Изменения 1 - 18'!AA41</f>
        <v>2</v>
      </c>
      <c r="AB41" s="756">
        <f>'[16]Объемы 18-23 '!AB41+'[16]Изменения 1 - 18'!AB41</f>
        <v>0</v>
      </c>
      <c r="AC41" s="756">
        <f>'[16]Объемы 18-23 '!AC41+'[16]Изменения 1 - 18'!AC41</f>
        <v>0</v>
      </c>
      <c r="AD41" s="756">
        <f>'[16]Объемы 18-23 '!AD41+'[16]Изменения 1 - 18'!AD41</f>
        <v>0</v>
      </c>
      <c r="AE41" s="756">
        <f>'[16]Объемы 18-23 '!AE41+'[16]Изменения 1 - 18'!AE41</f>
        <v>0</v>
      </c>
      <c r="AF41" s="756">
        <f>'[16]Объемы 18-23 '!AF41+'[16]Изменения 1 - 18'!AF41</f>
        <v>0</v>
      </c>
      <c r="AG41" s="756">
        <f>'[16]Объемы 18-23 '!AG41+'[16]Изменения 1 - 18'!AG41</f>
        <v>0</v>
      </c>
      <c r="AH41" s="756">
        <f>'[16]Объемы 18-23 '!AH41+'[16]Изменения 1 - 18'!AH41</f>
        <v>0</v>
      </c>
      <c r="AI41" s="756">
        <f>'[16]Объемы 18-23 '!AI41+'[16]Изменения 1 - 18'!AI41</f>
        <v>0</v>
      </c>
      <c r="AJ41" s="756">
        <f>'[16]Объемы 18-23 '!AJ41+'[16]Изменения 1 - 18'!AJ41</f>
        <v>0</v>
      </c>
      <c r="AK41" s="756">
        <f>'[16]Объемы 18-23 '!AK41+'[16]Изменения 1 - 18'!AK41</f>
        <v>0</v>
      </c>
      <c r="AL41" s="758">
        <f t="shared" si="3"/>
        <v>0</v>
      </c>
      <c r="AM41" s="756">
        <f>'[16]Объемы 18-23 '!AM41+'[16]Изменения 1 - 18'!AM41</f>
        <v>0</v>
      </c>
      <c r="AN41" s="756">
        <f>'[16]Объемы 18-23 '!AN41+'[16]Изменения 1 - 18'!AN41</f>
        <v>0</v>
      </c>
      <c r="AO41" s="756">
        <f>'[16]Объемы 18-23 '!AO41+'[16]Изменения 1 - 18'!AO41</f>
        <v>0</v>
      </c>
      <c r="AP41" s="756">
        <f>'[16]Объемы 18-23 '!AP41+'[16]Изменения 1 - 18'!AP41</f>
        <v>0</v>
      </c>
      <c r="AQ41" s="756">
        <f>'[16]Объемы 18-23 '!AQ41+'[16]Изменения 1 - 18'!AQ41</f>
        <v>0</v>
      </c>
      <c r="AR41" s="756">
        <f>'[16]Объемы 18-23 '!AR41+'[16]Изменения 1 - 18'!AR41</f>
        <v>0</v>
      </c>
      <c r="AS41" s="756">
        <f>'[16]Объемы 18-23 '!AS41+'[16]Изменения 1 - 18'!AS41</f>
        <v>0</v>
      </c>
      <c r="AT41" s="756">
        <f>'[16]Объемы 18-23 '!AT41+'[16]Изменения 1 - 18'!AT41</f>
        <v>0</v>
      </c>
      <c r="AU41" s="756">
        <f>'[16]Объемы 18-23 '!AU41+'[16]Изменения 1 - 18'!AU41</f>
        <v>0</v>
      </c>
      <c r="AV41" s="756">
        <f>'[16]Объемы 18-23 '!AV41+'[16]Изменения 1 - 18'!AV41</f>
        <v>0</v>
      </c>
      <c r="AW41" s="756">
        <f>'[16]Объемы 18-23 '!AW41+'[16]Изменения 1 - 18'!AW41</f>
        <v>0</v>
      </c>
      <c r="AX41" s="756">
        <f>'[16]Объемы 18-23 '!AX41+'[16]Изменения 1 - 18'!AX41</f>
        <v>0</v>
      </c>
      <c r="AY41" s="756">
        <f>'[16]Объемы 18-23 '!AY41+'[16]Изменения 1 - 18'!AY41</f>
        <v>0</v>
      </c>
      <c r="AZ41" s="756">
        <f>'[16]Объемы 18-23 '!AZ41+'[16]Изменения 1 - 18'!AZ41</f>
        <v>0</v>
      </c>
      <c r="BA41" s="759"/>
      <c r="BD41" s="759"/>
    </row>
    <row r="42" spans="1:56" ht="19.5" customHeight="1" x14ac:dyDescent="0.25">
      <c r="A42" s="752">
        <v>35</v>
      </c>
      <c r="B42" s="760" t="s">
        <v>93</v>
      </c>
      <c r="C42" s="761" t="s">
        <v>94</v>
      </c>
      <c r="D42" s="756">
        <f t="shared" si="1"/>
        <v>12</v>
      </c>
      <c r="E42" s="757">
        <f t="shared" si="6"/>
        <v>3</v>
      </c>
      <c r="F42" s="757">
        <f t="shared" si="6"/>
        <v>2</v>
      </c>
      <c r="G42" s="757">
        <f t="shared" si="6"/>
        <v>3</v>
      </c>
      <c r="H42" s="757">
        <f t="shared" si="6"/>
        <v>2</v>
      </c>
      <c r="I42" s="757">
        <f t="shared" si="6"/>
        <v>2</v>
      </c>
      <c r="J42" s="757">
        <f t="shared" si="6"/>
        <v>0</v>
      </c>
      <c r="K42" s="757">
        <f t="shared" si="6"/>
        <v>0</v>
      </c>
      <c r="L42" s="757">
        <f t="shared" si="6"/>
        <v>0</v>
      </c>
      <c r="M42" s="757">
        <f t="shared" si="6"/>
        <v>0</v>
      </c>
      <c r="N42" s="757">
        <f t="shared" si="6"/>
        <v>0</v>
      </c>
      <c r="O42" s="757">
        <f t="shared" si="6"/>
        <v>0</v>
      </c>
      <c r="P42" s="757">
        <f t="shared" si="6"/>
        <v>0</v>
      </c>
      <c r="Q42" s="757">
        <f t="shared" si="6"/>
        <v>0</v>
      </c>
      <c r="R42" s="757">
        <f t="shared" si="6"/>
        <v>0</v>
      </c>
      <c r="S42" s="757">
        <f t="shared" si="6"/>
        <v>0</v>
      </c>
      <c r="T42" s="757">
        <f t="shared" si="4"/>
        <v>0</v>
      </c>
      <c r="U42" s="756">
        <f t="shared" si="2"/>
        <v>12</v>
      </c>
      <c r="V42" s="756">
        <f>'[16]Объемы 18-23 '!V42+'[16]Изменения 1 - 18'!V42</f>
        <v>3</v>
      </c>
      <c r="W42" s="756">
        <f>'[16]Объемы 18-23 '!W42+'[16]Изменения 1 - 18'!W42</f>
        <v>2</v>
      </c>
      <c r="X42" s="756">
        <f>'[16]Объемы 18-23 '!X42+'[16]Изменения 1 - 18'!X42</f>
        <v>3</v>
      </c>
      <c r="Y42" s="756">
        <f>'[16]Объемы 18-23 '!Y42+'[16]Изменения 1 - 18'!Y42</f>
        <v>2</v>
      </c>
      <c r="Z42" s="756">
        <f>'[16]Объемы 18-23 '!Z42+'[16]Изменения 1 - 18'!Z42</f>
        <v>2</v>
      </c>
      <c r="AA42" s="756">
        <f>'[16]Объемы 18-23 '!AA42+'[16]Изменения 1 - 18'!AA42</f>
        <v>0</v>
      </c>
      <c r="AB42" s="756">
        <f>'[16]Объемы 18-23 '!AB42+'[16]Изменения 1 - 18'!AB42</f>
        <v>0</v>
      </c>
      <c r="AC42" s="756">
        <f>'[16]Объемы 18-23 '!AC42+'[16]Изменения 1 - 18'!AC42</f>
        <v>0</v>
      </c>
      <c r="AD42" s="756">
        <f>'[16]Объемы 18-23 '!AD42+'[16]Изменения 1 - 18'!AD42</f>
        <v>0</v>
      </c>
      <c r="AE42" s="756">
        <f>'[16]Объемы 18-23 '!AE42+'[16]Изменения 1 - 18'!AE42</f>
        <v>0</v>
      </c>
      <c r="AF42" s="756">
        <f>'[16]Объемы 18-23 '!AF42+'[16]Изменения 1 - 18'!AF42</f>
        <v>0</v>
      </c>
      <c r="AG42" s="756">
        <f>'[16]Объемы 18-23 '!AG42+'[16]Изменения 1 - 18'!AG42</f>
        <v>0</v>
      </c>
      <c r="AH42" s="756">
        <f>'[16]Объемы 18-23 '!AH42+'[16]Изменения 1 - 18'!AH42</f>
        <v>0</v>
      </c>
      <c r="AI42" s="756">
        <f>'[16]Объемы 18-23 '!AI42+'[16]Изменения 1 - 18'!AI42</f>
        <v>0</v>
      </c>
      <c r="AJ42" s="756">
        <f>'[16]Объемы 18-23 '!AJ42+'[16]Изменения 1 - 18'!AJ42</f>
        <v>0</v>
      </c>
      <c r="AK42" s="756">
        <f>'[16]Объемы 18-23 '!AK42+'[16]Изменения 1 - 18'!AK42</f>
        <v>0</v>
      </c>
      <c r="AL42" s="758">
        <f t="shared" si="3"/>
        <v>0</v>
      </c>
      <c r="AM42" s="756">
        <f>'[16]Объемы 18-23 '!AM42+'[16]Изменения 1 - 18'!AM42</f>
        <v>0</v>
      </c>
      <c r="AN42" s="756">
        <f>'[16]Объемы 18-23 '!AN42+'[16]Изменения 1 - 18'!AN42</f>
        <v>0</v>
      </c>
      <c r="AO42" s="756">
        <f>'[16]Объемы 18-23 '!AO42+'[16]Изменения 1 - 18'!AO42</f>
        <v>0</v>
      </c>
      <c r="AP42" s="756">
        <f>'[16]Объемы 18-23 '!AP42+'[16]Изменения 1 - 18'!AP42</f>
        <v>0</v>
      </c>
      <c r="AQ42" s="756">
        <f>'[16]Объемы 18-23 '!AQ42+'[16]Изменения 1 - 18'!AQ42</f>
        <v>0</v>
      </c>
      <c r="AR42" s="756">
        <f>'[16]Объемы 18-23 '!AR42+'[16]Изменения 1 - 18'!AR42</f>
        <v>0</v>
      </c>
      <c r="AS42" s="756">
        <f>'[16]Объемы 18-23 '!AS42+'[16]Изменения 1 - 18'!AS42</f>
        <v>0</v>
      </c>
      <c r="AT42" s="756">
        <f>'[16]Объемы 18-23 '!AT42+'[16]Изменения 1 - 18'!AT42</f>
        <v>0</v>
      </c>
      <c r="AU42" s="756">
        <f>'[16]Объемы 18-23 '!AU42+'[16]Изменения 1 - 18'!AU42</f>
        <v>0</v>
      </c>
      <c r="AV42" s="756">
        <f>'[16]Объемы 18-23 '!AV42+'[16]Изменения 1 - 18'!AV42</f>
        <v>0</v>
      </c>
      <c r="AW42" s="756">
        <f>'[16]Объемы 18-23 '!AW42+'[16]Изменения 1 - 18'!AW42</f>
        <v>0</v>
      </c>
      <c r="AX42" s="756">
        <f>'[16]Объемы 18-23 '!AX42+'[16]Изменения 1 - 18'!AX42</f>
        <v>0</v>
      </c>
      <c r="AY42" s="756">
        <f>'[16]Объемы 18-23 '!AY42+'[16]Изменения 1 - 18'!AY42</f>
        <v>0</v>
      </c>
      <c r="AZ42" s="756">
        <f>'[16]Объемы 18-23 '!AZ42+'[16]Изменения 1 - 18'!AZ42</f>
        <v>0</v>
      </c>
      <c r="BA42" s="759"/>
      <c r="BD42" s="759"/>
    </row>
    <row r="43" spans="1:56" ht="19.5" customHeight="1" x14ac:dyDescent="0.25">
      <c r="A43" s="752">
        <v>36</v>
      </c>
      <c r="B43" s="762" t="s">
        <v>195</v>
      </c>
      <c r="C43" s="761" t="s">
        <v>196</v>
      </c>
      <c r="D43" s="756">
        <f t="shared" si="1"/>
        <v>12</v>
      </c>
      <c r="E43" s="757">
        <f t="shared" si="6"/>
        <v>4</v>
      </c>
      <c r="F43" s="757">
        <f t="shared" si="6"/>
        <v>1</v>
      </c>
      <c r="G43" s="757">
        <f t="shared" si="6"/>
        <v>4</v>
      </c>
      <c r="H43" s="757">
        <f t="shared" si="6"/>
        <v>0</v>
      </c>
      <c r="I43" s="757">
        <f t="shared" si="6"/>
        <v>0</v>
      </c>
      <c r="J43" s="757">
        <f t="shared" si="6"/>
        <v>0</v>
      </c>
      <c r="K43" s="757">
        <f t="shared" si="6"/>
        <v>3</v>
      </c>
      <c r="L43" s="757">
        <f t="shared" si="6"/>
        <v>0</v>
      </c>
      <c r="M43" s="757">
        <f t="shared" si="6"/>
        <v>0</v>
      </c>
      <c r="N43" s="757">
        <f t="shared" si="6"/>
        <v>0</v>
      </c>
      <c r="O43" s="757">
        <f t="shared" si="6"/>
        <v>0</v>
      </c>
      <c r="P43" s="757">
        <f t="shared" si="6"/>
        <v>0</v>
      </c>
      <c r="Q43" s="757">
        <f t="shared" si="6"/>
        <v>0</v>
      </c>
      <c r="R43" s="757">
        <f t="shared" si="6"/>
        <v>0</v>
      </c>
      <c r="S43" s="757">
        <f t="shared" si="6"/>
        <v>0</v>
      </c>
      <c r="T43" s="757">
        <f t="shared" si="4"/>
        <v>0</v>
      </c>
      <c r="U43" s="756">
        <f t="shared" si="2"/>
        <v>12</v>
      </c>
      <c r="V43" s="756">
        <f>'[16]Объемы 18-23 '!V43+'[16]Изменения 1 - 18'!V43</f>
        <v>4</v>
      </c>
      <c r="W43" s="756">
        <f>'[16]Объемы 18-23 '!W43+'[16]Изменения 1 - 18'!W43</f>
        <v>1</v>
      </c>
      <c r="X43" s="756">
        <f>'[16]Объемы 18-23 '!X43+'[16]Изменения 1 - 18'!X43</f>
        <v>4</v>
      </c>
      <c r="Y43" s="756">
        <f>'[16]Объемы 18-23 '!Y43+'[16]Изменения 1 - 18'!Y43</f>
        <v>0</v>
      </c>
      <c r="Z43" s="756">
        <f>'[16]Объемы 18-23 '!Z43+'[16]Изменения 1 - 18'!Z43</f>
        <v>0</v>
      </c>
      <c r="AA43" s="756">
        <f>'[16]Объемы 18-23 '!AA43+'[16]Изменения 1 - 18'!AA43</f>
        <v>0</v>
      </c>
      <c r="AB43" s="756">
        <f>'[16]Объемы 18-23 '!AB43+'[16]Изменения 1 - 18'!AB43</f>
        <v>3</v>
      </c>
      <c r="AC43" s="756">
        <f>'[16]Объемы 18-23 '!AC43+'[16]Изменения 1 - 18'!AC43</f>
        <v>0</v>
      </c>
      <c r="AD43" s="756">
        <f>'[16]Объемы 18-23 '!AD43+'[16]Изменения 1 - 18'!AD43</f>
        <v>0</v>
      </c>
      <c r="AE43" s="756">
        <f>'[16]Объемы 18-23 '!AE43+'[16]Изменения 1 - 18'!AE43</f>
        <v>0</v>
      </c>
      <c r="AF43" s="756">
        <f>'[16]Объемы 18-23 '!AF43+'[16]Изменения 1 - 18'!AF43</f>
        <v>0</v>
      </c>
      <c r="AG43" s="756">
        <f>'[16]Объемы 18-23 '!AG43+'[16]Изменения 1 - 18'!AG43</f>
        <v>0</v>
      </c>
      <c r="AH43" s="756">
        <f>'[16]Объемы 18-23 '!AH43+'[16]Изменения 1 - 18'!AH43</f>
        <v>0</v>
      </c>
      <c r="AI43" s="756">
        <f>'[16]Объемы 18-23 '!AI43+'[16]Изменения 1 - 18'!AI43</f>
        <v>0</v>
      </c>
      <c r="AJ43" s="756">
        <f>'[16]Объемы 18-23 '!AJ43+'[16]Изменения 1 - 18'!AJ43</f>
        <v>0</v>
      </c>
      <c r="AK43" s="756">
        <f>'[16]Объемы 18-23 '!AK43+'[16]Изменения 1 - 18'!AK43</f>
        <v>0</v>
      </c>
      <c r="AL43" s="758">
        <f t="shared" si="3"/>
        <v>0</v>
      </c>
      <c r="AM43" s="756">
        <f>'[16]Объемы 18-23 '!AM43+'[16]Изменения 1 - 18'!AM43</f>
        <v>0</v>
      </c>
      <c r="AN43" s="756">
        <f>'[16]Объемы 18-23 '!AN43+'[16]Изменения 1 - 18'!AN43</f>
        <v>0</v>
      </c>
      <c r="AO43" s="756">
        <f>'[16]Объемы 18-23 '!AO43+'[16]Изменения 1 - 18'!AO43</f>
        <v>0</v>
      </c>
      <c r="AP43" s="756">
        <f>'[16]Объемы 18-23 '!AP43+'[16]Изменения 1 - 18'!AP43</f>
        <v>0</v>
      </c>
      <c r="AQ43" s="756">
        <f>'[16]Объемы 18-23 '!AQ43+'[16]Изменения 1 - 18'!AQ43</f>
        <v>0</v>
      </c>
      <c r="AR43" s="756">
        <f>'[16]Объемы 18-23 '!AR43+'[16]Изменения 1 - 18'!AR43</f>
        <v>0</v>
      </c>
      <c r="AS43" s="756">
        <f>'[16]Объемы 18-23 '!AS43+'[16]Изменения 1 - 18'!AS43</f>
        <v>0</v>
      </c>
      <c r="AT43" s="756">
        <f>'[16]Объемы 18-23 '!AT43+'[16]Изменения 1 - 18'!AT43</f>
        <v>0</v>
      </c>
      <c r="AU43" s="756">
        <f>'[16]Объемы 18-23 '!AU43+'[16]Изменения 1 - 18'!AU43</f>
        <v>0</v>
      </c>
      <c r="AV43" s="756">
        <f>'[16]Объемы 18-23 '!AV43+'[16]Изменения 1 - 18'!AV43</f>
        <v>0</v>
      </c>
      <c r="AW43" s="756">
        <f>'[16]Объемы 18-23 '!AW43+'[16]Изменения 1 - 18'!AW43</f>
        <v>0</v>
      </c>
      <c r="AX43" s="756">
        <f>'[16]Объемы 18-23 '!AX43+'[16]Изменения 1 - 18'!AX43</f>
        <v>0</v>
      </c>
      <c r="AY43" s="756">
        <f>'[16]Объемы 18-23 '!AY43+'[16]Изменения 1 - 18'!AY43</f>
        <v>0</v>
      </c>
      <c r="AZ43" s="756">
        <f>'[16]Объемы 18-23 '!AZ43+'[16]Изменения 1 - 18'!AZ43</f>
        <v>0</v>
      </c>
      <c r="BA43" s="759"/>
      <c r="BD43" s="759"/>
    </row>
    <row r="44" spans="1:56" ht="24" x14ac:dyDescent="0.25">
      <c r="A44" s="752">
        <v>37</v>
      </c>
      <c r="B44" s="755"/>
      <c r="C44" s="777" t="s">
        <v>14</v>
      </c>
      <c r="D44" s="756">
        <f t="shared" si="1"/>
        <v>5</v>
      </c>
      <c r="E44" s="757">
        <f t="shared" si="6"/>
        <v>0</v>
      </c>
      <c r="F44" s="757">
        <f t="shared" si="6"/>
        <v>0</v>
      </c>
      <c r="G44" s="757">
        <f t="shared" si="6"/>
        <v>0</v>
      </c>
      <c r="H44" s="757">
        <f t="shared" si="6"/>
        <v>0</v>
      </c>
      <c r="I44" s="757">
        <f t="shared" si="6"/>
        <v>0</v>
      </c>
      <c r="J44" s="757">
        <f t="shared" si="6"/>
        <v>0</v>
      </c>
      <c r="K44" s="757">
        <f t="shared" si="6"/>
        <v>0</v>
      </c>
      <c r="L44" s="757">
        <f t="shared" si="6"/>
        <v>0</v>
      </c>
      <c r="M44" s="757">
        <f t="shared" si="6"/>
        <v>0</v>
      </c>
      <c r="N44" s="757">
        <f t="shared" si="6"/>
        <v>5</v>
      </c>
      <c r="O44" s="757">
        <f t="shared" si="6"/>
        <v>0</v>
      </c>
      <c r="P44" s="757">
        <f t="shared" si="6"/>
        <v>0</v>
      </c>
      <c r="Q44" s="757">
        <f t="shared" si="6"/>
        <v>0</v>
      </c>
      <c r="R44" s="757">
        <f t="shared" si="6"/>
        <v>0</v>
      </c>
      <c r="S44" s="757">
        <f t="shared" si="6"/>
        <v>0</v>
      </c>
      <c r="T44" s="757">
        <f t="shared" si="4"/>
        <v>0</v>
      </c>
      <c r="U44" s="756">
        <f t="shared" si="2"/>
        <v>0</v>
      </c>
      <c r="V44" s="756">
        <f>'[16]Объемы 18-23 '!V44+'[16]Изменения 1 - 18'!V44</f>
        <v>0</v>
      </c>
      <c r="W44" s="756">
        <f>'[16]Объемы 18-23 '!W44+'[16]Изменения 1 - 18'!W44</f>
        <v>0</v>
      </c>
      <c r="X44" s="756">
        <f>'[16]Объемы 18-23 '!X44+'[16]Изменения 1 - 18'!X44</f>
        <v>0</v>
      </c>
      <c r="Y44" s="756">
        <f>'[16]Объемы 18-23 '!Y44+'[16]Изменения 1 - 18'!Y44</f>
        <v>0</v>
      </c>
      <c r="Z44" s="756">
        <f>'[16]Объемы 18-23 '!Z44+'[16]Изменения 1 - 18'!Z44</f>
        <v>0</v>
      </c>
      <c r="AA44" s="756">
        <f>'[16]Объемы 18-23 '!AA44+'[16]Изменения 1 - 18'!AA44</f>
        <v>0</v>
      </c>
      <c r="AB44" s="756">
        <f>'[16]Объемы 18-23 '!AB44+'[16]Изменения 1 - 18'!AB44</f>
        <v>0</v>
      </c>
      <c r="AC44" s="756">
        <f>'[16]Объемы 18-23 '!AC44+'[16]Изменения 1 - 18'!AC44</f>
        <v>0</v>
      </c>
      <c r="AD44" s="756">
        <f>'[16]Объемы 18-23 '!AD44+'[16]Изменения 1 - 18'!AD44</f>
        <v>0</v>
      </c>
      <c r="AE44" s="756">
        <f>'[16]Объемы 18-23 '!AE44+'[16]Изменения 1 - 18'!AE44</f>
        <v>0</v>
      </c>
      <c r="AF44" s="756">
        <f>'[16]Объемы 18-23 '!AF44+'[16]Изменения 1 - 18'!AF44</f>
        <v>0</v>
      </c>
      <c r="AG44" s="756">
        <f>'[16]Объемы 18-23 '!AG44+'[16]Изменения 1 - 18'!AG44</f>
        <v>0</v>
      </c>
      <c r="AH44" s="756">
        <f>'[16]Объемы 18-23 '!AH44+'[16]Изменения 1 - 18'!AH44</f>
        <v>0</v>
      </c>
      <c r="AI44" s="756">
        <f>'[16]Объемы 18-23 '!AI44+'[16]Изменения 1 - 18'!AI44</f>
        <v>0</v>
      </c>
      <c r="AJ44" s="756">
        <f>'[16]Объемы 18-23 '!AJ44+'[16]Изменения 1 - 18'!AJ44</f>
        <v>0</v>
      </c>
      <c r="AK44" s="756">
        <f>'[16]Объемы 18-23 '!AK44+'[16]Изменения 1 - 18'!AK44</f>
        <v>0</v>
      </c>
      <c r="AL44" s="758">
        <f t="shared" si="3"/>
        <v>5</v>
      </c>
      <c r="AM44" s="756">
        <f>'[16]Объемы 18-23 '!AM44+'[16]Изменения 1 - 18'!AM44</f>
        <v>0</v>
      </c>
      <c r="AN44" s="756">
        <f>'[16]Объемы 18-23 '!AN44+'[16]Изменения 1 - 18'!AN44</f>
        <v>0</v>
      </c>
      <c r="AO44" s="756">
        <f>'[16]Объемы 18-23 '!AO44+'[16]Изменения 1 - 18'!AO44</f>
        <v>0</v>
      </c>
      <c r="AP44" s="756">
        <f>'[16]Объемы 18-23 '!AP44+'[16]Изменения 1 - 18'!AP44</f>
        <v>0</v>
      </c>
      <c r="AQ44" s="756">
        <f>'[16]Объемы 18-23 '!AQ44+'[16]Изменения 1 - 18'!AQ44</f>
        <v>0</v>
      </c>
      <c r="AR44" s="756">
        <f>'[16]Объемы 18-23 '!AR44+'[16]Изменения 1 - 18'!AR44</f>
        <v>0</v>
      </c>
      <c r="AS44" s="756">
        <f>'[16]Объемы 18-23 '!AS44+'[16]Изменения 1 - 18'!AS44</f>
        <v>0</v>
      </c>
      <c r="AT44" s="756">
        <f>'[16]Объемы 18-23 '!AT44+'[16]Изменения 1 - 18'!AT44</f>
        <v>0</v>
      </c>
      <c r="AU44" s="756">
        <f>'[16]Объемы 18-23 '!AU44+'[16]Изменения 1 - 18'!AU44</f>
        <v>0</v>
      </c>
      <c r="AV44" s="756">
        <f>'[16]Объемы 18-23 '!AV44+'[16]Изменения 1 - 18'!AV44</f>
        <v>5</v>
      </c>
      <c r="AW44" s="756">
        <f>'[16]Объемы 18-23 '!AW44+'[16]Изменения 1 - 18'!AW44</f>
        <v>0</v>
      </c>
      <c r="AX44" s="756">
        <f>'[16]Объемы 18-23 '!AX44+'[16]Изменения 1 - 18'!AX44</f>
        <v>0</v>
      </c>
      <c r="AY44" s="756">
        <f>'[16]Объемы 18-23 '!AY44+'[16]Изменения 1 - 18'!AY44</f>
        <v>0</v>
      </c>
      <c r="AZ44" s="756">
        <f>'[16]Объемы 18-23 '!AZ44+'[16]Изменения 1 - 18'!AZ44</f>
        <v>0</v>
      </c>
      <c r="BA44" s="759"/>
      <c r="BD44" s="759"/>
    </row>
    <row r="45" spans="1:56" ht="14.25" customHeight="1" x14ac:dyDescent="0.25">
      <c r="A45" s="763"/>
      <c r="B45" s="764"/>
      <c r="C45" s="764" t="s">
        <v>467</v>
      </c>
      <c r="D45" s="765">
        <f>SUM(D8:D44)</f>
        <v>13175</v>
      </c>
      <c r="E45" s="765">
        <f t="shared" ref="E45:AZ45" si="7">SUM(E8:E44)</f>
        <v>2177</v>
      </c>
      <c r="F45" s="765">
        <f t="shared" si="7"/>
        <v>637</v>
      </c>
      <c r="G45" s="765">
        <f t="shared" si="7"/>
        <v>1379</v>
      </c>
      <c r="H45" s="765">
        <f t="shared" si="7"/>
        <v>699</v>
      </c>
      <c r="I45" s="765">
        <f t="shared" si="7"/>
        <v>3669</v>
      </c>
      <c r="J45" s="765">
        <f t="shared" si="7"/>
        <v>1880</v>
      </c>
      <c r="K45" s="765">
        <f t="shared" si="7"/>
        <v>504</v>
      </c>
      <c r="L45" s="765">
        <f t="shared" si="7"/>
        <v>287</v>
      </c>
      <c r="M45" s="765">
        <f t="shared" si="7"/>
        <v>574</v>
      </c>
      <c r="N45" s="765">
        <f t="shared" si="7"/>
        <v>374</v>
      </c>
      <c r="O45" s="765">
        <f t="shared" si="7"/>
        <v>75</v>
      </c>
      <c r="P45" s="765">
        <f t="shared" si="7"/>
        <v>256</v>
      </c>
      <c r="Q45" s="765">
        <f t="shared" si="7"/>
        <v>310</v>
      </c>
      <c r="R45" s="765">
        <f t="shared" si="7"/>
        <v>305</v>
      </c>
      <c r="S45" s="765">
        <f t="shared" si="7"/>
        <v>39</v>
      </c>
      <c r="T45" s="765">
        <f t="shared" si="7"/>
        <v>10</v>
      </c>
      <c r="U45" s="765">
        <f t="shared" si="7"/>
        <v>10179</v>
      </c>
      <c r="V45" s="765">
        <f t="shared" si="7"/>
        <v>773</v>
      </c>
      <c r="W45" s="765">
        <f t="shared" si="7"/>
        <v>548</v>
      </c>
      <c r="X45" s="765">
        <f t="shared" si="7"/>
        <v>1294</v>
      </c>
      <c r="Y45" s="765">
        <f t="shared" si="7"/>
        <v>669</v>
      </c>
      <c r="Z45" s="765">
        <f t="shared" si="7"/>
        <v>2718</v>
      </c>
      <c r="AA45" s="765">
        <f t="shared" si="7"/>
        <v>1763</v>
      </c>
      <c r="AB45" s="765">
        <f t="shared" si="7"/>
        <v>504</v>
      </c>
      <c r="AC45" s="765">
        <f t="shared" si="7"/>
        <v>287</v>
      </c>
      <c r="AD45" s="765">
        <f t="shared" si="7"/>
        <v>310</v>
      </c>
      <c r="AE45" s="765">
        <f t="shared" si="7"/>
        <v>333</v>
      </c>
      <c r="AF45" s="765">
        <f t="shared" si="7"/>
        <v>75</v>
      </c>
      <c r="AG45" s="765">
        <f t="shared" si="7"/>
        <v>256</v>
      </c>
      <c r="AH45" s="765">
        <f t="shared" si="7"/>
        <v>300</v>
      </c>
      <c r="AI45" s="765">
        <f t="shared" si="7"/>
        <v>300</v>
      </c>
      <c r="AJ45" s="765">
        <f t="shared" si="7"/>
        <v>39</v>
      </c>
      <c r="AK45" s="765">
        <f t="shared" si="7"/>
        <v>10</v>
      </c>
      <c r="AL45" s="765">
        <f t="shared" si="7"/>
        <v>2996</v>
      </c>
      <c r="AM45" s="765">
        <f t="shared" si="7"/>
        <v>1404</v>
      </c>
      <c r="AN45" s="765">
        <f t="shared" si="7"/>
        <v>89</v>
      </c>
      <c r="AO45" s="765">
        <f t="shared" si="7"/>
        <v>85</v>
      </c>
      <c r="AP45" s="765">
        <f t="shared" si="7"/>
        <v>30</v>
      </c>
      <c r="AQ45" s="765">
        <f t="shared" si="7"/>
        <v>951</v>
      </c>
      <c r="AR45" s="765">
        <f t="shared" si="7"/>
        <v>117</v>
      </c>
      <c r="AS45" s="765">
        <f t="shared" si="7"/>
        <v>0</v>
      </c>
      <c r="AT45" s="765">
        <f t="shared" si="7"/>
        <v>0</v>
      </c>
      <c r="AU45" s="765">
        <f t="shared" si="7"/>
        <v>264</v>
      </c>
      <c r="AV45" s="765">
        <f t="shared" si="7"/>
        <v>41</v>
      </c>
      <c r="AW45" s="765">
        <f t="shared" si="7"/>
        <v>0</v>
      </c>
      <c r="AX45" s="765">
        <f t="shared" si="7"/>
        <v>0</v>
      </c>
      <c r="AY45" s="765">
        <f t="shared" si="7"/>
        <v>10</v>
      </c>
      <c r="AZ45" s="765">
        <f t="shared" si="7"/>
        <v>5</v>
      </c>
      <c r="BA45" s="759"/>
      <c r="BD45" s="759"/>
    </row>
  </sheetData>
  <mergeCells count="33">
    <mergeCell ref="A2:R2"/>
    <mergeCell ref="A4:A6"/>
    <mergeCell ref="B4:B6"/>
    <mergeCell ref="C4:C6"/>
    <mergeCell ref="D4:T4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B5:AC5"/>
    <mergeCell ref="AD5:AE5"/>
    <mergeCell ref="AF5:AG5"/>
    <mergeCell ref="AH5:AI5"/>
    <mergeCell ref="AJ5:AK5"/>
    <mergeCell ref="AY5:AZ5"/>
    <mergeCell ref="AM5:AN5"/>
    <mergeCell ref="AO5:AP5"/>
    <mergeCell ref="AQ5:AR5"/>
    <mergeCell ref="AS5:AT5"/>
    <mergeCell ref="AU5:AV5"/>
    <mergeCell ref="AW5:AX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72" customWidth="1"/>
    <col min="2" max="2" width="10.140625" style="72" customWidth="1"/>
    <col min="3" max="3" width="55.5703125" style="87" customWidth="1"/>
    <col min="4" max="4" width="16.28515625" style="72" customWidth="1"/>
    <col min="5" max="5" width="13.7109375" style="72" customWidth="1"/>
    <col min="6" max="16384" width="9.140625" style="72"/>
  </cols>
  <sheetData>
    <row r="1" spans="1:7" ht="36.75" customHeight="1" x14ac:dyDescent="0.25">
      <c r="A1" s="1232" t="s">
        <v>589</v>
      </c>
      <c r="B1" s="1233"/>
      <c r="C1" s="1233"/>
      <c r="D1" s="1233"/>
      <c r="E1" s="1233"/>
      <c r="F1" s="71"/>
      <c r="G1" s="71"/>
    </row>
    <row r="3" spans="1:7" ht="31.5" customHeight="1" x14ac:dyDescent="0.25">
      <c r="A3" s="73" t="s">
        <v>0</v>
      </c>
      <c r="B3" s="73" t="s">
        <v>302</v>
      </c>
      <c r="C3" s="73" t="s">
        <v>292</v>
      </c>
      <c r="D3" s="73" t="s">
        <v>590</v>
      </c>
      <c r="E3" s="73" t="s">
        <v>591</v>
      </c>
    </row>
    <row r="4" spans="1:7" x14ac:dyDescent="0.25">
      <c r="A4" s="74">
        <v>1</v>
      </c>
      <c r="B4" s="74">
        <v>2</v>
      </c>
      <c r="C4" s="74">
        <v>3</v>
      </c>
      <c r="D4" s="74">
        <v>4</v>
      </c>
      <c r="E4" s="74">
        <v>5</v>
      </c>
    </row>
    <row r="5" spans="1:7" ht="27" customHeight="1" x14ac:dyDescent="0.25">
      <c r="A5" s="1234" t="s">
        <v>592</v>
      </c>
      <c r="B5" s="1234"/>
      <c r="C5" s="1234"/>
      <c r="D5" s="75">
        <v>3881</v>
      </c>
      <c r="E5" s="76"/>
    </row>
    <row r="6" spans="1:7" ht="15" customHeight="1" x14ac:dyDescent="0.25">
      <c r="A6" s="77">
        <v>1</v>
      </c>
      <c r="B6" s="73">
        <v>29110</v>
      </c>
      <c r="C6" s="78" t="s">
        <v>247</v>
      </c>
      <c r="D6" s="79">
        <v>2440</v>
      </c>
      <c r="E6" s="77"/>
    </row>
    <row r="7" spans="1:7" ht="15" customHeight="1" x14ac:dyDescent="0.25">
      <c r="A7" s="77">
        <v>2</v>
      </c>
      <c r="B7" s="80">
        <v>20233</v>
      </c>
      <c r="C7" s="81" t="s">
        <v>249</v>
      </c>
      <c r="D7" s="79">
        <v>1441</v>
      </c>
      <c r="E7" s="77"/>
    </row>
    <row r="8" spans="1:7" ht="18" customHeight="1" x14ac:dyDescent="0.25">
      <c r="A8" s="1234" t="s">
        <v>593</v>
      </c>
      <c r="B8" s="1234"/>
      <c r="C8" s="1234"/>
      <c r="D8" s="74"/>
      <c r="E8" s="82">
        <v>363</v>
      </c>
    </row>
    <row r="9" spans="1:7" ht="16.5" customHeight="1" x14ac:dyDescent="0.25">
      <c r="A9" s="1235">
        <v>1</v>
      </c>
      <c r="B9" s="1236">
        <v>22134</v>
      </c>
      <c r="C9" s="81" t="s">
        <v>285</v>
      </c>
      <c r="D9" s="83"/>
      <c r="E9" s="77"/>
    </row>
    <row r="10" spans="1:7" ht="16.5" customHeight="1" x14ac:dyDescent="0.25">
      <c r="A10" s="1235"/>
      <c r="B10" s="1236"/>
      <c r="C10" s="84" t="s">
        <v>594</v>
      </c>
      <c r="D10" s="74"/>
      <c r="E10" s="74">
        <v>57</v>
      </c>
    </row>
    <row r="11" spans="1:7" ht="16.5" customHeight="1" x14ac:dyDescent="0.25">
      <c r="A11" s="1235"/>
      <c r="B11" s="1236"/>
      <c r="C11" s="84" t="s">
        <v>595</v>
      </c>
      <c r="D11" s="74"/>
      <c r="E11" s="74">
        <v>306</v>
      </c>
    </row>
    <row r="12" spans="1:7" x14ac:dyDescent="0.2">
      <c r="A12" s="85"/>
      <c r="B12" s="86"/>
      <c r="C12" s="86"/>
      <c r="D12" s="86"/>
      <c r="E12" s="86"/>
    </row>
    <row r="13" spans="1:7" x14ac:dyDescent="0.25">
      <c r="D13" s="88"/>
      <c r="E13" s="88"/>
    </row>
    <row r="14" spans="1:7" x14ac:dyDescent="0.25">
      <c r="D14" s="88"/>
      <c r="E14" s="88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292"/>
  <sheetViews>
    <sheetView zoomScale="90" zoomScaleNormal="90" workbookViewId="0">
      <pane xSplit="3" ySplit="9" topLeftCell="D87" activePane="bottomRight" state="frozen"/>
      <selection pane="topRight" activeCell="D1" sqref="D1"/>
      <selection pane="bottomLeft" activeCell="A10" sqref="A10"/>
      <selection pane="bottomRight" activeCell="C90" sqref="C90"/>
    </sheetView>
  </sheetViews>
  <sheetFormatPr defaultRowHeight="12.75" x14ac:dyDescent="0.2"/>
  <cols>
    <col min="1" max="1" width="6.7109375" style="4" customWidth="1"/>
    <col min="2" max="2" width="8.28515625" style="4" customWidth="1"/>
    <col min="3" max="3" width="30.140625" style="4" customWidth="1"/>
    <col min="4" max="4" width="16.140625" style="361" customWidth="1"/>
    <col min="5" max="5" width="14.7109375" style="361" customWidth="1"/>
    <col min="6" max="6" width="11.140625" style="361" customWidth="1"/>
    <col min="7" max="7" width="10.7109375" style="361" customWidth="1"/>
    <col min="8" max="8" width="11.5703125" style="361" customWidth="1"/>
    <col min="9" max="9" width="10.7109375" style="361" customWidth="1"/>
    <col min="10" max="16384" width="9.140625" style="4"/>
  </cols>
  <sheetData>
    <row r="1" spans="1:21" ht="15.75" x14ac:dyDescent="0.25">
      <c r="A1" s="1245" t="s">
        <v>596</v>
      </c>
      <c r="B1" s="1246"/>
      <c r="C1" s="1246"/>
      <c r="D1" s="1246"/>
      <c r="E1" s="1246"/>
      <c r="F1" s="1246"/>
      <c r="G1" s="1246"/>
      <c r="H1" s="1246"/>
      <c r="I1" s="1246"/>
    </row>
    <row r="2" spans="1:21" ht="13.5" thickBot="1" x14ac:dyDescent="0.25"/>
    <row r="3" spans="1:21" ht="38.25" customHeight="1" x14ac:dyDescent="0.2">
      <c r="A3" s="1247" t="s">
        <v>0</v>
      </c>
      <c r="B3" s="1249" t="s">
        <v>597</v>
      </c>
      <c r="C3" s="1251" t="s">
        <v>292</v>
      </c>
      <c r="D3" s="1253" t="s">
        <v>598</v>
      </c>
      <c r="E3" s="1254"/>
      <c r="F3" s="1255" t="s">
        <v>599</v>
      </c>
      <c r="G3" s="1256"/>
      <c r="H3" s="1255" t="s">
        <v>600</v>
      </c>
      <c r="I3" s="1256"/>
    </row>
    <row r="4" spans="1:21" ht="42.75" customHeight="1" x14ac:dyDescent="0.2">
      <c r="A4" s="1248"/>
      <c r="B4" s="1250"/>
      <c r="C4" s="1252"/>
      <c r="D4" s="362" t="s">
        <v>289</v>
      </c>
      <c r="E4" s="363" t="s">
        <v>601</v>
      </c>
      <c r="F4" s="364" t="s">
        <v>602</v>
      </c>
      <c r="G4" s="365" t="s">
        <v>603</v>
      </c>
      <c r="H4" s="366" t="s">
        <v>604</v>
      </c>
      <c r="I4" s="365" t="s">
        <v>605</v>
      </c>
    </row>
    <row r="5" spans="1:21" ht="13.5" thickBot="1" x14ac:dyDescent="0.25">
      <c r="A5" s="367">
        <v>1</v>
      </c>
      <c r="B5" s="368">
        <v>2</v>
      </c>
      <c r="C5" s="369">
        <v>3</v>
      </c>
      <c r="D5" s="370">
        <v>4</v>
      </c>
      <c r="E5" s="371">
        <v>5</v>
      </c>
      <c r="F5" s="372">
        <v>6</v>
      </c>
      <c r="G5" s="373">
        <v>7</v>
      </c>
      <c r="H5" s="374">
        <v>8</v>
      </c>
      <c r="I5" s="373">
        <v>9</v>
      </c>
    </row>
    <row r="6" spans="1:21" x14ac:dyDescent="0.2">
      <c r="A6" s="1237" t="s">
        <v>6</v>
      </c>
      <c r="B6" s="1238"/>
      <c r="C6" s="1239"/>
      <c r="D6" s="375">
        <f>SUM(D7:D9)</f>
        <v>301334</v>
      </c>
      <c r="E6" s="376">
        <f t="shared" ref="E6:I6" si="0">SUM(E7:E9)</f>
        <v>9338</v>
      </c>
      <c r="F6" s="377">
        <f t="shared" si="0"/>
        <v>1859</v>
      </c>
      <c r="G6" s="376">
        <f t="shared" si="0"/>
        <v>27880</v>
      </c>
      <c r="H6" s="377">
        <f t="shared" si="0"/>
        <v>676</v>
      </c>
      <c r="I6" s="376">
        <f t="shared" si="0"/>
        <v>7440</v>
      </c>
      <c r="P6" s="20"/>
      <c r="Q6" s="20"/>
      <c r="R6" s="20"/>
      <c r="S6" s="20"/>
      <c r="T6" s="20"/>
      <c r="U6" s="20"/>
    </row>
    <row r="7" spans="1:21" x14ac:dyDescent="0.2">
      <c r="A7" s="1240" t="s">
        <v>14</v>
      </c>
      <c r="B7" s="1241"/>
      <c r="C7" s="1242"/>
      <c r="D7" s="568"/>
      <c r="E7" s="378"/>
      <c r="F7" s="379"/>
      <c r="G7" s="380"/>
      <c r="H7" s="381"/>
      <c r="I7" s="380"/>
      <c r="P7" s="20"/>
      <c r="Q7" s="20"/>
      <c r="R7" s="20"/>
      <c r="S7" s="20"/>
      <c r="T7" s="20"/>
      <c r="U7" s="20"/>
    </row>
    <row r="8" spans="1:21" x14ac:dyDescent="0.2">
      <c r="A8" s="1240" t="s">
        <v>442</v>
      </c>
      <c r="B8" s="1241"/>
      <c r="C8" s="1242"/>
      <c r="D8" s="568"/>
      <c r="E8" s="378"/>
      <c r="F8" s="379"/>
      <c r="G8" s="380"/>
      <c r="H8" s="381"/>
      <c r="I8" s="380"/>
      <c r="P8" s="20"/>
      <c r="Q8" s="20"/>
      <c r="R8" s="20"/>
      <c r="S8" s="20"/>
      <c r="T8" s="20"/>
      <c r="U8" s="20"/>
    </row>
    <row r="9" spans="1:21" s="388" customFormat="1" x14ac:dyDescent="0.2">
      <c r="A9" s="1240" t="s">
        <v>15</v>
      </c>
      <c r="B9" s="1241"/>
      <c r="C9" s="1242"/>
      <c r="D9" s="382">
        <f>SUM(D10:D152)</f>
        <v>301334</v>
      </c>
      <c r="E9" s="383">
        <f t="shared" ref="E9:I9" si="1">SUM(E10:E152)</f>
        <v>9338</v>
      </c>
      <c r="F9" s="384">
        <f t="shared" si="1"/>
        <v>1859</v>
      </c>
      <c r="G9" s="385">
        <f t="shared" si="1"/>
        <v>27880</v>
      </c>
      <c r="H9" s="386">
        <f t="shared" si="1"/>
        <v>676</v>
      </c>
      <c r="I9" s="387">
        <f t="shared" si="1"/>
        <v>7440</v>
      </c>
      <c r="P9" s="20"/>
      <c r="Q9" s="20"/>
      <c r="R9" s="20"/>
      <c r="S9" s="20"/>
      <c r="T9" s="20"/>
      <c r="U9" s="20"/>
    </row>
    <row r="10" spans="1:21" x14ac:dyDescent="0.2">
      <c r="A10" s="564">
        <v>1</v>
      </c>
      <c r="B10" s="389" t="s">
        <v>16</v>
      </c>
      <c r="C10" s="390" t="s">
        <v>17</v>
      </c>
      <c r="D10" s="570">
        <v>1628</v>
      </c>
      <c r="E10" s="391"/>
      <c r="F10" s="392"/>
      <c r="G10" s="391"/>
      <c r="H10" s="393"/>
      <c r="I10" s="391"/>
      <c r="P10" s="20"/>
      <c r="Q10" s="20"/>
      <c r="R10" s="20"/>
      <c r="S10" s="20"/>
      <c r="T10" s="20"/>
      <c r="U10" s="20"/>
    </row>
    <row r="11" spans="1:21" x14ac:dyDescent="0.2">
      <c r="A11" s="564">
        <v>2</v>
      </c>
      <c r="B11" s="389" t="s">
        <v>18</v>
      </c>
      <c r="C11" s="390" t="s">
        <v>19</v>
      </c>
      <c r="D11" s="404">
        <f>2377+23</f>
        <v>2400</v>
      </c>
      <c r="E11" s="391"/>
      <c r="F11" s="392"/>
      <c r="G11" s="391"/>
      <c r="H11" s="393"/>
      <c r="I11" s="391"/>
      <c r="P11" s="20"/>
      <c r="Q11" s="20"/>
      <c r="R11" s="20"/>
      <c r="S11" s="20"/>
      <c r="T11" s="20"/>
      <c r="U11" s="20"/>
    </row>
    <row r="12" spans="1:21" x14ac:dyDescent="0.2">
      <c r="A12" s="564">
        <v>3</v>
      </c>
      <c r="B12" s="394" t="s">
        <v>20</v>
      </c>
      <c r="C12" s="395" t="s">
        <v>21</v>
      </c>
      <c r="D12" s="404">
        <f>6217-1500</f>
        <v>4717</v>
      </c>
      <c r="E12" s="391"/>
      <c r="F12" s="392"/>
      <c r="G12" s="391"/>
      <c r="H12" s="393"/>
      <c r="I12" s="391"/>
      <c r="P12" s="20"/>
      <c r="Q12" s="20"/>
      <c r="R12" s="20"/>
      <c r="S12" s="20"/>
      <c r="T12" s="20"/>
      <c r="U12" s="20"/>
    </row>
    <row r="13" spans="1:21" x14ac:dyDescent="0.2">
      <c r="A13" s="564">
        <v>4</v>
      </c>
      <c r="B13" s="389" t="s">
        <v>22</v>
      </c>
      <c r="C13" s="390" t="s">
        <v>23</v>
      </c>
      <c r="D13" s="404">
        <f>1855+45</f>
        <v>1900</v>
      </c>
      <c r="E13" s="391"/>
      <c r="F13" s="392"/>
      <c r="G13" s="391"/>
      <c r="H13" s="393"/>
      <c r="I13" s="391"/>
      <c r="P13" s="20"/>
      <c r="Q13" s="20"/>
      <c r="R13" s="20"/>
      <c r="S13" s="20"/>
      <c r="T13" s="20"/>
      <c r="U13" s="20"/>
    </row>
    <row r="14" spans="1:21" ht="12" customHeight="1" x14ac:dyDescent="0.2">
      <c r="A14" s="564">
        <v>5</v>
      </c>
      <c r="B14" s="389" t="s">
        <v>24</v>
      </c>
      <c r="C14" s="390" t="s">
        <v>25</v>
      </c>
      <c r="D14" s="404">
        <f>1507+23</f>
        <v>1530</v>
      </c>
      <c r="E14" s="391"/>
      <c r="F14" s="392"/>
      <c r="G14" s="391"/>
      <c r="H14" s="393"/>
      <c r="I14" s="391"/>
      <c r="P14" s="20"/>
      <c r="Q14" s="20"/>
      <c r="R14" s="20"/>
      <c r="S14" s="20"/>
      <c r="T14" s="20"/>
      <c r="U14" s="20"/>
    </row>
    <row r="15" spans="1:21" x14ac:dyDescent="0.2">
      <c r="A15" s="564">
        <v>6</v>
      </c>
      <c r="B15" s="394" t="s">
        <v>26</v>
      </c>
      <c r="C15" s="395" t="s">
        <v>27</v>
      </c>
      <c r="D15" s="404">
        <f>17142-6209+23</f>
        <v>10956</v>
      </c>
      <c r="E15" s="391">
        <v>81</v>
      </c>
      <c r="F15" s="392"/>
      <c r="G15" s="391"/>
      <c r="H15" s="396">
        <v>282</v>
      </c>
      <c r="I15" s="391">
        <v>3100</v>
      </c>
      <c r="P15" s="20"/>
      <c r="Q15" s="20"/>
      <c r="R15" s="20"/>
      <c r="S15" s="20"/>
      <c r="T15" s="20"/>
      <c r="U15" s="20"/>
    </row>
    <row r="16" spans="1:21" x14ac:dyDescent="0.2">
      <c r="A16" s="564">
        <v>7</v>
      </c>
      <c r="B16" s="569" t="s">
        <v>28</v>
      </c>
      <c r="C16" s="397" t="s">
        <v>29</v>
      </c>
      <c r="D16" s="404">
        <f>3329+1148+23</f>
        <v>4500</v>
      </c>
      <c r="E16" s="391"/>
      <c r="F16" s="392"/>
      <c r="G16" s="391"/>
      <c r="H16" s="396"/>
      <c r="I16" s="391"/>
      <c r="P16" s="20"/>
      <c r="Q16" s="20"/>
      <c r="R16" s="20"/>
      <c r="S16" s="20"/>
      <c r="T16" s="20"/>
      <c r="U16" s="20"/>
    </row>
    <row r="17" spans="1:21" x14ac:dyDescent="0.2">
      <c r="A17" s="564">
        <v>8</v>
      </c>
      <c r="B17" s="394" t="s">
        <v>30</v>
      </c>
      <c r="C17" s="395" t="s">
        <v>31</v>
      </c>
      <c r="D17" s="404">
        <v>1926</v>
      </c>
      <c r="E17" s="391"/>
      <c r="F17" s="392"/>
      <c r="G17" s="391"/>
      <c r="H17" s="396"/>
      <c r="I17" s="391"/>
      <c r="P17" s="20"/>
      <c r="Q17" s="20"/>
      <c r="R17" s="20"/>
      <c r="S17" s="20"/>
      <c r="T17" s="20"/>
      <c r="U17" s="20"/>
    </row>
    <row r="18" spans="1:21" x14ac:dyDescent="0.2">
      <c r="A18" s="564">
        <v>9</v>
      </c>
      <c r="B18" s="394" t="s">
        <v>32</v>
      </c>
      <c r="C18" s="395" t="s">
        <v>33</v>
      </c>
      <c r="D18" s="404">
        <f>2324+45</f>
        <v>2369</v>
      </c>
      <c r="E18" s="391"/>
      <c r="F18" s="392"/>
      <c r="G18" s="391"/>
      <c r="H18" s="396"/>
      <c r="I18" s="391"/>
      <c r="P18" s="20"/>
      <c r="Q18" s="20"/>
      <c r="R18" s="20"/>
      <c r="S18" s="20"/>
      <c r="T18" s="20"/>
      <c r="U18" s="20"/>
    </row>
    <row r="19" spans="1:21" x14ac:dyDescent="0.2">
      <c r="A19" s="564">
        <v>10</v>
      </c>
      <c r="B19" s="394" t="s">
        <v>34</v>
      </c>
      <c r="C19" s="395" t="s">
        <v>35</v>
      </c>
      <c r="D19" s="404">
        <f>1644+700</f>
        <v>2344</v>
      </c>
      <c r="E19" s="391"/>
      <c r="F19" s="392"/>
      <c r="G19" s="391"/>
      <c r="H19" s="396"/>
      <c r="I19" s="391"/>
      <c r="P19" s="20"/>
      <c r="Q19" s="20"/>
      <c r="R19" s="20"/>
      <c r="S19" s="20"/>
      <c r="T19" s="20"/>
      <c r="U19" s="20"/>
    </row>
    <row r="20" spans="1:21" x14ac:dyDescent="0.2">
      <c r="A20" s="564">
        <v>11</v>
      </c>
      <c r="B20" s="394" t="s">
        <v>36</v>
      </c>
      <c r="C20" s="395" t="s">
        <v>37</v>
      </c>
      <c r="D20" s="404">
        <v>1675</v>
      </c>
      <c r="E20" s="391"/>
      <c r="F20" s="392"/>
      <c r="G20" s="391"/>
      <c r="H20" s="396"/>
      <c r="I20" s="391"/>
      <c r="P20" s="20"/>
      <c r="Q20" s="20"/>
      <c r="R20" s="20"/>
      <c r="S20" s="20"/>
      <c r="T20" s="20"/>
      <c r="U20" s="20"/>
    </row>
    <row r="21" spans="1:21" x14ac:dyDescent="0.2">
      <c r="A21" s="564">
        <v>12</v>
      </c>
      <c r="B21" s="394" t="s">
        <v>38</v>
      </c>
      <c r="C21" s="395" t="s">
        <v>39</v>
      </c>
      <c r="D21" s="404">
        <f>2618+565</f>
        <v>3183</v>
      </c>
      <c r="E21" s="391"/>
      <c r="F21" s="392"/>
      <c r="G21" s="391"/>
      <c r="H21" s="396"/>
      <c r="I21" s="391"/>
      <c r="P21" s="20"/>
      <c r="Q21" s="20"/>
      <c r="R21" s="20"/>
      <c r="S21" s="20"/>
      <c r="T21" s="20"/>
      <c r="U21" s="20"/>
    </row>
    <row r="22" spans="1:21" x14ac:dyDescent="0.2">
      <c r="A22" s="564">
        <v>13</v>
      </c>
      <c r="B22" s="398" t="s">
        <v>40</v>
      </c>
      <c r="C22" s="399" t="s">
        <v>41</v>
      </c>
      <c r="D22" s="404"/>
      <c r="E22" s="391"/>
      <c r="F22" s="392"/>
      <c r="G22" s="391"/>
      <c r="H22" s="396"/>
      <c r="I22" s="391"/>
      <c r="P22" s="20"/>
      <c r="Q22" s="20"/>
      <c r="R22" s="20"/>
      <c r="S22" s="20"/>
      <c r="T22" s="20"/>
      <c r="U22" s="20"/>
    </row>
    <row r="23" spans="1:21" x14ac:dyDescent="0.2">
      <c r="A23" s="564">
        <v>14</v>
      </c>
      <c r="B23" s="400" t="s">
        <v>42</v>
      </c>
      <c r="C23" s="401" t="s">
        <v>43</v>
      </c>
      <c r="D23" s="404"/>
      <c r="E23" s="391"/>
      <c r="F23" s="392"/>
      <c r="G23" s="391"/>
      <c r="H23" s="396"/>
      <c r="I23" s="391"/>
      <c r="P23" s="20"/>
      <c r="Q23" s="20"/>
      <c r="R23" s="20"/>
      <c r="S23" s="20"/>
      <c r="T23" s="20"/>
      <c r="U23" s="20"/>
    </row>
    <row r="24" spans="1:21" x14ac:dyDescent="0.2">
      <c r="A24" s="564">
        <v>15</v>
      </c>
      <c r="B24" s="394" t="s">
        <v>44</v>
      </c>
      <c r="C24" s="395" t="s">
        <v>45</v>
      </c>
      <c r="D24" s="404">
        <f>2732+23</f>
        <v>2755</v>
      </c>
      <c r="E24" s="391"/>
      <c r="F24" s="392"/>
      <c r="G24" s="391"/>
      <c r="H24" s="396"/>
      <c r="I24" s="391"/>
      <c r="P24" s="20"/>
      <c r="Q24" s="20"/>
      <c r="R24" s="20"/>
      <c r="S24" s="20"/>
      <c r="T24" s="20"/>
      <c r="U24" s="20"/>
    </row>
    <row r="25" spans="1:21" x14ac:dyDescent="0.2">
      <c r="A25" s="564">
        <v>16</v>
      </c>
      <c r="B25" s="394" t="s">
        <v>46</v>
      </c>
      <c r="C25" s="395" t="s">
        <v>47</v>
      </c>
      <c r="D25" s="404">
        <f>4410+45</f>
        <v>4455</v>
      </c>
      <c r="E25" s="391"/>
      <c r="F25" s="392"/>
      <c r="G25" s="391"/>
      <c r="H25" s="396"/>
      <c r="I25" s="391"/>
      <c r="P25" s="20"/>
      <c r="Q25" s="20"/>
      <c r="R25" s="20"/>
      <c r="S25" s="20"/>
      <c r="T25" s="20"/>
      <c r="U25" s="20"/>
    </row>
    <row r="26" spans="1:21" x14ac:dyDescent="0.2">
      <c r="A26" s="564">
        <v>17</v>
      </c>
      <c r="B26" s="394" t="s">
        <v>48</v>
      </c>
      <c r="C26" s="395" t="s">
        <v>49</v>
      </c>
      <c r="D26" s="404">
        <f>4445-200</f>
        <v>4245</v>
      </c>
      <c r="E26" s="391"/>
      <c r="F26" s="392"/>
      <c r="G26" s="391"/>
      <c r="H26" s="396"/>
      <c r="I26" s="391"/>
      <c r="P26" s="20"/>
      <c r="Q26" s="20"/>
      <c r="R26" s="20"/>
      <c r="S26" s="20"/>
      <c r="T26" s="20"/>
      <c r="U26" s="20"/>
    </row>
    <row r="27" spans="1:21" x14ac:dyDescent="0.2">
      <c r="A27" s="564">
        <v>18</v>
      </c>
      <c r="B27" s="394" t="s">
        <v>50</v>
      </c>
      <c r="C27" s="395" t="s">
        <v>51</v>
      </c>
      <c r="D27" s="404">
        <f>10090+24</f>
        <v>10114</v>
      </c>
      <c r="E27" s="391">
        <v>81</v>
      </c>
      <c r="F27" s="392"/>
      <c r="G27" s="391"/>
      <c r="H27" s="396">
        <v>113</v>
      </c>
      <c r="I27" s="391">
        <v>1240</v>
      </c>
      <c r="P27" s="20"/>
      <c r="Q27" s="20"/>
      <c r="R27" s="20"/>
      <c r="S27" s="20"/>
      <c r="T27" s="20"/>
      <c r="U27" s="20"/>
    </row>
    <row r="28" spans="1:21" x14ac:dyDescent="0.2">
      <c r="A28" s="564">
        <v>19</v>
      </c>
      <c r="B28" s="389" t="s">
        <v>52</v>
      </c>
      <c r="C28" s="390" t="s">
        <v>53</v>
      </c>
      <c r="D28" s="404">
        <v>1051</v>
      </c>
      <c r="E28" s="391"/>
      <c r="F28" s="392"/>
      <c r="G28" s="391"/>
      <c r="H28" s="396"/>
      <c r="I28" s="391"/>
      <c r="P28" s="20"/>
      <c r="Q28" s="20"/>
      <c r="R28" s="20"/>
      <c r="S28" s="20"/>
      <c r="T28" s="20"/>
      <c r="U28" s="20"/>
    </row>
    <row r="29" spans="1:21" x14ac:dyDescent="0.2">
      <c r="A29" s="564">
        <v>20</v>
      </c>
      <c r="B29" s="389" t="s">
        <v>54</v>
      </c>
      <c r="C29" s="390" t="s">
        <v>55</v>
      </c>
      <c r="D29" s="404">
        <v>1970</v>
      </c>
      <c r="E29" s="391"/>
      <c r="F29" s="392"/>
      <c r="G29" s="391"/>
      <c r="H29" s="396"/>
      <c r="I29" s="391"/>
      <c r="P29" s="20"/>
      <c r="Q29" s="20"/>
      <c r="R29" s="20"/>
      <c r="S29" s="20"/>
      <c r="T29" s="20"/>
      <c r="U29" s="20"/>
    </row>
    <row r="30" spans="1:21" x14ac:dyDescent="0.2">
      <c r="A30" s="564">
        <v>21</v>
      </c>
      <c r="B30" s="389" t="s">
        <v>56</v>
      </c>
      <c r="C30" s="390" t="s">
        <v>57</v>
      </c>
      <c r="D30" s="404">
        <v>6944</v>
      </c>
      <c r="E30" s="391"/>
      <c r="F30" s="392"/>
      <c r="G30" s="391"/>
      <c r="H30" s="396">
        <v>28</v>
      </c>
      <c r="I30" s="391">
        <v>310</v>
      </c>
      <c r="P30" s="20"/>
      <c r="Q30" s="20"/>
      <c r="R30" s="20"/>
      <c r="S30" s="20"/>
      <c r="T30" s="20"/>
      <c r="U30" s="20"/>
    </row>
    <row r="31" spans="1:21" x14ac:dyDescent="0.2">
      <c r="A31" s="564">
        <v>22</v>
      </c>
      <c r="B31" s="389" t="s">
        <v>58</v>
      </c>
      <c r="C31" s="390" t="s">
        <v>59</v>
      </c>
      <c r="D31" s="404">
        <f>2892+1500+200</f>
        <v>4592</v>
      </c>
      <c r="E31" s="391">
        <v>81</v>
      </c>
      <c r="F31" s="392"/>
      <c r="G31" s="391"/>
      <c r="H31" s="396"/>
      <c r="I31" s="391"/>
      <c r="P31" s="20"/>
      <c r="Q31" s="20"/>
      <c r="R31" s="20"/>
      <c r="S31" s="20"/>
      <c r="T31" s="20"/>
      <c r="U31" s="20"/>
    </row>
    <row r="32" spans="1:21" x14ac:dyDescent="0.2">
      <c r="A32" s="564">
        <v>23</v>
      </c>
      <c r="B32" s="394" t="s">
        <v>60</v>
      </c>
      <c r="C32" s="395" t="s">
        <v>61</v>
      </c>
      <c r="D32" s="404"/>
      <c r="E32" s="391"/>
      <c r="F32" s="392"/>
      <c r="G32" s="391"/>
      <c r="H32" s="393"/>
      <c r="I32" s="391"/>
      <c r="P32" s="20"/>
      <c r="Q32" s="20"/>
      <c r="R32" s="20"/>
      <c r="S32" s="20"/>
      <c r="T32" s="20"/>
      <c r="U32" s="20"/>
    </row>
    <row r="33" spans="1:21" x14ac:dyDescent="0.2">
      <c r="A33" s="564">
        <v>24</v>
      </c>
      <c r="B33" s="394" t="s">
        <v>62</v>
      </c>
      <c r="C33" s="395" t="s">
        <v>63</v>
      </c>
      <c r="D33" s="404"/>
      <c r="E33" s="391"/>
      <c r="F33" s="392"/>
      <c r="G33" s="391"/>
      <c r="H33" s="393"/>
      <c r="I33" s="391"/>
      <c r="P33" s="20"/>
      <c r="Q33" s="20"/>
      <c r="R33" s="20"/>
      <c r="S33" s="20"/>
      <c r="T33" s="20"/>
      <c r="U33" s="20"/>
    </row>
    <row r="34" spans="1:21" ht="25.5" x14ac:dyDescent="0.2">
      <c r="A34" s="564">
        <v>25</v>
      </c>
      <c r="B34" s="394" t="s">
        <v>64</v>
      </c>
      <c r="C34" s="395" t="s">
        <v>65</v>
      </c>
      <c r="D34" s="404"/>
      <c r="E34" s="391"/>
      <c r="F34" s="392"/>
      <c r="G34" s="391"/>
      <c r="H34" s="393"/>
      <c r="I34" s="391"/>
      <c r="P34" s="20"/>
      <c r="Q34" s="20"/>
      <c r="R34" s="20"/>
      <c r="S34" s="20"/>
      <c r="T34" s="20"/>
      <c r="U34" s="20"/>
    </row>
    <row r="35" spans="1:21" x14ac:dyDescent="0.2">
      <c r="A35" s="564">
        <v>26</v>
      </c>
      <c r="B35" s="389" t="s">
        <v>66</v>
      </c>
      <c r="C35" s="397" t="s">
        <v>67</v>
      </c>
      <c r="D35" s="404">
        <f>0+3800+293</f>
        <v>4093</v>
      </c>
      <c r="E35" s="391"/>
      <c r="F35" s="392"/>
      <c r="G35" s="391"/>
      <c r="H35" s="393"/>
      <c r="I35" s="391"/>
      <c r="P35" s="20"/>
      <c r="Q35" s="20"/>
      <c r="R35" s="20"/>
      <c r="S35" s="20"/>
      <c r="T35" s="20"/>
      <c r="U35" s="20"/>
    </row>
    <row r="36" spans="1:21" x14ac:dyDescent="0.2">
      <c r="A36" s="564">
        <v>27</v>
      </c>
      <c r="B36" s="394" t="s">
        <v>68</v>
      </c>
      <c r="C36" s="395" t="s">
        <v>69</v>
      </c>
      <c r="D36" s="404">
        <f>6514-3800-293</f>
        <v>2421</v>
      </c>
      <c r="E36" s="391"/>
      <c r="F36" s="392"/>
      <c r="G36" s="391"/>
      <c r="H36" s="393"/>
      <c r="I36" s="391"/>
      <c r="P36" s="20"/>
      <c r="Q36" s="20"/>
      <c r="R36" s="20"/>
      <c r="S36" s="20"/>
      <c r="T36" s="20"/>
      <c r="U36" s="20"/>
    </row>
    <row r="37" spans="1:21" x14ac:dyDescent="0.2">
      <c r="A37" s="564">
        <v>28</v>
      </c>
      <c r="B37" s="394" t="s">
        <v>70</v>
      </c>
      <c r="C37" s="395" t="s">
        <v>71</v>
      </c>
      <c r="D37" s="404"/>
      <c r="E37" s="391"/>
      <c r="F37" s="392"/>
      <c r="G37" s="391"/>
      <c r="H37" s="393"/>
      <c r="I37" s="391"/>
      <c r="P37" s="20"/>
      <c r="Q37" s="20"/>
      <c r="R37" s="20"/>
      <c r="S37" s="20"/>
      <c r="T37" s="20"/>
      <c r="U37" s="20"/>
    </row>
    <row r="38" spans="1:21" x14ac:dyDescent="0.2">
      <c r="A38" s="564">
        <v>29</v>
      </c>
      <c r="B38" s="389" t="s">
        <v>72</v>
      </c>
      <c r="C38" s="390" t="s">
        <v>73</v>
      </c>
      <c r="D38" s="404"/>
      <c r="E38" s="391"/>
      <c r="F38" s="392"/>
      <c r="G38" s="391"/>
      <c r="H38" s="393"/>
      <c r="I38" s="391"/>
      <c r="P38" s="20"/>
      <c r="Q38" s="20"/>
      <c r="R38" s="20"/>
      <c r="S38" s="20"/>
      <c r="T38" s="20"/>
      <c r="U38" s="20"/>
    </row>
    <row r="39" spans="1:21" ht="38.25" x14ac:dyDescent="0.2">
      <c r="A39" s="564">
        <v>30</v>
      </c>
      <c r="B39" s="389" t="s">
        <v>74</v>
      </c>
      <c r="C39" s="397" t="s">
        <v>377</v>
      </c>
      <c r="D39" s="404"/>
      <c r="E39" s="391"/>
      <c r="F39" s="392"/>
      <c r="G39" s="391"/>
      <c r="H39" s="393"/>
      <c r="I39" s="391"/>
      <c r="P39" s="20"/>
      <c r="Q39" s="20"/>
      <c r="R39" s="20"/>
      <c r="S39" s="20"/>
      <c r="T39" s="20"/>
      <c r="U39" s="20"/>
    </row>
    <row r="40" spans="1:21" ht="25.5" x14ac:dyDescent="0.2">
      <c r="A40" s="564">
        <v>31</v>
      </c>
      <c r="B40" s="389" t="s">
        <v>75</v>
      </c>
      <c r="C40" s="390" t="s">
        <v>76</v>
      </c>
      <c r="D40" s="404"/>
      <c r="E40" s="391"/>
      <c r="F40" s="392"/>
      <c r="G40" s="391"/>
      <c r="H40" s="393"/>
      <c r="I40" s="391"/>
      <c r="P40" s="20"/>
      <c r="Q40" s="20"/>
      <c r="R40" s="20"/>
      <c r="S40" s="20"/>
      <c r="T40" s="20"/>
      <c r="U40" s="20"/>
    </row>
    <row r="41" spans="1:21" x14ac:dyDescent="0.2">
      <c r="A41" s="564">
        <v>32</v>
      </c>
      <c r="B41" s="394" t="s">
        <v>77</v>
      </c>
      <c r="C41" s="395" t="s">
        <v>78</v>
      </c>
      <c r="D41" s="404">
        <f>5382+943</f>
        <v>6325</v>
      </c>
      <c r="E41" s="391">
        <v>81</v>
      </c>
      <c r="F41" s="392"/>
      <c r="G41" s="391"/>
      <c r="H41" s="393"/>
      <c r="I41" s="391"/>
      <c r="P41" s="20"/>
      <c r="Q41" s="20"/>
      <c r="R41" s="20"/>
      <c r="S41" s="20"/>
      <c r="T41" s="20"/>
      <c r="U41" s="20"/>
    </row>
    <row r="42" spans="1:21" x14ac:dyDescent="0.2">
      <c r="A42" s="564">
        <v>33</v>
      </c>
      <c r="B42" s="389" t="s">
        <v>79</v>
      </c>
      <c r="C42" s="390" t="s">
        <v>80</v>
      </c>
      <c r="D42" s="404"/>
      <c r="E42" s="391"/>
      <c r="F42" s="392"/>
      <c r="G42" s="391"/>
      <c r="H42" s="393"/>
      <c r="I42" s="391"/>
      <c r="P42" s="20"/>
      <c r="Q42" s="20"/>
      <c r="R42" s="20"/>
      <c r="S42" s="20"/>
      <c r="T42" s="20"/>
      <c r="U42" s="20"/>
    </row>
    <row r="43" spans="1:21" x14ac:dyDescent="0.2">
      <c r="A43" s="564">
        <v>34</v>
      </c>
      <c r="B43" s="569" t="s">
        <v>81</v>
      </c>
      <c r="C43" s="397" t="s">
        <v>82</v>
      </c>
      <c r="D43" s="404">
        <f>2843+23</f>
        <v>2866</v>
      </c>
      <c r="E43" s="391"/>
      <c r="F43" s="392"/>
      <c r="G43" s="391"/>
      <c r="H43" s="393"/>
      <c r="I43" s="391"/>
      <c r="P43" s="20"/>
      <c r="Q43" s="20"/>
      <c r="R43" s="20"/>
      <c r="S43" s="20"/>
      <c r="T43" s="20"/>
      <c r="U43" s="20"/>
    </row>
    <row r="44" spans="1:21" x14ac:dyDescent="0.2">
      <c r="A44" s="564">
        <v>35</v>
      </c>
      <c r="B44" s="389" t="s">
        <v>83</v>
      </c>
      <c r="C44" s="390" t="s">
        <v>84</v>
      </c>
      <c r="D44" s="404">
        <f>7988+23</f>
        <v>8011</v>
      </c>
      <c r="E44" s="391"/>
      <c r="F44" s="392"/>
      <c r="G44" s="391"/>
      <c r="H44" s="393"/>
      <c r="I44" s="391"/>
      <c r="P44" s="20"/>
      <c r="Q44" s="20"/>
      <c r="R44" s="20"/>
      <c r="S44" s="20"/>
      <c r="T44" s="20"/>
      <c r="U44" s="20"/>
    </row>
    <row r="45" spans="1:21" x14ac:dyDescent="0.2">
      <c r="A45" s="564">
        <v>36</v>
      </c>
      <c r="B45" s="389" t="s">
        <v>85</v>
      </c>
      <c r="C45" s="390" t="s">
        <v>86</v>
      </c>
      <c r="D45" s="404">
        <f>2039+500</f>
        <v>2539</v>
      </c>
      <c r="E45" s="391"/>
      <c r="F45" s="392"/>
      <c r="G45" s="391"/>
      <c r="H45" s="393"/>
      <c r="I45" s="391"/>
      <c r="P45" s="20"/>
      <c r="Q45" s="20"/>
      <c r="R45" s="20"/>
      <c r="S45" s="20"/>
      <c r="T45" s="20"/>
      <c r="U45" s="20"/>
    </row>
    <row r="46" spans="1:21" x14ac:dyDescent="0.2">
      <c r="A46" s="564">
        <v>37</v>
      </c>
      <c r="B46" s="394" t="s">
        <v>87</v>
      </c>
      <c r="C46" s="395" t="s">
        <v>88</v>
      </c>
      <c r="D46" s="404">
        <f>5677+292</f>
        <v>5969</v>
      </c>
      <c r="E46" s="391"/>
      <c r="F46" s="392"/>
      <c r="G46" s="391"/>
      <c r="H46" s="393"/>
      <c r="I46" s="391"/>
      <c r="P46" s="20"/>
      <c r="Q46" s="20"/>
      <c r="R46" s="20"/>
      <c r="S46" s="20"/>
      <c r="T46" s="20"/>
      <c r="U46" s="20"/>
    </row>
    <row r="47" spans="1:21" x14ac:dyDescent="0.2">
      <c r="A47" s="564">
        <v>38</v>
      </c>
      <c r="B47" s="389" t="s">
        <v>89</v>
      </c>
      <c r="C47" s="390" t="s">
        <v>90</v>
      </c>
      <c r="D47" s="404">
        <f>2496+45</f>
        <v>2541</v>
      </c>
      <c r="E47" s="391"/>
      <c r="F47" s="392"/>
      <c r="G47" s="391"/>
      <c r="H47" s="393"/>
      <c r="I47" s="391"/>
      <c r="P47" s="20"/>
      <c r="Q47" s="20"/>
      <c r="R47" s="20"/>
      <c r="S47" s="20"/>
      <c r="T47" s="20"/>
      <c r="U47" s="20"/>
    </row>
    <row r="48" spans="1:21" x14ac:dyDescent="0.2">
      <c r="A48" s="564">
        <v>39</v>
      </c>
      <c r="B48" s="389" t="s">
        <v>91</v>
      </c>
      <c r="C48" s="390" t="s">
        <v>92</v>
      </c>
      <c r="D48" s="404">
        <f>1268+23</f>
        <v>1291</v>
      </c>
      <c r="E48" s="391"/>
      <c r="F48" s="392"/>
      <c r="G48" s="391"/>
      <c r="H48" s="393"/>
      <c r="I48" s="391"/>
      <c r="P48" s="20"/>
      <c r="Q48" s="20"/>
      <c r="R48" s="20"/>
      <c r="S48" s="20"/>
      <c r="T48" s="20"/>
      <c r="U48" s="20"/>
    </row>
    <row r="49" spans="1:21" x14ac:dyDescent="0.2">
      <c r="A49" s="564">
        <v>40</v>
      </c>
      <c r="B49" s="402" t="s">
        <v>93</v>
      </c>
      <c r="C49" s="403" t="s">
        <v>94</v>
      </c>
      <c r="D49" s="404">
        <f>2226+45</f>
        <v>2271</v>
      </c>
      <c r="E49" s="391"/>
      <c r="F49" s="392"/>
      <c r="G49" s="391"/>
      <c r="H49" s="393"/>
      <c r="I49" s="391"/>
      <c r="P49" s="20"/>
      <c r="Q49" s="20"/>
      <c r="R49" s="20"/>
      <c r="S49" s="20"/>
      <c r="T49" s="20"/>
      <c r="U49" s="20"/>
    </row>
    <row r="50" spans="1:21" x14ac:dyDescent="0.2">
      <c r="A50" s="564">
        <v>41</v>
      </c>
      <c r="B50" s="389" t="s">
        <v>95</v>
      </c>
      <c r="C50" s="390" t="s">
        <v>96</v>
      </c>
      <c r="D50" s="404">
        <f>2042+23</f>
        <v>2065</v>
      </c>
      <c r="E50" s="391"/>
      <c r="F50" s="392"/>
      <c r="G50" s="391"/>
      <c r="H50" s="393"/>
      <c r="I50" s="391"/>
      <c r="P50" s="20"/>
      <c r="Q50" s="20"/>
      <c r="R50" s="20"/>
      <c r="S50" s="20"/>
      <c r="T50" s="20"/>
      <c r="U50" s="20"/>
    </row>
    <row r="51" spans="1:21" x14ac:dyDescent="0.2">
      <c r="A51" s="564">
        <v>42</v>
      </c>
      <c r="B51" s="569" t="s">
        <v>97</v>
      </c>
      <c r="C51" s="397" t="s">
        <v>98</v>
      </c>
      <c r="D51" s="404"/>
      <c r="E51" s="391"/>
      <c r="F51" s="392"/>
      <c r="G51" s="391"/>
      <c r="H51" s="393"/>
      <c r="I51" s="391"/>
      <c r="P51" s="20"/>
      <c r="Q51" s="20"/>
      <c r="R51" s="20"/>
      <c r="S51" s="20"/>
      <c r="T51" s="20"/>
      <c r="U51" s="20"/>
    </row>
    <row r="52" spans="1:21" x14ac:dyDescent="0.2">
      <c r="A52" s="564">
        <v>43</v>
      </c>
      <c r="B52" s="394" t="s">
        <v>99</v>
      </c>
      <c r="C52" s="395" t="s">
        <v>100</v>
      </c>
      <c r="D52" s="404">
        <f>8474+23</f>
        <v>8497</v>
      </c>
      <c r="E52" s="391">
        <v>81</v>
      </c>
      <c r="F52" s="392"/>
      <c r="G52" s="391"/>
      <c r="H52" s="393"/>
      <c r="I52" s="391"/>
      <c r="P52" s="20"/>
      <c r="Q52" s="20"/>
      <c r="R52" s="20"/>
      <c r="S52" s="20"/>
      <c r="T52" s="20"/>
      <c r="U52" s="20"/>
    </row>
    <row r="53" spans="1:21" x14ac:dyDescent="0.2">
      <c r="A53" s="564">
        <v>44</v>
      </c>
      <c r="B53" s="389" t="s">
        <v>101</v>
      </c>
      <c r="C53" s="390" t="s">
        <v>102</v>
      </c>
      <c r="D53" s="404">
        <f>2678+23</f>
        <v>2701</v>
      </c>
      <c r="E53" s="391"/>
      <c r="F53" s="392"/>
      <c r="G53" s="391"/>
      <c r="H53" s="393"/>
      <c r="I53" s="391"/>
      <c r="P53" s="20"/>
      <c r="Q53" s="20"/>
      <c r="R53" s="20"/>
      <c r="S53" s="20"/>
      <c r="T53" s="20"/>
      <c r="U53" s="20"/>
    </row>
    <row r="54" spans="1:21" ht="11.25" customHeight="1" x14ac:dyDescent="0.2">
      <c r="A54" s="564">
        <v>45</v>
      </c>
      <c r="B54" s="394" t="s">
        <v>103</v>
      </c>
      <c r="C54" s="395" t="s">
        <v>104</v>
      </c>
      <c r="D54" s="404">
        <f>7412+23</f>
        <v>7435</v>
      </c>
      <c r="E54" s="391"/>
      <c r="F54" s="392"/>
      <c r="G54" s="391"/>
      <c r="H54" s="396">
        <v>56</v>
      </c>
      <c r="I54" s="391">
        <v>620</v>
      </c>
      <c r="P54" s="20"/>
      <c r="Q54" s="20"/>
      <c r="R54" s="20"/>
      <c r="S54" s="20"/>
      <c r="T54" s="20"/>
      <c r="U54" s="20"/>
    </row>
    <row r="55" spans="1:21" x14ac:dyDescent="0.2">
      <c r="A55" s="564">
        <v>46</v>
      </c>
      <c r="B55" s="389" t="s">
        <v>105</v>
      </c>
      <c r="C55" s="390" t="s">
        <v>106</v>
      </c>
      <c r="D55" s="404">
        <f>2271+45</f>
        <v>2316</v>
      </c>
      <c r="E55" s="391"/>
      <c r="F55" s="392"/>
      <c r="G55" s="391"/>
      <c r="H55" s="393"/>
      <c r="I55" s="391"/>
      <c r="P55" s="20"/>
      <c r="Q55" s="20"/>
      <c r="R55" s="20"/>
      <c r="S55" s="20"/>
      <c r="T55" s="20"/>
      <c r="U55" s="20"/>
    </row>
    <row r="56" spans="1:21" x14ac:dyDescent="0.2">
      <c r="A56" s="564">
        <v>47</v>
      </c>
      <c r="B56" s="389" t="s">
        <v>107</v>
      </c>
      <c r="C56" s="390" t="s">
        <v>108</v>
      </c>
      <c r="D56" s="404">
        <f>2491+45</f>
        <v>2536</v>
      </c>
      <c r="E56" s="391"/>
      <c r="F56" s="392"/>
      <c r="G56" s="391"/>
      <c r="H56" s="393"/>
      <c r="I56" s="391"/>
      <c r="P56" s="20"/>
      <c r="Q56" s="20"/>
      <c r="R56" s="20"/>
      <c r="S56" s="20"/>
      <c r="T56" s="20"/>
      <c r="U56" s="20"/>
    </row>
    <row r="57" spans="1:21" x14ac:dyDescent="0.2">
      <c r="A57" s="564">
        <v>48</v>
      </c>
      <c r="B57" s="394" t="s">
        <v>109</v>
      </c>
      <c r="C57" s="395" t="s">
        <v>110</v>
      </c>
      <c r="D57" s="404">
        <f>4282-2000</f>
        <v>2282</v>
      </c>
      <c r="E57" s="391"/>
      <c r="F57" s="392"/>
      <c r="G57" s="391"/>
      <c r="H57" s="393"/>
      <c r="I57" s="391"/>
      <c r="P57" s="20"/>
      <c r="Q57" s="20"/>
      <c r="R57" s="20"/>
      <c r="S57" s="20"/>
      <c r="T57" s="20"/>
      <c r="U57" s="20"/>
    </row>
    <row r="58" spans="1:21" x14ac:dyDescent="0.2">
      <c r="A58" s="564">
        <v>49</v>
      </c>
      <c r="B58" s="394" t="s">
        <v>111</v>
      </c>
      <c r="C58" s="395" t="s">
        <v>112</v>
      </c>
      <c r="D58" s="404">
        <v>1260</v>
      </c>
      <c r="E58" s="391"/>
      <c r="F58" s="392"/>
      <c r="G58" s="391"/>
      <c r="H58" s="393"/>
      <c r="I58" s="391"/>
      <c r="P58" s="20"/>
      <c r="Q58" s="20"/>
      <c r="R58" s="20"/>
      <c r="S58" s="20"/>
      <c r="T58" s="20"/>
      <c r="U58" s="20"/>
    </row>
    <row r="59" spans="1:21" x14ac:dyDescent="0.2">
      <c r="A59" s="564">
        <v>50</v>
      </c>
      <c r="B59" s="389" t="s">
        <v>113</v>
      </c>
      <c r="C59" s="390" t="s">
        <v>114</v>
      </c>
      <c r="D59" s="404">
        <f>2499+45</f>
        <v>2544</v>
      </c>
      <c r="E59" s="391"/>
      <c r="F59" s="392"/>
      <c r="G59" s="391"/>
      <c r="H59" s="393"/>
      <c r="I59" s="391"/>
      <c r="P59" s="20"/>
      <c r="Q59" s="20"/>
      <c r="R59" s="20"/>
      <c r="S59" s="20"/>
      <c r="T59" s="20"/>
      <c r="U59" s="20"/>
    </row>
    <row r="60" spans="1:21" x14ac:dyDescent="0.2">
      <c r="A60" s="564">
        <v>51</v>
      </c>
      <c r="B60" s="394" t="s">
        <v>115</v>
      </c>
      <c r="C60" s="395" t="s">
        <v>116</v>
      </c>
      <c r="D60" s="404">
        <f>2776+23</f>
        <v>2799</v>
      </c>
      <c r="E60" s="391"/>
      <c r="F60" s="392"/>
      <c r="G60" s="391"/>
      <c r="H60" s="393"/>
      <c r="I60" s="391"/>
      <c r="P60" s="20"/>
      <c r="Q60" s="20"/>
      <c r="R60" s="20"/>
      <c r="S60" s="20"/>
      <c r="T60" s="20"/>
      <c r="U60" s="20"/>
    </row>
    <row r="61" spans="1:21" x14ac:dyDescent="0.2">
      <c r="A61" s="564">
        <v>52</v>
      </c>
      <c r="B61" s="389" t="s">
        <v>117</v>
      </c>
      <c r="C61" s="390" t="s">
        <v>118</v>
      </c>
      <c r="D61" s="404">
        <v>10783</v>
      </c>
      <c r="E61" s="391"/>
      <c r="F61" s="392"/>
      <c r="G61" s="391"/>
      <c r="H61" s="393"/>
      <c r="I61" s="391"/>
      <c r="P61" s="20"/>
      <c r="Q61" s="20"/>
      <c r="R61" s="20"/>
      <c r="S61" s="20"/>
      <c r="T61" s="20"/>
      <c r="U61" s="20"/>
    </row>
    <row r="62" spans="1:21" x14ac:dyDescent="0.2">
      <c r="A62" s="564">
        <v>53</v>
      </c>
      <c r="B62" s="394" t="s">
        <v>119</v>
      </c>
      <c r="C62" s="395" t="s">
        <v>120</v>
      </c>
      <c r="D62" s="404">
        <v>2097</v>
      </c>
      <c r="E62" s="391"/>
      <c r="F62" s="392"/>
      <c r="G62" s="391"/>
      <c r="H62" s="393"/>
      <c r="I62" s="391"/>
      <c r="P62" s="20"/>
      <c r="Q62" s="20"/>
      <c r="R62" s="20"/>
      <c r="S62" s="20"/>
      <c r="T62" s="20"/>
      <c r="U62" s="20"/>
    </row>
    <row r="63" spans="1:21" x14ac:dyDescent="0.2">
      <c r="A63" s="564">
        <v>54</v>
      </c>
      <c r="B63" s="394" t="s">
        <v>121</v>
      </c>
      <c r="C63" s="395" t="s">
        <v>122</v>
      </c>
      <c r="D63" s="404"/>
      <c r="E63" s="391"/>
      <c r="F63" s="392"/>
      <c r="G63" s="391"/>
      <c r="H63" s="393"/>
      <c r="I63" s="391"/>
      <c r="P63" s="20"/>
      <c r="Q63" s="20"/>
      <c r="R63" s="20"/>
      <c r="S63" s="20"/>
      <c r="T63" s="20"/>
      <c r="U63" s="20"/>
    </row>
    <row r="64" spans="1:21" x14ac:dyDescent="0.2">
      <c r="A64" s="564">
        <v>55</v>
      </c>
      <c r="B64" s="394" t="s">
        <v>123</v>
      </c>
      <c r="C64" s="395" t="s">
        <v>124</v>
      </c>
      <c r="D64" s="404"/>
      <c r="E64" s="391"/>
      <c r="F64" s="392"/>
      <c r="G64" s="391"/>
      <c r="H64" s="393"/>
      <c r="I64" s="391"/>
      <c r="P64" s="20"/>
      <c r="Q64" s="20"/>
      <c r="R64" s="20"/>
      <c r="S64" s="20"/>
      <c r="T64" s="20"/>
      <c r="U64" s="20"/>
    </row>
    <row r="65" spans="1:21" ht="25.5" x14ac:dyDescent="0.2">
      <c r="A65" s="564">
        <v>56</v>
      </c>
      <c r="B65" s="565" t="s">
        <v>125</v>
      </c>
      <c r="C65" s="405" t="s">
        <v>126</v>
      </c>
      <c r="D65" s="404"/>
      <c r="E65" s="391"/>
      <c r="F65" s="392"/>
      <c r="G65" s="391"/>
      <c r="H65" s="393"/>
      <c r="I65" s="391"/>
      <c r="P65" s="20"/>
      <c r="Q65" s="20"/>
      <c r="R65" s="20"/>
      <c r="S65" s="20"/>
      <c r="T65" s="20"/>
      <c r="U65" s="20"/>
    </row>
    <row r="66" spans="1:21" ht="25.5" x14ac:dyDescent="0.2">
      <c r="A66" s="564">
        <v>57</v>
      </c>
      <c r="B66" s="394" t="s">
        <v>127</v>
      </c>
      <c r="C66" s="395" t="s">
        <v>128</v>
      </c>
      <c r="D66" s="404"/>
      <c r="E66" s="391"/>
      <c r="F66" s="392"/>
      <c r="G66" s="391"/>
      <c r="H66" s="393"/>
      <c r="I66" s="391"/>
      <c r="P66" s="20"/>
      <c r="Q66" s="20"/>
      <c r="R66" s="20"/>
      <c r="S66" s="20"/>
      <c r="T66" s="20"/>
      <c r="U66" s="20"/>
    </row>
    <row r="67" spans="1:21" ht="25.5" x14ac:dyDescent="0.2">
      <c r="A67" s="564">
        <v>58</v>
      </c>
      <c r="B67" s="394" t="s">
        <v>129</v>
      </c>
      <c r="C67" s="395" t="s">
        <v>457</v>
      </c>
      <c r="D67" s="404"/>
      <c r="E67" s="391"/>
      <c r="F67" s="392"/>
      <c r="G67" s="391"/>
      <c r="H67" s="393"/>
      <c r="I67" s="391"/>
      <c r="P67" s="20"/>
      <c r="Q67" s="20"/>
      <c r="R67" s="20"/>
      <c r="S67" s="20"/>
      <c r="T67" s="20"/>
      <c r="U67" s="20"/>
    </row>
    <row r="68" spans="1:21" ht="25.5" x14ac:dyDescent="0.2">
      <c r="A68" s="564">
        <v>59</v>
      </c>
      <c r="B68" s="394" t="s">
        <v>131</v>
      </c>
      <c r="C68" s="395" t="s">
        <v>132</v>
      </c>
      <c r="D68" s="404"/>
      <c r="E68" s="391"/>
      <c r="F68" s="392"/>
      <c r="G68" s="391"/>
      <c r="H68" s="393"/>
      <c r="I68" s="391"/>
      <c r="P68" s="20"/>
      <c r="Q68" s="20"/>
      <c r="R68" s="20"/>
      <c r="S68" s="20"/>
      <c r="T68" s="20"/>
      <c r="U68" s="20"/>
    </row>
    <row r="69" spans="1:21" ht="25.5" x14ac:dyDescent="0.2">
      <c r="A69" s="564">
        <v>60</v>
      </c>
      <c r="B69" s="389" t="s">
        <v>133</v>
      </c>
      <c r="C69" s="395" t="s">
        <v>299</v>
      </c>
      <c r="D69" s="404"/>
      <c r="E69" s="391"/>
      <c r="F69" s="392"/>
      <c r="G69" s="391"/>
      <c r="H69" s="393"/>
      <c r="I69" s="391"/>
      <c r="P69" s="20"/>
      <c r="Q69" s="20"/>
      <c r="R69" s="20"/>
      <c r="S69" s="20"/>
      <c r="T69" s="20"/>
      <c r="U69" s="20"/>
    </row>
    <row r="70" spans="1:21" ht="25.5" x14ac:dyDescent="0.2">
      <c r="A70" s="564">
        <v>61</v>
      </c>
      <c r="B70" s="569" t="s">
        <v>135</v>
      </c>
      <c r="C70" s="395" t="s">
        <v>459</v>
      </c>
      <c r="D70" s="404"/>
      <c r="E70" s="391"/>
      <c r="F70" s="392"/>
      <c r="G70" s="391"/>
      <c r="H70" s="393"/>
      <c r="I70" s="391"/>
      <c r="P70" s="20"/>
      <c r="Q70" s="20"/>
      <c r="R70" s="20"/>
      <c r="S70" s="20"/>
      <c r="T70" s="20"/>
      <c r="U70" s="20"/>
    </row>
    <row r="71" spans="1:21" ht="38.25" x14ac:dyDescent="0.2">
      <c r="A71" s="564">
        <v>62</v>
      </c>
      <c r="B71" s="389" t="s">
        <v>137</v>
      </c>
      <c r="C71" s="395" t="s">
        <v>635</v>
      </c>
      <c r="D71" s="404"/>
      <c r="E71" s="391"/>
      <c r="F71" s="392"/>
      <c r="G71" s="391"/>
      <c r="H71" s="393"/>
      <c r="I71" s="391"/>
      <c r="P71" s="20"/>
      <c r="Q71" s="20"/>
      <c r="R71" s="20"/>
      <c r="S71" s="20"/>
      <c r="T71" s="20"/>
      <c r="U71" s="20"/>
    </row>
    <row r="72" spans="1:21" ht="38.25" x14ac:dyDescent="0.2">
      <c r="A72" s="564">
        <v>63</v>
      </c>
      <c r="B72" s="394" t="s">
        <v>139</v>
      </c>
      <c r="C72" s="395" t="s">
        <v>636</v>
      </c>
      <c r="D72" s="404"/>
      <c r="E72" s="391"/>
      <c r="F72" s="392"/>
      <c r="G72" s="391"/>
      <c r="H72" s="393"/>
      <c r="I72" s="391"/>
      <c r="P72" s="20"/>
      <c r="Q72" s="20"/>
      <c r="R72" s="20"/>
      <c r="S72" s="20"/>
      <c r="T72" s="20"/>
      <c r="U72" s="20"/>
    </row>
    <row r="73" spans="1:21" x14ac:dyDescent="0.2">
      <c r="A73" s="564">
        <v>64</v>
      </c>
      <c r="B73" s="389" t="s">
        <v>141</v>
      </c>
      <c r="C73" s="395" t="s">
        <v>454</v>
      </c>
      <c r="D73" s="404"/>
      <c r="E73" s="391"/>
      <c r="F73" s="392"/>
      <c r="G73" s="391"/>
      <c r="H73" s="393"/>
      <c r="I73" s="391"/>
      <c r="P73" s="20"/>
      <c r="Q73" s="20"/>
      <c r="R73" s="20"/>
      <c r="S73" s="20"/>
      <c r="T73" s="20"/>
      <c r="U73" s="20"/>
    </row>
    <row r="74" spans="1:21" x14ac:dyDescent="0.2">
      <c r="A74" s="564">
        <v>65</v>
      </c>
      <c r="B74" s="389" t="s">
        <v>143</v>
      </c>
      <c r="C74" s="395" t="s">
        <v>144</v>
      </c>
      <c r="D74" s="404"/>
      <c r="E74" s="391"/>
      <c r="F74" s="392"/>
      <c r="G74" s="391"/>
      <c r="H74" s="393"/>
      <c r="I74" s="391"/>
      <c r="P74" s="20"/>
      <c r="Q74" s="20"/>
      <c r="R74" s="20"/>
      <c r="S74" s="20"/>
      <c r="T74" s="20"/>
      <c r="U74" s="20"/>
    </row>
    <row r="75" spans="1:21" x14ac:dyDescent="0.2">
      <c r="A75" s="564">
        <v>66</v>
      </c>
      <c r="B75" s="389" t="s">
        <v>145</v>
      </c>
      <c r="C75" s="395" t="s">
        <v>455</v>
      </c>
      <c r="D75" s="404"/>
      <c r="E75" s="391"/>
      <c r="F75" s="392"/>
      <c r="G75" s="391"/>
      <c r="H75" s="393"/>
      <c r="I75" s="391"/>
      <c r="P75" s="20"/>
      <c r="Q75" s="20"/>
      <c r="R75" s="20"/>
      <c r="S75" s="20"/>
      <c r="T75" s="20"/>
      <c r="U75" s="20"/>
    </row>
    <row r="76" spans="1:21" ht="25.5" x14ac:dyDescent="0.2">
      <c r="A76" s="564">
        <v>67</v>
      </c>
      <c r="B76" s="389" t="s">
        <v>147</v>
      </c>
      <c r="C76" s="395" t="s">
        <v>637</v>
      </c>
      <c r="D76" s="404"/>
      <c r="E76" s="391"/>
      <c r="F76" s="392"/>
      <c r="G76" s="391"/>
      <c r="H76" s="393"/>
      <c r="I76" s="391"/>
      <c r="P76" s="20"/>
      <c r="Q76" s="20"/>
      <c r="R76" s="20"/>
      <c r="S76" s="20"/>
      <c r="T76" s="20"/>
      <c r="U76" s="20"/>
    </row>
    <row r="77" spans="1:21" ht="25.5" x14ac:dyDescent="0.2">
      <c r="A77" s="564">
        <v>68</v>
      </c>
      <c r="B77" s="389" t="s">
        <v>149</v>
      </c>
      <c r="C77" s="395" t="s">
        <v>461</v>
      </c>
      <c r="D77" s="404"/>
      <c r="E77" s="391"/>
      <c r="F77" s="392"/>
      <c r="G77" s="391"/>
      <c r="H77" s="393"/>
      <c r="I77" s="391"/>
      <c r="P77" s="20"/>
      <c r="Q77" s="20"/>
      <c r="R77" s="20"/>
      <c r="S77" s="20"/>
      <c r="T77" s="20"/>
      <c r="U77" s="20"/>
    </row>
    <row r="78" spans="1:21" ht="25.5" x14ac:dyDescent="0.2">
      <c r="A78" s="564">
        <v>69</v>
      </c>
      <c r="B78" s="389" t="s">
        <v>151</v>
      </c>
      <c r="C78" s="395" t="s">
        <v>638</v>
      </c>
      <c r="D78" s="404"/>
      <c r="E78" s="391"/>
      <c r="F78" s="392"/>
      <c r="G78" s="391"/>
      <c r="H78" s="393"/>
      <c r="I78" s="391"/>
      <c r="P78" s="20"/>
      <c r="Q78" s="20"/>
      <c r="R78" s="20"/>
      <c r="S78" s="20"/>
      <c r="T78" s="20"/>
      <c r="U78" s="20"/>
    </row>
    <row r="79" spans="1:21" ht="25.5" x14ac:dyDescent="0.2">
      <c r="A79" s="564">
        <v>70</v>
      </c>
      <c r="B79" s="389" t="s">
        <v>153</v>
      </c>
      <c r="C79" s="395" t="s">
        <v>639</v>
      </c>
      <c r="D79" s="404"/>
      <c r="E79" s="391"/>
      <c r="F79" s="392"/>
      <c r="G79" s="391"/>
      <c r="H79" s="393"/>
      <c r="I79" s="391"/>
      <c r="P79" s="20"/>
      <c r="Q79" s="20"/>
      <c r="R79" s="20"/>
      <c r="S79" s="20"/>
      <c r="T79" s="20"/>
      <c r="U79" s="20"/>
    </row>
    <row r="80" spans="1:21" ht="25.5" x14ac:dyDescent="0.2">
      <c r="A80" s="564">
        <v>71</v>
      </c>
      <c r="B80" s="394" t="s">
        <v>155</v>
      </c>
      <c r="C80" s="395" t="s">
        <v>640</v>
      </c>
      <c r="D80" s="404"/>
      <c r="E80" s="391"/>
      <c r="F80" s="392"/>
      <c r="G80" s="391"/>
      <c r="H80" s="393"/>
      <c r="I80" s="391"/>
      <c r="P80" s="20"/>
      <c r="Q80" s="20"/>
      <c r="R80" s="20"/>
      <c r="S80" s="20"/>
      <c r="T80" s="20"/>
      <c r="U80" s="20"/>
    </row>
    <row r="81" spans="1:21" ht="25.5" x14ac:dyDescent="0.2">
      <c r="A81" s="564">
        <v>72</v>
      </c>
      <c r="B81" s="389" t="s">
        <v>157</v>
      </c>
      <c r="C81" s="390" t="s">
        <v>641</v>
      </c>
      <c r="D81" s="404"/>
      <c r="E81" s="391"/>
      <c r="F81" s="392"/>
      <c r="G81" s="391"/>
      <c r="H81" s="393"/>
      <c r="I81" s="391"/>
      <c r="P81" s="20"/>
      <c r="Q81" s="20"/>
      <c r="R81" s="20"/>
      <c r="S81" s="20"/>
      <c r="T81" s="20"/>
      <c r="U81" s="20"/>
    </row>
    <row r="82" spans="1:21" ht="25.5" x14ac:dyDescent="0.2">
      <c r="A82" s="564">
        <v>73</v>
      </c>
      <c r="B82" s="394" t="s">
        <v>159</v>
      </c>
      <c r="C82" s="395" t="s">
        <v>642</v>
      </c>
      <c r="D82" s="404"/>
      <c r="E82" s="391"/>
      <c r="F82" s="392"/>
      <c r="G82" s="391"/>
      <c r="H82" s="393"/>
      <c r="I82" s="391"/>
      <c r="P82" s="20"/>
      <c r="Q82" s="20"/>
      <c r="R82" s="20"/>
      <c r="S82" s="20"/>
      <c r="T82" s="20"/>
      <c r="U82" s="20"/>
    </row>
    <row r="83" spans="1:21" ht="25.5" x14ac:dyDescent="0.2">
      <c r="A83" s="564">
        <v>74</v>
      </c>
      <c r="B83" s="389" t="s">
        <v>161</v>
      </c>
      <c r="C83" s="395" t="s">
        <v>162</v>
      </c>
      <c r="D83" s="404"/>
      <c r="E83" s="391"/>
      <c r="F83" s="392"/>
      <c r="G83" s="391"/>
      <c r="H83" s="393"/>
      <c r="I83" s="391"/>
      <c r="P83" s="20"/>
      <c r="Q83" s="20"/>
      <c r="R83" s="20"/>
      <c r="S83" s="20"/>
      <c r="T83" s="20"/>
      <c r="U83" s="20"/>
    </row>
    <row r="84" spans="1:21" x14ac:dyDescent="0.2">
      <c r="A84" s="564">
        <v>75</v>
      </c>
      <c r="B84" s="394" t="s">
        <v>163</v>
      </c>
      <c r="C84" s="395" t="s">
        <v>456</v>
      </c>
      <c r="D84" s="404"/>
      <c r="E84" s="391"/>
      <c r="F84" s="392"/>
      <c r="G84" s="391"/>
      <c r="H84" s="393"/>
      <c r="I84" s="391"/>
      <c r="P84" s="20"/>
      <c r="Q84" s="20"/>
      <c r="R84" s="20"/>
      <c r="S84" s="20"/>
      <c r="T84" s="20"/>
      <c r="U84" s="20"/>
    </row>
    <row r="85" spans="1:21" x14ac:dyDescent="0.2">
      <c r="A85" s="564">
        <v>76</v>
      </c>
      <c r="B85" s="394" t="s">
        <v>165</v>
      </c>
      <c r="C85" s="395" t="s">
        <v>166</v>
      </c>
      <c r="D85" s="404"/>
      <c r="E85" s="391"/>
      <c r="F85" s="392"/>
      <c r="G85" s="391"/>
      <c r="H85" s="393"/>
      <c r="I85" s="391"/>
      <c r="P85" s="20"/>
      <c r="Q85" s="20"/>
      <c r="R85" s="20"/>
      <c r="S85" s="20"/>
      <c r="T85" s="20"/>
      <c r="U85" s="20"/>
    </row>
    <row r="86" spans="1:21" x14ac:dyDescent="0.2">
      <c r="A86" s="564">
        <v>77</v>
      </c>
      <c r="B86" s="389" t="s">
        <v>167</v>
      </c>
      <c r="C86" s="395" t="s">
        <v>168</v>
      </c>
      <c r="D86" s="404"/>
      <c r="E86" s="391"/>
      <c r="F86" s="392"/>
      <c r="G86" s="391"/>
      <c r="H86" s="393"/>
      <c r="I86" s="391"/>
      <c r="P86" s="20"/>
      <c r="Q86" s="20"/>
      <c r="R86" s="20"/>
      <c r="S86" s="20"/>
      <c r="T86" s="20"/>
      <c r="U86" s="20"/>
    </row>
    <row r="87" spans="1:21" x14ac:dyDescent="0.2">
      <c r="A87" s="564">
        <v>78</v>
      </c>
      <c r="B87" s="389" t="s">
        <v>169</v>
      </c>
      <c r="C87" s="395" t="s">
        <v>170</v>
      </c>
      <c r="D87" s="404"/>
      <c r="E87" s="391"/>
      <c r="F87" s="392"/>
      <c r="G87" s="391"/>
      <c r="H87" s="393"/>
      <c r="I87" s="391"/>
      <c r="P87" s="20"/>
      <c r="Q87" s="20"/>
      <c r="R87" s="20"/>
      <c r="S87" s="20"/>
      <c r="T87" s="20"/>
      <c r="U87" s="20"/>
    </row>
    <row r="88" spans="1:21" x14ac:dyDescent="0.2">
      <c r="A88" s="564">
        <v>79</v>
      </c>
      <c r="B88" s="389" t="s">
        <v>171</v>
      </c>
      <c r="C88" s="395" t="s">
        <v>172</v>
      </c>
      <c r="D88" s="404"/>
      <c r="E88" s="391"/>
      <c r="F88" s="392"/>
      <c r="G88" s="391"/>
      <c r="H88" s="393"/>
      <c r="I88" s="391"/>
      <c r="P88" s="20"/>
      <c r="Q88" s="20"/>
      <c r="R88" s="20"/>
      <c r="S88" s="20"/>
      <c r="T88" s="20"/>
      <c r="U88" s="20"/>
    </row>
    <row r="89" spans="1:21" x14ac:dyDescent="0.2">
      <c r="A89" s="564">
        <v>80</v>
      </c>
      <c r="B89" s="389" t="s">
        <v>173</v>
      </c>
      <c r="C89" s="395" t="s">
        <v>613</v>
      </c>
      <c r="D89" s="404"/>
      <c r="E89" s="391"/>
      <c r="F89" s="392"/>
      <c r="G89" s="391"/>
      <c r="H89" s="393"/>
      <c r="I89" s="391"/>
      <c r="P89" s="20"/>
      <c r="Q89" s="20"/>
      <c r="R89" s="20"/>
      <c r="S89" s="20"/>
      <c r="T89" s="20"/>
      <c r="U89" s="20"/>
    </row>
    <row r="90" spans="1:21" x14ac:dyDescent="0.2">
      <c r="A90" s="564">
        <v>81</v>
      </c>
      <c r="B90" s="389" t="s">
        <v>175</v>
      </c>
      <c r="C90" s="107" t="s">
        <v>742</v>
      </c>
      <c r="D90" s="404"/>
      <c r="E90" s="391"/>
      <c r="F90" s="392"/>
      <c r="G90" s="391"/>
      <c r="H90" s="393"/>
      <c r="I90" s="391"/>
      <c r="P90" s="20"/>
      <c r="Q90" s="20"/>
      <c r="R90" s="20"/>
      <c r="S90" s="20"/>
      <c r="T90" s="20"/>
      <c r="U90" s="20"/>
    </row>
    <row r="91" spans="1:21" x14ac:dyDescent="0.2">
      <c r="A91" s="564">
        <v>82</v>
      </c>
      <c r="B91" s="406" t="s">
        <v>177</v>
      </c>
      <c r="C91" s="405" t="s">
        <v>745</v>
      </c>
      <c r="D91" s="404"/>
      <c r="E91" s="391"/>
      <c r="F91" s="392"/>
      <c r="G91" s="391"/>
      <c r="H91" s="393"/>
      <c r="I91" s="391"/>
      <c r="P91" s="20"/>
      <c r="Q91" s="20"/>
      <c r="R91" s="20"/>
      <c r="S91" s="20"/>
      <c r="T91" s="20"/>
      <c r="U91" s="20"/>
    </row>
    <row r="92" spans="1:21" ht="25.5" x14ac:dyDescent="0.2">
      <c r="A92" s="1243">
        <v>83</v>
      </c>
      <c r="B92" s="1244" t="s">
        <v>178</v>
      </c>
      <c r="C92" s="407" t="s">
        <v>746</v>
      </c>
      <c r="D92" s="404"/>
      <c r="E92" s="391"/>
      <c r="F92" s="392"/>
      <c r="G92" s="391"/>
      <c r="H92" s="393"/>
      <c r="I92" s="391"/>
      <c r="P92" s="20"/>
      <c r="Q92" s="20"/>
      <c r="R92" s="20"/>
      <c r="S92" s="20"/>
      <c r="T92" s="20"/>
      <c r="U92" s="20"/>
    </row>
    <row r="93" spans="1:21" ht="25.5" x14ac:dyDescent="0.2">
      <c r="A93" s="1243"/>
      <c r="B93" s="1244"/>
      <c r="C93" s="405" t="s">
        <v>179</v>
      </c>
      <c r="D93" s="404"/>
      <c r="E93" s="391"/>
      <c r="F93" s="392"/>
      <c r="G93" s="391"/>
      <c r="H93" s="393"/>
      <c r="I93" s="391"/>
      <c r="P93" s="20"/>
      <c r="Q93" s="20"/>
      <c r="R93" s="20"/>
      <c r="S93" s="20"/>
      <c r="T93" s="20"/>
      <c r="U93" s="20"/>
    </row>
    <row r="94" spans="1:21" ht="25.5" x14ac:dyDescent="0.2">
      <c r="A94" s="1243"/>
      <c r="B94" s="1244"/>
      <c r="C94" s="405" t="s">
        <v>180</v>
      </c>
      <c r="D94" s="404"/>
      <c r="E94" s="391"/>
      <c r="F94" s="392"/>
      <c r="G94" s="391"/>
      <c r="H94" s="393"/>
      <c r="I94" s="391"/>
      <c r="P94" s="20"/>
      <c r="Q94" s="20"/>
      <c r="R94" s="20"/>
      <c r="S94" s="20"/>
      <c r="T94" s="20"/>
      <c r="U94" s="20"/>
    </row>
    <row r="95" spans="1:21" ht="51" x14ac:dyDescent="0.2">
      <c r="A95" s="1243"/>
      <c r="B95" s="1244"/>
      <c r="C95" s="408" t="s">
        <v>507</v>
      </c>
      <c r="D95" s="404"/>
      <c r="E95" s="391"/>
      <c r="F95" s="392"/>
      <c r="G95" s="391"/>
      <c r="H95" s="393"/>
      <c r="I95" s="391"/>
      <c r="P95" s="20"/>
      <c r="Q95" s="20"/>
      <c r="R95" s="20"/>
      <c r="S95" s="20"/>
      <c r="T95" s="20"/>
      <c r="U95" s="20"/>
    </row>
    <row r="96" spans="1:21" ht="25.5" x14ac:dyDescent="0.2">
      <c r="A96" s="564">
        <v>84</v>
      </c>
      <c r="B96" s="394" t="s">
        <v>181</v>
      </c>
      <c r="C96" s="395" t="s">
        <v>182</v>
      </c>
      <c r="D96" s="404"/>
      <c r="E96" s="391"/>
      <c r="F96" s="392"/>
      <c r="G96" s="391"/>
      <c r="H96" s="393"/>
      <c r="I96" s="391"/>
      <c r="P96" s="20"/>
      <c r="Q96" s="20"/>
      <c r="R96" s="20"/>
      <c r="S96" s="20"/>
      <c r="T96" s="20"/>
      <c r="U96" s="20"/>
    </row>
    <row r="97" spans="1:21" x14ac:dyDescent="0.2">
      <c r="A97" s="564">
        <v>85</v>
      </c>
      <c r="B97" s="389" t="s">
        <v>183</v>
      </c>
      <c r="C97" s="395" t="s">
        <v>184</v>
      </c>
      <c r="D97" s="404"/>
      <c r="E97" s="391"/>
      <c r="F97" s="392"/>
      <c r="G97" s="391"/>
      <c r="H97" s="393"/>
      <c r="I97" s="391"/>
      <c r="P97" s="20"/>
      <c r="Q97" s="20"/>
      <c r="R97" s="20"/>
      <c r="S97" s="20"/>
      <c r="T97" s="20"/>
      <c r="U97" s="20"/>
    </row>
    <row r="98" spans="1:21" x14ac:dyDescent="0.2">
      <c r="A98" s="564">
        <v>86</v>
      </c>
      <c r="B98" s="394" t="s">
        <v>185</v>
      </c>
      <c r="C98" s="395" t="s">
        <v>186</v>
      </c>
      <c r="D98" s="404"/>
      <c r="E98" s="391"/>
      <c r="F98" s="392"/>
      <c r="G98" s="391"/>
      <c r="H98" s="393"/>
      <c r="I98" s="391"/>
      <c r="P98" s="20"/>
      <c r="Q98" s="20"/>
      <c r="R98" s="20"/>
      <c r="S98" s="20"/>
      <c r="T98" s="20"/>
      <c r="U98" s="20"/>
    </row>
    <row r="99" spans="1:21" x14ac:dyDescent="0.2">
      <c r="A99" s="564">
        <v>87</v>
      </c>
      <c r="B99" s="569" t="s">
        <v>187</v>
      </c>
      <c r="C99" s="397" t="s">
        <v>188</v>
      </c>
      <c r="D99" s="404">
        <f>1608+45</f>
        <v>1653</v>
      </c>
      <c r="E99" s="391"/>
      <c r="F99" s="392"/>
      <c r="G99" s="391"/>
      <c r="H99" s="393"/>
      <c r="I99" s="391"/>
      <c r="P99" s="20"/>
      <c r="Q99" s="20"/>
      <c r="R99" s="20"/>
      <c r="S99" s="20"/>
      <c r="T99" s="20"/>
      <c r="U99" s="20"/>
    </row>
    <row r="100" spans="1:21" x14ac:dyDescent="0.2">
      <c r="A100" s="564">
        <v>88</v>
      </c>
      <c r="B100" s="389" t="s">
        <v>189</v>
      </c>
      <c r="C100" s="395" t="s">
        <v>190</v>
      </c>
      <c r="D100" s="404">
        <f>2085+45</f>
        <v>2130</v>
      </c>
      <c r="E100" s="391"/>
      <c r="F100" s="392"/>
      <c r="G100" s="391"/>
      <c r="H100" s="393"/>
      <c r="I100" s="391"/>
      <c r="P100" s="20"/>
      <c r="Q100" s="20"/>
      <c r="R100" s="20"/>
      <c r="S100" s="20"/>
      <c r="T100" s="20"/>
      <c r="U100" s="20"/>
    </row>
    <row r="101" spans="1:21" x14ac:dyDescent="0.2">
      <c r="A101" s="564">
        <v>89</v>
      </c>
      <c r="B101" s="389" t="s">
        <v>191</v>
      </c>
      <c r="C101" s="395" t="s">
        <v>192</v>
      </c>
      <c r="D101" s="404">
        <f>3666+45</f>
        <v>3711</v>
      </c>
      <c r="E101" s="391"/>
      <c r="F101" s="392"/>
      <c r="G101" s="391"/>
      <c r="H101" s="393"/>
      <c r="I101" s="391"/>
      <c r="P101" s="20"/>
      <c r="Q101" s="20"/>
      <c r="R101" s="20"/>
      <c r="S101" s="20"/>
      <c r="T101" s="20"/>
      <c r="U101" s="20"/>
    </row>
    <row r="102" spans="1:21" x14ac:dyDescent="0.2">
      <c r="A102" s="564">
        <v>90</v>
      </c>
      <c r="B102" s="569" t="s">
        <v>193</v>
      </c>
      <c r="C102" s="397" t="s">
        <v>194</v>
      </c>
      <c r="D102" s="404">
        <f>1136+508</f>
        <v>1644</v>
      </c>
      <c r="E102" s="391"/>
      <c r="F102" s="392"/>
      <c r="G102" s="391"/>
      <c r="H102" s="393"/>
      <c r="I102" s="391"/>
      <c r="P102" s="20"/>
      <c r="Q102" s="20"/>
      <c r="R102" s="20"/>
      <c r="S102" s="20"/>
      <c r="T102" s="20"/>
      <c r="U102" s="20"/>
    </row>
    <row r="103" spans="1:21" x14ac:dyDescent="0.2">
      <c r="A103" s="564">
        <v>91</v>
      </c>
      <c r="B103" s="389" t="s">
        <v>195</v>
      </c>
      <c r="C103" s="395" t="s">
        <v>196</v>
      </c>
      <c r="D103" s="404">
        <f>2395+45</f>
        <v>2440</v>
      </c>
      <c r="E103" s="391"/>
      <c r="F103" s="392"/>
      <c r="G103" s="391"/>
      <c r="H103" s="393"/>
      <c r="I103" s="391"/>
      <c r="P103" s="20"/>
      <c r="Q103" s="20"/>
      <c r="R103" s="20"/>
      <c r="S103" s="20"/>
      <c r="T103" s="20"/>
      <c r="U103" s="20"/>
    </row>
    <row r="104" spans="1:21" x14ac:dyDescent="0.2">
      <c r="A104" s="564">
        <v>92</v>
      </c>
      <c r="B104" s="569" t="s">
        <v>197</v>
      </c>
      <c r="C104" s="397" t="s">
        <v>198</v>
      </c>
      <c r="D104" s="404">
        <f>4211+801+23</f>
        <v>5035</v>
      </c>
      <c r="E104" s="391"/>
      <c r="F104" s="392"/>
      <c r="G104" s="391"/>
      <c r="H104" s="393"/>
      <c r="I104" s="391"/>
      <c r="P104" s="20"/>
      <c r="Q104" s="20"/>
      <c r="R104" s="20"/>
      <c r="S104" s="20"/>
      <c r="T104" s="20"/>
      <c r="U104" s="20"/>
    </row>
    <row r="105" spans="1:21" x14ac:dyDescent="0.2">
      <c r="A105" s="564">
        <v>93</v>
      </c>
      <c r="B105" s="389" t="s">
        <v>199</v>
      </c>
      <c r="C105" s="395" t="s">
        <v>200</v>
      </c>
      <c r="D105" s="404">
        <f>2741+870</f>
        <v>3611</v>
      </c>
      <c r="E105" s="391"/>
      <c r="F105" s="392"/>
      <c r="G105" s="391"/>
      <c r="H105" s="393"/>
      <c r="I105" s="391"/>
      <c r="P105" s="20"/>
      <c r="Q105" s="20"/>
      <c r="R105" s="20"/>
      <c r="S105" s="20"/>
      <c r="T105" s="20"/>
      <c r="U105" s="20"/>
    </row>
    <row r="106" spans="1:21" x14ac:dyDescent="0.2">
      <c r="A106" s="564">
        <v>94</v>
      </c>
      <c r="B106" s="394" t="s">
        <v>201</v>
      </c>
      <c r="C106" s="395" t="s">
        <v>202</v>
      </c>
      <c r="D106" s="404">
        <f>1628+23</f>
        <v>1651</v>
      </c>
      <c r="E106" s="391"/>
      <c r="F106" s="392"/>
      <c r="G106" s="391"/>
      <c r="H106" s="393"/>
      <c r="I106" s="391"/>
      <c r="P106" s="20"/>
      <c r="Q106" s="20"/>
      <c r="R106" s="20"/>
      <c r="S106" s="20"/>
      <c r="T106" s="20"/>
      <c r="U106" s="20"/>
    </row>
    <row r="107" spans="1:21" x14ac:dyDescent="0.2">
      <c r="A107" s="564">
        <v>95</v>
      </c>
      <c r="B107" s="389" t="s">
        <v>203</v>
      </c>
      <c r="C107" s="390" t="s">
        <v>204</v>
      </c>
      <c r="D107" s="404">
        <v>2232</v>
      </c>
      <c r="E107" s="391"/>
      <c r="F107" s="392"/>
      <c r="G107" s="391"/>
      <c r="H107" s="393"/>
      <c r="I107" s="391"/>
      <c r="P107" s="20"/>
      <c r="Q107" s="20"/>
      <c r="R107" s="20"/>
      <c r="S107" s="20"/>
      <c r="T107" s="20"/>
      <c r="U107" s="20"/>
    </row>
    <row r="108" spans="1:21" x14ac:dyDescent="0.2">
      <c r="A108" s="564">
        <v>96</v>
      </c>
      <c r="B108" s="389" t="s">
        <v>205</v>
      </c>
      <c r="C108" s="397" t="s">
        <v>206</v>
      </c>
      <c r="D108" s="404">
        <f>1320+382</f>
        <v>1702</v>
      </c>
      <c r="E108" s="391"/>
      <c r="F108" s="392"/>
      <c r="G108" s="391"/>
      <c r="H108" s="393"/>
      <c r="I108" s="391"/>
      <c r="P108" s="20"/>
      <c r="Q108" s="20"/>
      <c r="R108" s="20"/>
      <c r="S108" s="20"/>
      <c r="T108" s="20"/>
      <c r="U108" s="20"/>
    </row>
    <row r="109" spans="1:21" x14ac:dyDescent="0.2">
      <c r="A109" s="564">
        <v>97</v>
      </c>
      <c r="B109" s="394" t="s">
        <v>207</v>
      </c>
      <c r="C109" s="395" t="s">
        <v>208</v>
      </c>
      <c r="D109" s="404">
        <f>2611+45</f>
        <v>2656</v>
      </c>
      <c r="E109" s="391">
        <v>81</v>
      </c>
      <c r="F109" s="392"/>
      <c r="G109" s="391"/>
      <c r="H109" s="393"/>
      <c r="I109" s="391"/>
      <c r="P109" s="20"/>
      <c r="Q109" s="20"/>
      <c r="R109" s="20"/>
      <c r="S109" s="20"/>
      <c r="T109" s="20"/>
      <c r="U109" s="20"/>
    </row>
    <row r="110" spans="1:21" x14ac:dyDescent="0.2">
      <c r="A110" s="564">
        <v>98</v>
      </c>
      <c r="B110" s="389" t="s">
        <v>209</v>
      </c>
      <c r="C110" s="390" t="s">
        <v>210</v>
      </c>
      <c r="D110" s="404">
        <v>4619</v>
      </c>
      <c r="E110" s="391"/>
      <c r="F110" s="392"/>
      <c r="G110" s="391"/>
      <c r="H110" s="393"/>
      <c r="I110" s="391"/>
      <c r="P110" s="20"/>
      <c r="Q110" s="20"/>
      <c r="R110" s="20"/>
      <c r="S110" s="20"/>
      <c r="T110" s="20"/>
      <c r="U110" s="20"/>
    </row>
    <row r="111" spans="1:21" x14ac:dyDescent="0.2">
      <c r="A111" s="564">
        <v>99</v>
      </c>
      <c r="B111" s="394" t="s">
        <v>211</v>
      </c>
      <c r="C111" s="395" t="s">
        <v>212</v>
      </c>
      <c r="D111" s="404">
        <f>2053+23</f>
        <v>2076</v>
      </c>
      <c r="E111" s="391"/>
      <c r="F111" s="392"/>
      <c r="G111" s="391"/>
      <c r="H111" s="393"/>
      <c r="I111" s="391"/>
      <c r="P111" s="20"/>
      <c r="Q111" s="20"/>
      <c r="R111" s="20"/>
      <c r="S111" s="20"/>
      <c r="T111" s="20"/>
      <c r="U111" s="20"/>
    </row>
    <row r="112" spans="1:21" x14ac:dyDescent="0.2">
      <c r="A112" s="564">
        <v>100</v>
      </c>
      <c r="B112" s="394" t="s">
        <v>213</v>
      </c>
      <c r="C112" s="395" t="s">
        <v>214</v>
      </c>
      <c r="D112" s="404">
        <f>4655+23</f>
        <v>4678</v>
      </c>
      <c r="E112" s="391"/>
      <c r="F112" s="392"/>
      <c r="G112" s="391"/>
      <c r="H112" s="393"/>
      <c r="I112" s="391"/>
      <c r="P112" s="20"/>
      <c r="Q112" s="20"/>
      <c r="R112" s="20"/>
      <c r="S112" s="20"/>
      <c r="T112" s="20"/>
      <c r="U112" s="20"/>
    </row>
    <row r="113" spans="1:21" x14ac:dyDescent="0.2">
      <c r="A113" s="564">
        <v>101</v>
      </c>
      <c r="B113" s="389" t="s">
        <v>215</v>
      </c>
      <c r="C113" s="397" t="s">
        <v>216</v>
      </c>
      <c r="D113" s="404">
        <f>1553+300</f>
        <v>1853</v>
      </c>
      <c r="E113" s="391"/>
      <c r="F113" s="392"/>
      <c r="G113" s="391"/>
      <c r="H113" s="393"/>
      <c r="I113" s="391"/>
      <c r="P113" s="20"/>
      <c r="Q113" s="20"/>
      <c r="R113" s="20"/>
      <c r="S113" s="20"/>
      <c r="T113" s="20"/>
      <c r="U113" s="20"/>
    </row>
    <row r="114" spans="1:21" x14ac:dyDescent="0.2">
      <c r="A114" s="564">
        <v>102</v>
      </c>
      <c r="B114" s="389" t="s">
        <v>217</v>
      </c>
      <c r="C114" s="390" t="s">
        <v>218</v>
      </c>
      <c r="D114" s="404"/>
      <c r="E114" s="391"/>
      <c r="F114" s="392"/>
      <c r="G114" s="391"/>
      <c r="H114" s="393"/>
      <c r="I114" s="391"/>
      <c r="P114" s="20"/>
      <c r="Q114" s="20"/>
      <c r="R114" s="20"/>
      <c r="S114" s="20"/>
      <c r="T114" s="20"/>
      <c r="U114" s="20"/>
    </row>
    <row r="115" spans="1:21" x14ac:dyDescent="0.2">
      <c r="A115" s="564">
        <v>103</v>
      </c>
      <c r="B115" s="389" t="s">
        <v>219</v>
      </c>
      <c r="C115" s="390" t="s">
        <v>220</v>
      </c>
      <c r="D115" s="404"/>
      <c r="E115" s="391"/>
      <c r="F115" s="392"/>
      <c r="G115" s="391"/>
      <c r="H115" s="393"/>
      <c r="I115" s="391"/>
      <c r="P115" s="20"/>
      <c r="Q115" s="20"/>
      <c r="R115" s="20"/>
      <c r="S115" s="20"/>
      <c r="T115" s="20"/>
      <c r="U115" s="20"/>
    </row>
    <row r="116" spans="1:21" x14ac:dyDescent="0.2">
      <c r="A116" s="564">
        <v>104</v>
      </c>
      <c r="B116" s="389" t="s">
        <v>221</v>
      </c>
      <c r="C116" s="390" t="s">
        <v>222</v>
      </c>
      <c r="D116" s="404"/>
      <c r="E116" s="391"/>
      <c r="F116" s="392"/>
      <c r="G116" s="391"/>
      <c r="H116" s="393"/>
      <c r="I116" s="391"/>
      <c r="P116" s="20"/>
      <c r="Q116" s="20"/>
      <c r="R116" s="20"/>
      <c r="S116" s="20"/>
      <c r="T116" s="20"/>
      <c r="U116" s="20"/>
    </row>
    <row r="117" spans="1:21" x14ac:dyDescent="0.2">
      <c r="A117" s="564">
        <v>105</v>
      </c>
      <c r="B117" s="394" t="s">
        <v>223</v>
      </c>
      <c r="C117" s="395" t="s">
        <v>224</v>
      </c>
      <c r="D117" s="404"/>
      <c r="E117" s="391"/>
      <c r="F117" s="392"/>
      <c r="G117" s="391"/>
      <c r="H117" s="393"/>
      <c r="I117" s="391"/>
      <c r="P117" s="20"/>
      <c r="Q117" s="20"/>
      <c r="R117" s="20"/>
      <c r="S117" s="20"/>
      <c r="T117" s="20"/>
      <c r="U117" s="20"/>
    </row>
    <row r="118" spans="1:21" x14ac:dyDescent="0.2">
      <c r="A118" s="564">
        <v>106</v>
      </c>
      <c r="B118" s="569" t="s">
        <v>225</v>
      </c>
      <c r="C118" s="397" t="s">
        <v>226</v>
      </c>
      <c r="D118" s="404"/>
      <c r="E118" s="391"/>
      <c r="F118" s="392"/>
      <c r="G118" s="391"/>
      <c r="H118" s="393"/>
      <c r="I118" s="391"/>
      <c r="P118" s="20"/>
      <c r="Q118" s="20"/>
      <c r="R118" s="20"/>
      <c r="S118" s="20"/>
      <c r="T118" s="20"/>
      <c r="U118" s="20"/>
    </row>
    <row r="119" spans="1:21" ht="25.5" x14ac:dyDescent="0.2">
      <c r="A119" s="564">
        <v>107</v>
      </c>
      <c r="B119" s="389" t="s">
        <v>227</v>
      </c>
      <c r="C119" s="390" t="s">
        <v>228</v>
      </c>
      <c r="D119" s="404"/>
      <c r="E119" s="391"/>
      <c r="F119" s="392"/>
      <c r="G119" s="391"/>
      <c r="H119" s="393"/>
      <c r="I119" s="391"/>
      <c r="P119" s="20"/>
      <c r="Q119" s="20"/>
      <c r="R119" s="20"/>
      <c r="S119" s="20"/>
      <c r="T119" s="20"/>
      <c r="U119" s="20"/>
    </row>
    <row r="120" spans="1:21" x14ac:dyDescent="0.2">
      <c r="A120" s="564">
        <v>108</v>
      </c>
      <c r="B120" s="389" t="s">
        <v>229</v>
      </c>
      <c r="C120" s="390" t="s">
        <v>230</v>
      </c>
      <c r="D120" s="404"/>
      <c r="E120" s="391"/>
      <c r="F120" s="392"/>
      <c r="G120" s="391"/>
      <c r="H120" s="393"/>
      <c r="I120" s="391"/>
      <c r="P120" s="20"/>
      <c r="Q120" s="20"/>
      <c r="R120" s="20"/>
      <c r="S120" s="20"/>
      <c r="T120" s="20"/>
      <c r="U120" s="20"/>
    </row>
    <row r="121" spans="1:21" x14ac:dyDescent="0.2">
      <c r="A121" s="564">
        <v>109</v>
      </c>
      <c r="B121" s="394" t="s">
        <v>231</v>
      </c>
      <c r="C121" s="395" t="s">
        <v>232</v>
      </c>
      <c r="D121" s="404"/>
      <c r="E121" s="391"/>
      <c r="F121" s="392"/>
      <c r="G121" s="391"/>
      <c r="H121" s="393"/>
      <c r="I121" s="391"/>
      <c r="P121" s="20"/>
      <c r="Q121" s="20"/>
      <c r="R121" s="20"/>
      <c r="S121" s="20"/>
      <c r="T121" s="20"/>
      <c r="U121" s="20"/>
    </row>
    <row r="122" spans="1:21" x14ac:dyDescent="0.2">
      <c r="A122" s="564">
        <v>110</v>
      </c>
      <c r="B122" s="394" t="s">
        <v>233</v>
      </c>
      <c r="C122" s="395" t="s">
        <v>234</v>
      </c>
      <c r="D122" s="404"/>
      <c r="E122" s="391"/>
      <c r="F122" s="392"/>
      <c r="G122" s="391"/>
      <c r="H122" s="393"/>
      <c r="I122" s="391"/>
      <c r="P122" s="20"/>
      <c r="Q122" s="20"/>
      <c r="R122" s="20"/>
      <c r="S122" s="20"/>
      <c r="T122" s="20"/>
      <c r="U122" s="20"/>
    </row>
    <row r="123" spans="1:21" x14ac:dyDescent="0.2">
      <c r="A123" s="564">
        <v>111</v>
      </c>
      <c r="B123" s="409" t="s">
        <v>235</v>
      </c>
      <c r="C123" s="390" t="s">
        <v>236</v>
      </c>
      <c r="D123" s="404"/>
      <c r="E123" s="391"/>
      <c r="F123" s="392"/>
      <c r="G123" s="391"/>
      <c r="H123" s="393"/>
      <c r="I123" s="391"/>
      <c r="P123" s="20"/>
      <c r="Q123" s="20"/>
      <c r="R123" s="20"/>
      <c r="S123" s="20"/>
      <c r="T123" s="20"/>
      <c r="U123" s="20"/>
    </row>
    <row r="124" spans="1:21" x14ac:dyDescent="0.2">
      <c r="A124" s="564">
        <v>112</v>
      </c>
      <c r="B124" s="389" t="s">
        <v>237</v>
      </c>
      <c r="C124" s="390" t="s">
        <v>238</v>
      </c>
      <c r="D124" s="404"/>
      <c r="E124" s="391"/>
      <c r="F124" s="392"/>
      <c r="G124" s="391"/>
      <c r="H124" s="393"/>
      <c r="I124" s="391"/>
      <c r="P124" s="20"/>
      <c r="Q124" s="20"/>
      <c r="R124" s="20"/>
      <c r="S124" s="20"/>
      <c r="T124" s="20"/>
      <c r="U124" s="20"/>
    </row>
    <row r="125" spans="1:21" x14ac:dyDescent="0.2">
      <c r="A125" s="564">
        <v>113</v>
      </c>
      <c r="B125" s="389" t="s">
        <v>239</v>
      </c>
      <c r="C125" s="395" t="s">
        <v>240</v>
      </c>
      <c r="D125" s="404"/>
      <c r="E125" s="391"/>
      <c r="F125" s="392"/>
      <c r="G125" s="391"/>
      <c r="H125" s="393"/>
      <c r="I125" s="391"/>
      <c r="P125" s="20"/>
      <c r="Q125" s="20"/>
      <c r="R125" s="20"/>
      <c r="S125" s="20"/>
      <c r="T125" s="20"/>
      <c r="U125" s="20"/>
    </row>
    <row r="126" spans="1:21" ht="25.5" x14ac:dyDescent="0.2">
      <c r="A126" s="564">
        <v>114</v>
      </c>
      <c r="B126" s="389" t="s">
        <v>241</v>
      </c>
      <c r="C126" s="390" t="s">
        <v>242</v>
      </c>
      <c r="D126" s="404"/>
      <c r="E126" s="391"/>
      <c r="F126" s="392"/>
      <c r="G126" s="391"/>
      <c r="H126" s="393"/>
      <c r="I126" s="391"/>
      <c r="P126" s="20"/>
      <c r="Q126" s="20"/>
      <c r="R126" s="20"/>
      <c r="S126" s="20"/>
      <c r="T126" s="20"/>
      <c r="U126" s="20"/>
    </row>
    <row r="127" spans="1:21" x14ac:dyDescent="0.2">
      <c r="A127" s="564">
        <v>115</v>
      </c>
      <c r="B127" s="565" t="s">
        <v>243</v>
      </c>
      <c r="C127" s="405" t="s">
        <v>385</v>
      </c>
      <c r="D127" s="404"/>
      <c r="E127" s="391"/>
      <c r="F127" s="392"/>
      <c r="G127" s="391"/>
      <c r="H127" s="393"/>
      <c r="I127" s="391"/>
      <c r="P127" s="20"/>
      <c r="Q127" s="20"/>
      <c r="R127" s="20"/>
      <c r="S127" s="20"/>
      <c r="T127" s="20"/>
      <c r="U127" s="20"/>
    </row>
    <row r="128" spans="1:21" x14ac:dyDescent="0.2">
      <c r="A128" s="564">
        <v>116</v>
      </c>
      <c r="B128" s="394" t="s">
        <v>244</v>
      </c>
      <c r="C128" s="395" t="s">
        <v>644</v>
      </c>
      <c r="D128" s="404"/>
      <c r="E128" s="391"/>
      <c r="F128" s="392"/>
      <c r="G128" s="391"/>
      <c r="H128" s="393"/>
      <c r="I128" s="391"/>
      <c r="P128" s="20"/>
      <c r="Q128" s="20"/>
      <c r="R128" s="20"/>
      <c r="S128" s="20"/>
      <c r="T128" s="20"/>
      <c r="U128" s="20"/>
    </row>
    <row r="129" spans="1:21" x14ac:dyDescent="0.2">
      <c r="A129" s="564">
        <v>117</v>
      </c>
      <c r="B129" s="394" t="s">
        <v>246</v>
      </c>
      <c r="C129" s="395" t="s">
        <v>247</v>
      </c>
      <c r="D129" s="404"/>
      <c r="E129" s="391"/>
      <c r="F129" s="392"/>
      <c r="G129" s="391"/>
      <c r="H129" s="393"/>
      <c r="I129" s="391"/>
      <c r="P129" s="20"/>
      <c r="Q129" s="20"/>
      <c r="R129" s="20"/>
      <c r="S129" s="20"/>
      <c r="T129" s="20"/>
      <c r="U129" s="20"/>
    </row>
    <row r="130" spans="1:21" x14ac:dyDescent="0.2">
      <c r="A130" s="564">
        <v>118</v>
      </c>
      <c r="B130" s="394" t="s">
        <v>248</v>
      </c>
      <c r="C130" s="395" t="s">
        <v>249</v>
      </c>
      <c r="D130" s="404"/>
      <c r="E130" s="391"/>
      <c r="F130" s="392"/>
      <c r="G130" s="391"/>
      <c r="H130" s="393"/>
      <c r="I130" s="391"/>
      <c r="P130" s="20"/>
      <c r="Q130" s="20"/>
      <c r="R130" s="20"/>
      <c r="S130" s="20"/>
      <c r="T130" s="20"/>
      <c r="U130" s="20"/>
    </row>
    <row r="131" spans="1:21" x14ac:dyDescent="0.2">
      <c r="A131" s="564">
        <v>119</v>
      </c>
      <c r="B131" s="394" t="s">
        <v>250</v>
      </c>
      <c r="C131" s="395" t="s">
        <v>251</v>
      </c>
      <c r="D131" s="404"/>
      <c r="E131" s="391"/>
      <c r="F131" s="392"/>
      <c r="G131" s="391"/>
      <c r="H131" s="393"/>
      <c r="I131" s="391"/>
      <c r="P131" s="20"/>
      <c r="Q131" s="20"/>
      <c r="R131" s="20"/>
      <c r="S131" s="20"/>
      <c r="T131" s="20"/>
      <c r="U131" s="20"/>
    </row>
    <row r="132" spans="1:21" x14ac:dyDescent="0.2">
      <c r="A132" s="564">
        <v>120</v>
      </c>
      <c r="B132" s="410" t="s">
        <v>252</v>
      </c>
      <c r="C132" s="411" t="s">
        <v>253</v>
      </c>
      <c r="D132" s="404"/>
      <c r="E132" s="391"/>
      <c r="F132" s="392"/>
      <c r="G132" s="391"/>
      <c r="H132" s="393"/>
      <c r="I132" s="391"/>
      <c r="P132" s="20"/>
      <c r="Q132" s="20"/>
      <c r="R132" s="20"/>
      <c r="S132" s="20"/>
      <c r="T132" s="20"/>
      <c r="U132" s="20"/>
    </row>
    <row r="133" spans="1:21" x14ac:dyDescent="0.2">
      <c r="A133" s="564">
        <v>121</v>
      </c>
      <c r="B133" s="389" t="s">
        <v>254</v>
      </c>
      <c r="C133" s="390" t="s">
        <v>255</v>
      </c>
      <c r="D133" s="404"/>
      <c r="E133" s="391"/>
      <c r="F133" s="392"/>
      <c r="G133" s="391"/>
      <c r="H133" s="393"/>
      <c r="I133" s="391"/>
      <c r="P133" s="20"/>
      <c r="Q133" s="20"/>
      <c r="R133" s="20"/>
      <c r="S133" s="20"/>
      <c r="T133" s="20"/>
      <c r="U133" s="20"/>
    </row>
    <row r="134" spans="1:21" x14ac:dyDescent="0.2">
      <c r="A134" s="564">
        <v>122</v>
      </c>
      <c r="B134" s="394" t="s">
        <v>256</v>
      </c>
      <c r="C134" s="395" t="s">
        <v>257</v>
      </c>
      <c r="D134" s="404"/>
      <c r="E134" s="391"/>
      <c r="F134" s="392"/>
      <c r="G134" s="391"/>
      <c r="H134" s="393"/>
      <c r="I134" s="391"/>
      <c r="P134" s="20"/>
      <c r="Q134" s="20"/>
      <c r="R134" s="20"/>
      <c r="S134" s="20"/>
      <c r="T134" s="20"/>
      <c r="U134" s="20"/>
    </row>
    <row r="135" spans="1:21" x14ac:dyDescent="0.2">
      <c r="A135" s="564">
        <v>123</v>
      </c>
      <c r="B135" s="389" t="s">
        <v>258</v>
      </c>
      <c r="C135" s="395" t="s">
        <v>259</v>
      </c>
      <c r="D135" s="404"/>
      <c r="E135" s="391"/>
      <c r="F135" s="392"/>
      <c r="G135" s="391"/>
      <c r="H135" s="393"/>
      <c r="I135" s="391"/>
      <c r="P135" s="20"/>
      <c r="Q135" s="20"/>
      <c r="R135" s="20"/>
      <c r="S135" s="20"/>
      <c r="T135" s="20"/>
      <c r="U135" s="20"/>
    </row>
    <row r="136" spans="1:21" x14ac:dyDescent="0.2">
      <c r="A136" s="564">
        <v>124</v>
      </c>
      <c r="B136" s="394" t="s">
        <v>260</v>
      </c>
      <c r="C136" s="395" t="s">
        <v>261</v>
      </c>
      <c r="D136" s="404"/>
      <c r="E136" s="391"/>
      <c r="F136" s="392"/>
      <c r="G136" s="391"/>
      <c r="H136" s="393"/>
      <c r="I136" s="391"/>
      <c r="P136" s="20"/>
      <c r="Q136" s="20"/>
      <c r="R136" s="20"/>
      <c r="S136" s="20"/>
      <c r="T136" s="20"/>
      <c r="U136" s="20"/>
    </row>
    <row r="137" spans="1:21" x14ac:dyDescent="0.2">
      <c r="A137" s="564">
        <v>125</v>
      </c>
      <c r="B137" s="394" t="s">
        <v>262</v>
      </c>
      <c r="C137" s="395" t="s">
        <v>263</v>
      </c>
      <c r="D137" s="404"/>
      <c r="E137" s="391"/>
      <c r="F137" s="392"/>
      <c r="G137" s="391"/>
      <c r="H137" s="393"/>
      <c r="I137" s="391"/>
      <c r="P137" s="20"/>
      <c r="Q137" s="20"/>
      <c r="R137" s="20"/>
      <c r="S137" s="20"/>
      <c r="T137" s="20"/>
      <c r="U137" s="20"/>
    </row>
    <row r="138" spans="1:21" x14ac:dyDescent="0.2">
      <c r="A138" s="564">
        <v>126</v>
      </c>
      <c r="B138" s="389" t="s">
        <v>264</v>
      </c>
      <c r="C138" s="395" t="s">
        <v>265</v>
      </c>
      <c r="D138" s="404"/>
      <c r="E138" s="391"/>
      <c r="F138" s="392"/>
      <c r="G138" s="391"/>
      <c r="H138" s="393"/>
      <c r="I138" s="391"/>
      <c r="P138" s="20"/>
      <c r="Q138" s="20"/>
      <c r="R138" s="20"/>
      <c r="S138" s="20"/>
      <c r="T138" s="20"/>
      <c r="U138" s="20"/>
    </row>
    <row r="139" spans="1:21" x14ac:dyDescent="0.2">
      <c r="A139" s="564">
        <v>127</v>
      </c>
      <c r="B139" s="394" t="s">
        <v>266</v>
      </c>
      <c r="C139" s="395" t="s">
        <v>267</v>
      </c>
      <c r="D139" s="404">
        <v>93850</v>
      </c>
      <c r="E139" s="391">
        <v>8852</v>
      </c>
      <c r="F139" s="392">
        <v>1859</v>
      </c>
      <c r="G139" s="391">
        <v>27880</v>
      </c>
      <c r="H139" s="396">
        <v>197</v>
      </c>
      <c r="I139" s="391">
        <v>2170</v>
      </c>
      <c r="P139" s="20"/>
      <c r="Q139" s="20"/>
      <c r="R139" s="20"/>
      <c r="S139" s="20"/>
      <c r="T139" s="20"/>
      <c r="U139" s="20"/>
    </row>
    <row r="140" spans="1:21" x14ac:dyDescent="0.2">
      <c r="A140" s="564">
        <v>128</v>
      </c>
      <c r="B140" s="389" t="s">
        <v>268</v>
      </c>
      <c r="C140" s="390" t="s">
        <v>269</v>
      </c>
      <c r="D140" s="404"/>
      <c r="E140" s="391"/>
      <c r="F140" s="392"/>
      <c r="G140" s="391"/>
      <c r="H140" s="393"/>
      <c r="I140" s="391"/>
      <c r="P140" s="20"/>
      <c r="Q140" s="20"/>
      <c r="R140" s="20"/>
      <c r="S140" s="20"/>
      <c r="T140" s="20"/>
      <c r="U140" s="20"/>
    </row>
    <row r="141" spans="1:21" x14ac:dyDescent="0.2">
      <c r="A141" s="564">
        <v>129</v>
      </c>
      <c r="B141" s="389" t="s">
        <v>270</v>
      </c>
      <c r="C141" s="390" t="s">
        <v>271</v>
      </c>
      <c r="D141" s="404"/>
      <c r="E141" s="391"/>
      <c r="F141" s="392"/>
      <c r="G141" s="391"/>
      <c r="H141" s="393"/>
      <c r="I141" s="391"/>
      <c r="P141" s="20"/>
      <c r="Q141" s="20"/>
      <c r="R141" s="20"/>
      <c r="S141" s="20"/>
      <c r="T141" s="20"/>
      <c r="U141" s="20"/>
    </row>
    <row r="142" spans="1:21" x14ac:dyDescent="0.2">
      <c r="A142" s="564">
        <v>130</v>
      </c>
      <c r="B142" s="394" t="s">
        <v>272</v>
      </c>
      <c r="C142" s="395" t="s">
        <v>273</v>
      </c>
      <c r="D142" s="404"/>
      <c r="E142" s="391"/>
      <c r="F142" s="392"/>
      <c r="G142" s="391"/>
      <c r="H142" s="393"/>
      <c r="I142" s="391"/>
      <c r="P142" s="20"/>
      <c r="Q142" s="20"/>
      <c r="R142" s="20"/>
      <c r="S142" s="20"/>
      <c r="T142" s="20"/>
      <c r="U142" s="20"/>
    </row>
    <row r="143" spans="1:21" x14ac:dyDescent="0.2">
      <c r="A143" s="564">
        <v>131</v>
      </c>
      <c r="B143" s="394" t="s">
        <v>274</v>
      </c>
      <c r="C143" s="395" t="s">
        <v>275</v>
      </c>
      <c r="D143" s="404"/>
      <c r="E143" s="391"/>
      <c r="F143" s="392"/>
      <c r="G143" s="391"/>
      <c r="H143" s="393"/>
      <c r="I143" s="391"/>
      <c r="P143" s="20"/>
      <c r="Q143" s="20"/>
      <c r="R143" s="20"/>
      <c r="S143" s="20"/>
      <c r="T143" s="20"/>
      <c r="U143" s="20"/>
    </row>
    <row r="144" spans="1:21" x14ac:dyDescent="0.2">
      <c r="A144" s="564">
        <v>132</v>
      </c>
      <c r="B144" s="394" t="s">
        <v>276</v>
      </c>
      <c r="C144" s="395" t="s">
        <v>277</v>
      </c>
      <c r="D144" s="404"/>
      <c r="E144" s="391"/>
      <c r="F144" s="392"/>
      <c r="G144" s="391"/>
      <c r="H144" s="393"/>
      <c r="I144" s="391"/>
      <c r="P144" s="20"/>
      <c r="Q144" s="20"/>
      <c r="R144" s="20"/>
      <c r="S144" s="20"/>
      <c r="T144" s="20"/>
      <c r="U144" s="20"/>
    </row>
    <row r="145" spans="1:21" x14ac:dyDescent="0.2">
      <c r="A145" s="564">
        <v>133</v>
      </c>
      <c r="B145" s="394" t="s">
        <v>278</v>
      </c>
      <c r="C145" s="395" t="s">
        <v>279</v>
      </c>
      <c r="D145" s="404">
        <f>4697+200</f>
        <v>4897</v>
      </c>
      <c r="E145" s="391"/>
      <c r="F145" s="392"/>
      <c r="G145" s="391"/>
      <c r="H145" s="393"/>
      <c r="I145" s="391"/>
      <c r="P145" s="20"/>
      <c r="Q145" s="20"/>
      <c r="R145" s="20"/>
      <c r="S145" s="20"/>
      <c r="T145" s="20"/>
      <c r="U145" s="20"/>
    </row>
    <row r="146" spans="1:21" x14ac:dyDescent="0.2">
      <c r="A146" s="564">
        <v>134</v>
      </c>
      <c r="B146" s="394" t="s">
        <v>280</v>
      </c>
      <c r="C146" s="395" t="s">
        <v>281</v>
      </c>
      <c r="D146" s="404"/>
      <c r="E146" s="391"/>
      <c r="F146" s="392"/>
      <c r="G146" s="391"/>
      <c r="H146" s="393"/>
      <c r="I146" s="391"/>
      <c r="P146" s="20"/>
      <c r="Q146" s="20"/>
      <c r="R146" s="20"/>
      <c r="S146" s="20"/>
      <c r="T146" s="20"/>
      <c r="U146" s="20"/>
    </row>
    <row r="147" spans="1:21" x14ac:dyDescent="0.2">
      <c r="A147" s="564">
        <v>135</v>
      </c>
      <c r="B147" s="389" t="s">
        <v>282</v>
      </c>
      <c r="C147" s="390" t="s">
        <v>283</v>
      </c>
      <c r="D147" s="404"/>
      <c r="E147" s="391"/>
      <c r="F147" s="392"/>
      <c r="G147" s="391"/>
      <c r="H147" s="393"/>
      <c r="I147" s="391"/>
      <c r="P147" s="20"/>
      <c r="Q147" s="20"/>
      <c r="R147" s="20"/>
      <c r="S147" s="20"/>
      <c r="T147" s="20"/>
      <c r="U147" s="20"/>
    </row>
    <row r="148" spans="1:21" x14ac:dyDescent="0.2">
      <c r="A148" s="564">
        <v>136</v>
      </c>
      <c r="B148" s="394" t="s">
        <v>284</v>
      </c>
      <c r="C148" s="395" t="s">
        <v>285</v>
      </c>
      <c r="D148" s="404"/>
      <c r="E148" s="391"/>
      <c r="F148" s="392"/>
      <c r="G148" s="391"/>
      <c r="H148" s="393"/>
      <c r="I148" s="391"/>
      <c r="P148" s="20"/>
      <c r="Q148" s="20"/>
      <c r="R148" s="20"/>
      <c r="S148" s="20"/>
      <c r="T148" s="20"/>
      <c r="U148" s="20"/>
    </row>
    <row r="149" spans="1:21" x14ac:dyDescent="0.2">
      <c r="A149" s="564">
        <v>137</v>
      </c>
      <c r="B149" s="412" t="s">
        <v>387</v>
      </c>
      <c r="C149" s="403" t="s">
        <v>388</v>
      </c>
      <c r="D149" s="404"/>
      <c r="E149" s="391"/>
      <c r="F149" s="392"/>
      <c r="G149" s="391"/>
      <c r="H149" s="393"/>
      <c r="I149" s="391"/>
      <c r="P149" s="20"/>
      <c r="Q149" s="20"/>
      <c r="R149" s="20"/>
      <c r="S149" s="20"/>
      <c r="T149" s="20"/>
      <c r="U149" s="20"/>
    </row>
    <row r="150" spans="1:21" x14ac:dyDescent="0.2">
      <c r="A150" s="564">
        <v>138</v>
      </c>
      <c r="B150" s="413" t="s">
        <v>389</v>
      </c>
      <c r="C150" s="414" t="s">
        <v>390</v>
      </c>
      <c r="D150" s="404"/>
      <c r="E150" s="391"/>
      <c r="F150" s="392"/>
      <c r="G150" s="391"/>
      <c r="H150" s="393"/>
      <c r="I150" s="391"/>
      <c r="P150" s="20"/>
      <c r="Q150" s="20"/>
      <c r="R150" s="20"/>
      <c r="S150" s="20"/>
      <c r="T150" s="20"/>
      <c r="U150" s="20"/>
    </row>
    <row r="151" spans="1:21" x14ac:dyDescent="0.2">
      <c r="A151" s="564">
        <v>139</v>
      </c>
      <c r="B151" s="412" t="s">
        <v>391</v>
      </c>
      <c r="C151" s="403" t="s">
        <v>392</v>
      </c>
      <c r="D151" s="404"/>
      <c r="E151" s="391"/>
      <c r="F151" s="392"/>
      <c r="G151" s="391"/>
      <c r="H151" s="393"/>
      <c r="I151" s="391"/>
      <c r="P151" s="20"/>
      <c r="Q151" s="20"/>
      <c r="R151" s="20"/>
      <c r="S151" s="20"/>
      <c r="T151" s="20"/>
      <c r="U151" s="20"/>
    </row>
    <row r="152" spans="1:21" x14ac:dyDescent="0.2">
      <c r="A152" s="564">
        <v>140</v>
      </c>
      <c r="B152" s="563" t="s">
        <v>393</v>
      </c>
      <c r="C152" s="571" t="s">
        <v>394</v>
      </c>
      <c r="D152" s="404"/>
      <c r="E152" s="391"/>
      <c r="F152" s="392"/>
      <c r="G152" s="391"/>
      <c r="H152" s="393"/>
      <c r="I152" s="391"/>
      <c r="P152" s="20"/>
      <c r="Q152" s="20"/>
      <c r="R152" s="20"/>
      <c r="S152" s="20"/>
      <c r="T152" s="20"/>
      <c r="U152" s="20"/>
    </row>
    <row r="153" spans="1:21" x14ac:dyDescent="0.2">
      <c r="A153" s="502">
        <v>141</v>
      </c>
      <c r="B153" s="572" t="s">
        <v>791</v>
      </c>
      <c r="C153" s="573" t="s">
        <v>790</v>
      </c>
      <c r="D153" s="404"/>
      <c r="E153" s="391"/>
      <c r="F153" s="392"/>
      <c r="G153" s="391"/>
      <c r="H153" s="393"/>
      <c r="I153" s="391"/>
      <c r="P153" s="20"/>
      <c r="Q153" s="20"/>
      <c r="R153" s="20"/>
      <c r="S153" s="20"/>
      <c r="T153" s="20"/>
      <c r="U153" s="20"/>
    </row>
    <row r="154" spans="1:21" ht="13.5" thickBot="1" x14ac:dyDescent="0.25">
      <c r="A154" s="574">
        <v>142</v>
      </c>
      <c r="B154" s="575" t="s">
        <v>800</v>
      </c>
      <c r="C154" s="576" t="s">
        <v>801</v>
      </c>
      <c r="D154" s="415"/>
      <c r="E154" s="416"/>
      <c r="F154" s="417"/>
      <c r="G154" s="416"/>
      <c r="H154" s="418"/>
      <c r="I154" s="416"/>
      <c r="P154" s="20"/>
      <c r="Q154" s="20"/>
      <c r="R154" s="20"/>
      <c r="S154" s="20"/>
      <c r="T154" s="20"/>
      <c r="U154" s="20"/>
    </row>
    <row r="155" spans="1:21" x14ac:dyDescent="0.2">
      <c r="P155" s="20"/>
      <c r="Q155" s="20"/>
      <c r="R155" s="20"/>
      <c r="S155" s="20"/>
      <c r="T155" s="20"/>
      <c r="U155" s="20"/>
    </row>
    <row r="156" spans="1:21" x14ac:dyDescent="0.2">
      <c r="P156" s="20"/>
      <c r="Q156" s="20"/>
      <c r="R156" s="20"/>
      <c r="S156" s="20"/>
      <c r="T156" s="20"/>
      <c r="U156" s="20"/>
    </row>
    <row r="157" spans="1:21" x14ac:dyDescent="0.2">
      <c r="P157" s="20"/>
      <c r="Q157" s="20"/>
      <c r="R157" s="20"/>
      <c r="S157" s="20"/>
      <c r="T157" s="20"/>
      <c r="U157" s="20"/>
    </row>
    <row r="158" spans="1:21" x14ac:dyDescent="0.2">
      <c r="P158" s="20"/>
      <c r="Q158" s="20"/>
      <c r="R158" s="20"/>
      <c r="S158" s="20"/>
      <c r="T158" s="20"/>
      <c r="U158" s="20"/>
    </row>
    <row r="159" spans="1:21" x14ac:dyDescent="0.2">
      <c r="P159" s="20"/>
      <c r="Q159" s="20"/>
      <c r="R159" s="20"/>
      <c r="S159" s="20"/>
      <c r="T159" s="20"/>
      <c r="U159" s="20"/>
    </row>
    <row r="160" spans="1:21" x14ac:dyDescent="0.2">
      <c r="P160" s="20"/>
      <c r="Q160" s="20"/>
      <c r="R160" s="20"/>
      <c r="S160" s="20"/>
      <c r="T160" s="20"/>
      <c r="U160" s="20"/>
    </row>
    <row r="161" spans="16:21" x14ac:dyDescent="0.2">
      <c r="P161" s="20"/>
      <c r="Q161" s="20"/>
      <c r="R161" s="20"/>
      <c r="S161" s="20"/>
      <c r="T161" s="20"/>
      <c r="U161" s="20"/>
    </row>
    <row r="162" spans="16:21" x14ac:dyDescent="0.2">
      <c r="P162" s="20"/>
      <c r="Q162" s="20"/>
      <c r="R162" s="20"/>
      <c r="S162" s="20"/>
      <c r="T162" s="20"/>
      <c r="U162" s="20"/>
    </row>
    <row r="163" spans="16:21" x14ac:dyDescent="0.2">
      <c r="P163" s="20"/>
      <c r="Q163" s="20"/>
      <c r="R163" s="20"/>
      <c r="S163" s="20"/>
      <c r="T163" s="20"/>
      <c r="U163" s="20"/>
    </row>
    <row r="164" spans="16:21" x14ac:dyDescent="0.2">
      <c r="P164" s="20"/>
      <c r="Q164" s="20"/>
      <c r="R164" s="20"/>
      <c r="S164" s="20"/>
      <c r="T164" s="20"/>
      <c r="U164" s="20"/>
    </row>
    <row r="165" spans="16:21" x14ac:dyDescent="0.2">
      <c r="P165" s="20"/>
      <c r="Q165" s="20"/>
      <c r="R165" s="20"/>
      <c r="S165" s="20"/>
      <c r="T165" s="20"/>
      <c r="U165" s="20"/>
    </row>
    <row r="166" spans="16:21" x14ac:dyDescent="0.2">
      <c r="P166" s="20"/>
      <c r="Q166" s="20"/>
      <c r="R166" s="20"/>
      <c r="S166" s="20"/>
      <c r="T166" s="20"/>
      <c r="U166" s="20"/>
    </row>
    <row r="167" spans="16:21" x14ac:dyDescent="0.2">
      <c r="P167" s="20"/>
      <c r="Q167" s="20"/>
      <c r="R167" s="20"/>
      <c r="S167" s="20"/>
      <c r="T167" s="20"/>
      <c r="U167" s="20"/>
    </row>
    <row r="168" spans="16:21" x14ac:dyDescent="0.2">
      <c r="P168" s="20"/>
      <c r="Q168" s="20"/>
      <c r="R168" s="20"/>
      <c r="S168" s="20"/>
      <c r="T168" s="20"/>
      <c r="U168" s="20"/>
    </row>
    <row r="169" spans="16:21" x14ac:dyDescent="0.2">
      <c r="P169" s="20"/>
      <c r="Q169" s="20"/>
      <c r="R169" s="20"/>
      <c r="S169" s="20"/>
      <c r="T169" s="20"/>
      <c r="U169" s="20"/>
    </row>
    <row r="170" spans="16:21" x14ac:dyDescent="0.2">
      <c r="P170" s="20"/>
      <c r="Q170" s="20"/>
      <c r="R170" s="20"/>
      <c r="S170" s="20"/>
      <c r="T170" s="20"/>
      <c r="U170" s="20"/>
    </row>
    <row r="171" spans="16:21" x14ac:dyDescent="0.2">
      <c r="P171" s="20"/>
      <c r="Q171" s="20"/>
      <c r="R171" s="20"/>
      <c r="S171" s="20"/>
      <c r="T171" s="20"/>
      <c r="U171" s="20"/>
    </row>
    <row r="172" spans="16:21" x14ac:dyDescent="0.2">
      <c r="P172" s="20"/>
      <c r="Q172" s="20"/>
      <c r="R172" s="20"/>
      <c r="S172" s="20"/>
      <c r="T172" s="20"/>
      <c r="U172" s="20"/>
    </row>
    <row r="173" spans="16:21" x14ac:dyDescent="0.2">
      <c r="P173" s="20"/>
      <c r="Q173" s="20"/>
      <c r="R173" s="20"/>
      <c r="S173" s="20"/>
      <c r="T173" s="20"/>
      <c r="U173" s="20"/>
    </row>
    <row r="174" spans="16:21" x14ac:dyDescent="0.2">
      <c r="P174" s="20"/>
      <c r="Q174" s="20"/>
      <c r="R174" s="20"/>
      <c r="S174" s="20"/>
      <c r="T174" s="20"/>
      <c r="U174" s="20"/>
    </row>
    <row r="175" spans="16:21" x14ac:dyDescent="0.2">
      <c r="P175" s="20"/>
      <c r="Q175" s="20"/>
      <c r="R175" s="20"/>
      <c r="S175" s="20"/>
      <c r="T175" s="20"/>
      <c r="U175" s="20"/>
    </row>
    <row r="176" spans="16:21" x14ac:dyDescent="0.2">
      <c r="P176" s="20"/>
      <c r="Q176" s="20"/>
      <c r="R176" s="20"/>
      <c r="S176" s="20"/>
      <c r="T176" s="20"/>
      <c r="U176" s="20"/>
    </row>
    <row r="177" spans="16:21" x14ac:dyDescent="0.2">
      <c r="P177" s="20"/>
      <c r="Q177" s="20"/>
      <c r="R177" s="20"/>
      <c r="S177" s="20"/>
      <c r="T177" s="20"/>
      <c r="U177" s="20"/>
    </row>
    <row r="178" spans="16:21" x14ac:dyDescent="0.2">
      <c r="P178" s="20"/>
      <c r="Q178" s="20"/>
      <c r="R178" s="20"/>
      <c r="S178" s="20"/>
      <c r="T178" s="20"/>
      <c r="U178" s="20"/>
    </row>
    <row r="179" spans="16:21" x14ac:dyDescent="0.2">
      <c r="P179" s="20"/>
      <c r="Q179" s="20"/>
      <c r="R179" s="20"/>
      <c r="S179" s="20"/>
      <c r="T179" s="20"/>
      <c r="U179" s="20"/>
    </row>
    <row r="180" spans="16:21" x14ac:dyDescent="0.2">
      <c r="P180" s="20"/>
      <c r="Q180" s="20"/>
      <c r="R180" s="20"/>
      <c r="S180" s="20"/>
      <c r="T180" s="20"/>
      <c r="U180" s="20"/>
    </row>
    <row r="181" spans="16:21" x14ac:dyDescent="0.2">
      <c r="P181" s="20"/>
      <c r="Q181" s="20"/>
      <c r="R181" s="20"/>
      <c r="S181" s="20"/>
      <c r="T181" s="20"/>
      <c r="U181" s="20"/>
    </row>
    <row r="182" spans="16:21" x14ac:dyDescent="0.2">
      <c r="P182" s="20"/>
      <c r="Q182" s="20"/>
      <c r="R182" s="20"/>
      <c r="S182" s="20"/>
      <c r="T182" s="20"/>
      <c r="U182" s="20"/>
    </row>
    <row r="183" spans="16:21" x14ac:dyDescent="0.2">
      <c r="P183" s="20"/>
      <c r="Q183" s="20"/>
      <c r="R183" s="20"/>
      <c r="S183" s="20"/>
      <c r="T183" s="20"/>
      <c r="U183" s="20"/>
    </row>
    <row r="184" spans="16:21" x14ac:dyDescent="0.2">
      <c r="P184" s="20"/>
      <c r="Q184" s="20"/>
      <c r="R184" s="20"/>
      <c r="S184" s="20"/>
      <c r="T184" s="20"/>
      <c r="U184" s="20"/>
    </row>
    <row r="185" spans="16:21" x14ac:dyDescent="0.2">
      <c r="P185" s="20"/>
      <c r="Q185" s="20"/>
      <c r="R185" s="20"/>
      <c r="S185" s="20"/>
      <c r="T185" s="20"/>
      <c r="U185" s="20"/>
    </row>
    <row r="186" spans="16:21" x14ac:dyDescent="0.2">
      <c r="P186" s="20"/>
      <c r="Q186" s="20"/>
      <c r="R186" s="20"/>
      <c r="S186" s="20"/>
      <c r="T186" s="20"/>
      <c r="U186" s="20"/>
    </row>
    <row r="187" spans="16:21" x14ac:dyDescent="0.2">
      <c r="P187" s="20"/>
      <c r="Q187" s="20"/>
      <c r="R187" s="20"/>
      <c r="S187" s="20"/>
      <c r="T187" s="20"/>
      <c r="U187" s="20"/>
    </row>
    <row r="188" spans="16:21" x14ac:dyDescent="0.2">
      <c r="P188" s="20"/>
      <c r="Q188" s="20"/>
      <c r="R188" s="20"/>
      <c r="S188" s="20"/>
      <c r="T188" s="20"/>
      <c r="U188" s="20"/>
    </row>
    <row r="189" spans="16:21" x14ac:dyDescent="0.2">
      <c r="P189" s="20"/>
      <c r="Q189" s="20"/>
      <c r="R189" s="20"/>
      <c r="S189" s="20"/>
      <c r="T189" s="20"/>
      <c r="U189" s="20"/>
    </row>
    <row r="190" spans="16:21" x14ac:dyDescent="0.2">
      <c r="P190" s="20"/>
      <c r="Q190" s="20"/>
      <c r="R190" s="20"/>
      <c r="S190" s="20"/>
      <c r="T190" s="20"/>
      <c r="U190" s="20"/>
    </row>
    <row r="191" spans="16:21" x14ac:dyDescent="0.2">
      <c r="P191" s="20"/>
      <c r="Q191" s="20"/>
      <c r="R191" s="20"/>
      <c r="S191" s="20"/>
      <c r="T191" s="20"/>
      <c r="U191" s="20"/>
    </row>
    <row r="192" spans="16:21" x14ac:dyDescent="0.2">
      <c r="P192" s="20"/>
      <c r="Q192" s="20"/>
      <c r="R192" s="20"/>
      <c r="S192" s="20"/>
      <c r="T192" s="20"/>
      <c r="U192" s="20"/>
    </row>
    <row r="193" spans="16:21" x14ac:dyDescent="0.2">
      <c r="P193" s="20"/>
      <c r="Q193" s="20"/>
      <c r="R193" s="20"/>
      <c r="S193" s="20"/>
      <c r="T193" s="20"/>
      <c r="U193" s="20"/>
    </row>
    <row r="194" spans="16:21" x14ac:dyDescent="0.2">
      <c r="P194" s="20"/>
      <c r="Q194" s="20"/>
      <c r="R194" s="20"/>
      <c r="S194" s="20"/>
      <c r="T194" s="20"/>
      <c r="U194" s="20"/>
    </row>
    <row r="195" spans="16:21" x14ac:dyDescent="0.2">
      <c r="P195" s="20"/>
      <c r="Q195" s="20"/>
      <c r="R195" s="20"/>
      <c r="S195" s="20"/>
      <c r="T195" s="20"/>
      <c r="U195" s="20"/>
    </row>
    <row r="196" spans="16:21" x14ac:dyDescent="0.2">
      <c r="P196" s="20"/>
      <c r="Q196" s="20"/>
      <c r="R196" s="20"/>
      <c r="S196" s="20"/>
      <c r="T196" s="20"/>
      <c r="U196" s="20"/>
    </row>
    <row r="197" spans="16:21" x14ac:dyDescent="0.2">
      <c r="P197" s="20"/>
      <c r="Q197" s="20"/>
      <c r="R197" s="20"/>
      <c r="S197" s="20"/>
      <c r="T197" s="20"/>
      <c r="U197" s="20"/>
    </row>
    <row r="198" spans="16:21" x14ac:dyDescent="0.2">
      <c r="P198" s="20"/>
      <c r="Q198" s="20"/>
      <c r="R198" s="20"/>
      <c r="S198" s="20"/>
      <c r="T198" s="20"/>
      <c r="U198" s="20"/>
    </row>
    <row r="199" spans="16:21" x14ac:dyDescent="0.2">
      <c r="P199" s="20"/>
      <c r="Q199" s="20"/>
      <c r="R199" s="20"/>
      <c r="S199" s="20"/>
      <c r="T199" s="20"/>
      <c r="U199" s="20"/>
    </row>
    <row r="200" spans="16:21" x14ac:dyDescent="0.2">
      <c r="P200" s="20"/>
      <c r="Q200" s="20"/>
      <c r="R200" s="20"/>
      <c r="S200" s="20"/>
      <c r="T200" s="20"/>
      <c r="U200" s="20"/>
    </row>
    <row r="201" spans="16:21" x14ac:dyDescent="0.2">
      <c r="P201" s="20"/>
      <c r="Q201" s="20"/>
      <c r="R201" s="20"/>
      <c r="S201" s="20"/>
      <c r="T201" s="20"/>
      <c r="U201" s="20"/>
    </row>
    <row r="202" spans="16:21" x14ac:dyDescent="0.2">
      <c r="P202" s="20"/>
      <c r="Q202" s="20"/>
      <c r="R202" s="20"/>
      <c r="S202" s="20"/>
      <c r="T202" s="20"/>
      <c r="U202" s="20"/>
    </row>
    <row r="203" spans="16:21" x14ac:dyDescent="0.2">
      <c r="P203" s="20"/>
      <c r="Q203" s="20"/>
      <c r="R203" s="20"/>
      <c r="S203" s="20"/>
      <c r="T203" s="20"/>
      <c r="U203" s="20"/>
    </row>
    <row r="204" spans="16:21" x14ac:dyDescent="0.2">
      <c r="P204" s="20"/>
      <c r="Q204" s="20"/>
      <c r="R204" s="20"/>
      <c r="S204" s="20"/>
      <c r="T204" s="20"/>
      <c r="U204" s="20"/>
    </row>
    <row r="205" spans="16:21" x14ac:dyDescent="0.2">
      <c r="P205" s="20"/>
      <c r="Q205" s="20"/>
      <c r="R205" s="20"/>
      <c r="S205" s="20"/>
      <c r="T205" s="20"/>
      <c r="U205" s="20"/>
    </row>
    <row r="206" spans="16:21" x14ac:dyDescent="0.2">
      <c r="P206" s="20"/>
      <c r="Q206" s="20"/>
      <c r="R206" s="20"/>
      <c r="S206" s="20"/>
      <c r="T206" s="20"/>
      <c r="U206" s="20"/>
    </row>
    <row r="207" spans="16:21" x14ac:dyDescent="0.2">
      <c r="P207" s="20"/>
      <c r="Q207" s="20"/>
      <c r="R207" s="20"/>
      <c r="S207" s="20"/>
      <c r="T207" s="20"/>
      <c r="U207" s="20"/>
    </row>
    <row r="208" spans="16:21" x14ac:dyDescent="0.2">
      <c r="P208" s="20"/>
      <c r="Q208" s="20"/>
      <c r="R208" s="20"/>
      <c r="S208" s="20"/>
      <c r="T208" s="20"/>
      <c r="U208" s="20"/>
    </row>
    <row r="209" spans="16:21" x14ac:dyDescent="0.2">
      <c r="P209" s="20"/>
      <c r="Q209" s="20"/>
      <c r="R209" s="20"/>
      <c r="S209" s="20"/>
      <c r="T209" s="20"/>
      <c r="U209" s="20"/>
    </row>
    <row r="210" spans="16:21" x14ac:dyDescent="0.2">
      <c r="P210" s="20"/>
      <c r="Q210" s="20"/>
      <c r="R210" s="20"/>
      <c r="S210" s="20"/>
      <c r="T210" s="20"/>
      <c r="U210" s="20"/>
    </row>
    <row r="211" spans="16:21" x14ac:dyDescent="0.2">
      <c r="P211" s="20"/>
      <c r="Q211" s="20"/>
      <c r="R211" s="20"/>
      <c r="S211" s="20"/>
      <c r="T211" s="20"/>
      <c r="U211" s="20"/>
    </row>
    <row r="212" spans="16:21" x14ac:dyDescent="0.2">
      <c r="P212" s="20"/>
      <c r="Q212" s="20"/>
      <c r="R212" s="20"/>
      <c r="S212" s="20"/>
      <c r="T212" s="20"/>
      <c r="U212" s="20"/>
    </row>
    <row r="213" spans="16:21" x14ac:dyDescent="0.2">
      <c r="P213" s="20"/>
      <c r="Q213" s="20"/>
      <c r="R213" s="20"/>
      <c r="S213" s="20"/>
      <c r="T213" s="20"/>
      <c r="U213" s="20"/>
    </row>
    <row r="214" spans="16:21" x14ac:dyDescent="0.2">
      <c r="P214" s="20"/>
      <c r="Q214" s="20"/>
      <c r="R214" s="20"/>
      <c r="S214" s="20"/>
      <c r="T214" s="20"/>
      <c r="U214" s="20"/>
    </row>
    <row r="215" spans="16:21" x14ac:dyDescent="0.2">
      <c r="P215" s="20"/>
      <c r="Q215" s="20"/>
      <c r="R215" s="20"/>
      <c r="S215" s="20"/>
      <c r="T215" s="20"/>
      <c r="U215" s="20"/>
    </row>
    <row r="216" spans="16:21" x14ac:dyDescent="0.2">
      <c r="P216" s="20"/>
      <c r="Q216" s="20"/>
      <c r="R216" s="20"/>
      <c r="S216" s="20"/>
      <c r="T216" s="20"/>
      <c r="U216" s="20"/>
    </row>
    <row r="217" spans="16:21" x14ac:dyDescent="0.2">
      <c r="P217" s="20"/>
      <c r="Q217" s="20"/>
      <c r="R217" s="20"/>
      <c r="S217" s="20"/>
      <c r="T217" s="20"/>
      <c r="U217" s="20"/>
    </row>
    <row r="218" spans="16:21" x14ac:dyDescent="0.2">
      <c r="P218" s="20"/>
      <c r="Q218" s="20"/>
      <c r="R218" s="20"/>
      <c r="S218" s="20"/>
      <c r="T218" s="20"/>
      <c r="U218" s="20"/>
    </row>
    <row r="219" spans="16:21" x14ac:dyDescent="0.2">
      <c r="P219" s="20"/>
      <c r="Q219" s="20"/>
      <c r="R219" s="20"/>
      <c r="S219" s="20"/>
      <c r="T219" s="20"/>
      <c r="U219" s="20"/>
    </row>
    <row r="220" spans="16:21" x14ac:dyDescent="0.2">
      <c r="P220" s="20"/>
      <c r="Q220" s="20"/>
      <c r="R220" s="20"/>
      <c r="S220" s="20"/>
      <c r="T220" s="20"/>
      <c r="U220" s="20"/>
    </row>
    <row r="221" spans="16:21" x14ac:dyDescent="0.2">
      <c r="P221" s="20"/>
      <c r="Q221" s="20"/>
      <c r="R221" s="20"/>
      <c r="S221" s="20"/>
      <c r="T221" s="20"/>
      <c r="U221" s="20"/>
    </row>
    <row r="222" spans="16:21" x14ac:dyDescent="0.2">
      <c r="P222" s="20"/>
      <c r="Q222" s="20"/>
      <c r="R222" s="20"/>
      <c r="S222" s="20"/>
      <c r="T222" s="20"/>
      <c r="U222" s="20"/>
    </row>
    <row r="223" spans="16:21" x14ac:dyDescent="0.2">
      <c r="P223" s="20"/>
      <c r="Q223" s="20"/>
      <c r="R223" s="20"/>
      <c r="S223" s="20"/>
      <c r="T223" s="20"/>
      <c r="U223" s="20"/>
    </row>
    <row r="224" spans="16:21" x14ac:dyDescent="0.2">
      <c r="P224" s="20"/>
      <c r="Q224" s="20"/>
      <c r="R224" s="20"/>
      <c r="S224" s="20"/>
      <c r="T224" s="20"/>
      <c r="U224" s="20"/>
    </row>
    <row r="225" spans="16:21" x14ac:dyDescent="0.2">
      <c r="P225" s="20"/>
      <c r="Q225" s="20"/>
      <c r="R225" s="20"/>
      <c r="S225" s="20"/>
      <c r="T225" s="20"/>
      <c r="U225" s="20"/>
    </row>
    <row r="226" spans="16:21" x14ac:dyDescent="0.2">
      <c r="P226" s="20"/>
      <c r="Q226" s="20"/>
      <c r="R226" s="20"/>
      <c r="S226" s="20"/>
      <c r="T226" s="20"/>
      <c r="U226" s="20"/>
    </row>
    <row r="227" spans="16:21" x14ac:dyDescent="0.2">
      <c r="P227" s="20"/>
      <c r="Q227" s="20"/>
      <c r="R227" s="20"/>
      <c r="S227" s="20"/>
      <c r="T227" s="20"/>
      <c r="U227" s="20"/>
    </row>
    <row r="228" spans="16:21" x14ac:dyDescent="0.2">
      <c r="P228" s="20"/>
      <c r="Q228" s="20"/>
      <c r="R228" s="20"/>
      <c r="S228" s="20"/>
      <c r="T228" s="20"/>
      <c r="U228" s="20"/>
    </row>
    <row r="229" spans="16:21" x14ac:dyDescent="0.2">
      <c r="P229" s="20"/>
      <c r="Q229" s="20"/>
      <c r="R229" s="20"/>
      <c r="S229" s="20"/>
      <c r="T229" s="20"/>
      <c r="U229" s="20"/>
    </row>
    <row r="230" spans="16:21" x14ac:dyDescent="0.2">
      <c r="P230" s="20"/>
      <c r="Q230" s="20"/>
      <c r="R230" s="20"/>
      <c r="S230" s="20"/>
      <c r="T230" s="20"/>
      <c r="U230" s="20"/>
    </row>
    <row r="231" spans="16:21" x14ac:dyDescent="0.2">
      <c r="P231" s="20"/>
      <c r="Q231" s="20"/>
      <c r="R231" s="20"/>
      <c r="S231" s="20"/>
      <c r="T231" s="20"/>
      <c r="U231" s="20"/>
    </row>
    <row r="232" spans="16:21" x14ac:dyDescent="0.2">
      <c r="P232" s="20"/>
      <c r="Q232" s="20"/>
      <c r="R232" s="20"/>
      <c r="S232" s="20"/>
      <c r="T232" s="20"/>
      <c r="U232" s="20"/>
    </row>
    <row r="233" spans="16:21" x14ac:dyDescent="0.2">
      <c r="P233" s="20"/>
      <c r="Q233" s="20"/>
      <c r="R233" s="20"/>
      <c r="S233" s="20"/>
      <c r="T233" s="20"/>
      <c r="U233" s="20"/>
    </row>
    <row r="234" spans="16:21" x14ac:dyDescent="0.2">
      <c r="P234" s="20"/>
      <c r="Q234" s="20"/>
      <c r="R234" s="20"/>
      <c r="S234" s="20"/>
      <c r="T234" s="20"/>
      <c r="U234" s="20"/>
    </row>
    <row r="235" spans="16:21" x14ac:dyDescent="0.2">
      <c r="P235" s="20"/>
      <c r="Q235" s="20"/>
      <c r="R235" s="20"/>
      <c r="S235" s="20"/>
      <c r="T235" s="20"/>
      <c r="U235" s="20"/>
    </row>
    <row r="236" spans="16:21" x14ac:dyDescent="0.2">
      <c r="P236" s="20"/>
      <c r="Q236" s="20"/>
      <c r="R236" s="20"/>
      <c r="S236" s="20"/>
      <c r="T236" s="20"/>
      <c r="U236" s="20"/>
    </row>
    <row r="237" spans="16:21" x14ac:dyDescent="0.2">
      <c r="P237" s="20"/>
      <c r="Q237" s="20"/>
      <c r="R237" s="20"/>
      <c r="S237" s="20"/>
      <c r="T237" s="20"/>
      <c r="U237" s="20"/>
    </row>
    <row r="238" spans="16:21" x14ac:dyDescent="0.2">
      <c r="P238" s="20"/>
      <c r="Q238" s="20"/>
      <c r="R238" s="20"/>
      <c r="S238" s="20"/>
      <c r="T238" s="20"/>
      <c r="U238" s="20"/>
    </row>
    <row r="239" spans="16:21" x14ac:dyDescent="0.2">
      <c r="P239" s="20"/>
      <c r="Q239" s="20"/>
      <c r="R239" s="20"/>
      <c r="S239" s="20"/>
      <c r="T239" s="20"/>
      <c r="U239" s="20"/>
    </row>
    <row r="240" spans="16:21" x14ac:dyDescent="0.2">
      <c r="P240" s="20"/>
      <c r="Q240" s="20"/>
      <c r="R240" s="20"/>
      <c r="S240" s="20"/>
      <c r="T240" s="20"/>
      <c r="U240" s="20"/>
    </row>
    <row r="241" spans="16:21" x14ac:dyDescent="0.2">
      <c r="P241" s="20"/>
      <c r="Q241" s="20"/>
      <c r="R241" s="20"/>
      <c r="S241" s="20"/>
      <c r="T241" s="20"/>
      <c r="U241" s="20"/>
    </row>
    <row r="242" spans="16:21" x14ac:dyDescent="0.2">
      <c r="P242" s="20"/>
      <c r="Q242" s="20"/>
      <c r="R242" s="20"/>
      <c r="S242" s="20"/>
      <c r="T242" s="20"/>
      <c r="U242" s="20"/>
    </row>
    <row r="243" spans="16:21" x14ac:dyDescent="0.2">
      <c r="P243" s="20"/>
      <c r="Q243" s="20"/>
      <c r="R243" s="20"/>
      <c r="S243" s="20"/>
      <c r="T243" s="20"/>
      <c r="U243" s="20"/>
    </row>
    <row r="244" spans="16:21" x14ac:dyDescent="0.2">
      <c r="P244" s="20"/>
      <c r="Q244" s="20"/>
      <c r="R244" s="20"/>
      <c r="S244" s="20"/>
      <c r="T244" s="20"/>
      <c r="U244" s="20"/>
    </row>
    <row r="245" spans="16:21" x14ac:dyDescent="0.2">
      <c r="P245" s="20"/>
      <c r="Q245" s="20"/>
      <c r="R245" s="20"/>
      <c r="S245" s="20"/>
      <c r="T245" s="20"/>
      <c r="U245" s="20"/>
    </row>
    <row r="246" spans="16:21" x14ac:dyDescent="0.2">
      <c r="P246" s="20"/>
      <c r="Q246" s="20"/>
      <c r="R246" s="20"/>
      <c r="S246" s="20"/>
      <c r="T246" s="20"/>
      <c r="U246" s="20"/>
    </row>
    <row r="247" spans="16:21" x14ac:dyDescent="0.2">
      <c r="P247" s="20"/>
      <c r="Q247" s="20"/>
      <c r="R247" s="20"/>
      <c r="S247" s="20"/>
      <c r="T247" s="20"/>
      <c r="U247" s="20"/>
    </row>
    <row r="248" spans="16:21" x14ac:dyDescent="0.2">
      <c r="P248" s="20"/>
      <c r="Q248" s="20"/>
      <c r="R248" s="20"/>
      <c r="S248" s="20"/>
      <c r="T248" s="20"/>
      <c r="U248" s="20"/>
    </row>
    <row r="249" spans="16:21" x14ac:dyDescent="0.2">
      <c r="P249" s="20"/>
      <c r="Q249" s="20"/>
      <c r="R249" s="20"/>
      <c r="S249" s="20"/>
      <c r="T249" s="20"/>
      <c r="U249" s="20"/>
    </row>
    <row r="250" spans="16:21" x14ac:dyDescent="0.2">
      <c r="P250" s="20"/>
      <c r="Q250" s="20"/>
      <c r="R250" s="20"/>
      <c r="S250" s="20"/>
      <c r="T250" s="20"/>
      <c r="U250" s="20"/>
    </row>
    <row r="251" spans="16:21" x14ac:dyDescent="0.2">
      <c r="P251" s="20"/>
      <c r="Q251" s="20"/>
      <c r="R251" s="20"/>
      <c r="S251" s="20"/>
      <c r="T251" s="20"/>
      <c r="U251" s="20"/>
    </row>
    <row r="252" spans="16:21" x14ac:dyDescent="0.2">
      <c r="P252" s="20"/>
      <c r="Q252" s="20"/>
      <c r="R252" s="20"/>
      <c r="S252" s="20"/>
      <c r="T252" s="20"/>
      <c r="U252" s="20"/>
    </row>
    <row r="253" spans="16:21" x14ac:dyDescent="0.2">
      <c r="P253" s="20"/>
      <c r="Q253" s="20"/>
      <c r="R253" s="20"/>
      <c r="S253" s="20"/>
      <c r="T253" s="20"/>
      <c r="U253" s="20"/>
    </row>
    <row r="254" spans="16:21" x14ac:dyDescent="0.2">
      <c r="P254" s="20"/>
      <c r="Q254" s="20"/>
      <c r="R254" s="20"/>
      <c r="S254" s="20"/>
      <c r="T254" s="20"/>
      <c r="U254" s="20"/>
    </row>
    <row r="255" spans="16:21" x14ac:dyDescent="0.2">
      <c r="P255" s="20"/>
      <c r="Q255" s="20"/>
      <c r="R255" s="20"/>
      <c r="S255" s="20"/>
      <c r="T255" s="20"/>
      <c r="U255" s="20"/>
    </row>
    <row r="256" spans="16:21" x14ac:dyDescent="0.2">
      <c r="P256" s="20"/>
      <c r="Q256" s="20"/>
      <c r="R256" s="20"/>
      <c r="S256" s="20"/>
      <c r="T256" s="20"/>
      <c r="U256" s="20"/>
    </row>
    <row r="257" spans="16:21" x14ac:dyDescent="0.2">
      <c r="P257" s="20"/>
      <c r="Q257" s="20"/>
      <c r="R257" s="20"/>
      <c r="S257" s="20"/>
      <c r="T257" s="20"/>
      <c r="U257" s="20"/>
    </row>
    <row r="258" spans="16:21" x14ac:dyDescent="0.2">
      <c r="P258" s="20"/>
      <c r="Q258" s="20"/>
      <c r="R258" s="20"/>
      <c r="S258" s="20"/>
      <c r="T258" s="20"/>
      <c r="U258" s="20"/>
    </row>
    <row r="259" spans="16:21" x14ac:dyDescent="0.2">
      <c r="P259" s="20"/>
      <c r="Q259" s="20"/>
      <c r="R259" s="20"/>
      <c r="S259" s="20"/>
      <c r="T259" s="20"/>
      <c r="U259" s="20"/>
    </row>
    <row r="260" spans="16:21" x14ac:dyDescent="0.2">
      <c r="P260" s="20"/>
      <c r="Q260" s="20"/>
      <c r="R260" s="20"/>
      <c r="S260" s="20"/>
      <c r="T260" s="20"/>
      <c r="U260" s="20"/>
    </row>
    <row r="261" spans="16:21" x14ac:dyDescent="0.2">
      <c r="P261" s="20"/>
      <c r="Q261" s="20"/>
      <c r="R261" s="20"/>
      <c r="S261" s="20"/>
      <c r="T261" s="20"/>
      <c r="U261" s="20"/>
    </row>
    <row r="262" spans="16:21" x14ac:dyDescent="0.2">
      <c r="P262" s="20"/>
      <c r="Q262" s="20"/>
      <c r="R262" s="20"/>
      <c r="S262" s="20"/>
      <c r="T262" s="20"/>
      <c r="U262" s="20"/>
    </row>
    <row r="263" spans="16:21" x14ac:dyDescent="0.2">
      <c r="P263" s="20"/>
      <c r="Q263" s="20"/>
      <c r="R263" s="20"/>
      <c r="S263" s="20"/>
      <c r="T263" s="20"/>
      <c r="U263" s="20"/>
    </row>
    <row r="264" spans="16:21" x14ac:dyDescent="0.2">
      <c r="P264" s="20"/>
      <c r="Q264" s="20"/>
      <c r="R264" s="20"/>
      <c r="S264" s="20"/>
      <c r="T264" s="20"/>
      <c r="U264" s="20"/>
    </row>
    <row r="265" spans="16:21" x14ac:dyDescent="0.2">
      <c r="P265" s="20"/>
      <c r="Q265" s="20"/>
      <c r="R265" s="20"/>
      <c r="S265" s="20"/>
      <c r="T265" s="20"/>
      <c r="U265" s="20"/>
    </row>
    <row r="266" spans="16:21" x14ac:dyDescent="0.2">
      <c r="P266" s="20"/>
      <c r="Q266" s="20"/>
      <c r="R266" s="20"/>
      <c r="S266" s="20"/>
      <c r="T266" s="20"/>
      <c r="U266" s="20"/>
    </row>
    <row r="267" spans="16:21" x14ac:dyDescent="0.2">
      <c r="P267" s="20"/>
      <c r="Q267" s="20"/>
      <c r="R267" s="20"/>
      <c r="S267" s="20"/>
      <c r="T267" s="20"/>
      <c r="U267" s="20"/>
    </row>
    <row r="268" spans="16:21" x14ac:dyDescent="0.2">
      <c r="P268" s="20"/>
      <c r="Q268" s="20"/>
      <c r="R268" s="20"/>
      <c r="S268" s="20"/>
      <c r="T268" s="20"/>
      <c r="U268" s="20"/>
    </row>
    <row r="269" spans="16:21" x14ac:dyDescent="0.2">
      <c r="P269" s="20"/>
      <c r="Q269" s="20"/>
      <c r="R269" s="20"/>
      <c r="S269" s="20"/>
      <c r="T269" s="20"/>
      <c r="U269" s="20"/>
    </row>
    <row r="270" spans="16:21" x14ac:dyDescent="0.2">
      <c r="P270" s="20"/>
      <c r="Q270" s="20"/>
      <c r="R270" s="20"/>
      <c r="S270" s="20"/>
      <c r="T270" s="20"/>
      <c r="U270" s="20"/>
    </row>
    <row r="271" spans="16:21" x14ac:dyDescent="0.2">
      <c r="P271" s="20"/>
      <c r="Q271" s="20"/>
      <c r="R271" s="20"/>
      <c r="S271" s="20"/>
      <c r="T271" s="20"/>
      <c r="U271" s="20"/>
    </row>
    <row r="272" spans="16:21" x14ac:dyDescent="0.2">
      <c r="P272" s="20"/>
      <c r="Q272" s="20"/>
      <c r="R272" s="20"/>
      <c r="S272" s="20"/>
      <c r="T272" s="20"/>
      <c r="U272" s="20"/>
    </row>
    <row r="273" spans="16:21" x14ac:dyDescent="0.2">
      <c r="P273" s="20"/>
      <c r="Q273" s="20"/>
      <c r="R273" s="20"/>
      <c r="S273" s="20"/>
      <c r="T273" s="20"/>
      <c r="U273" s="20"/>
    </row>
    <row r="274" spans="16:21" x14ac:dyDescent="0.2">
      <c r="P274" s="20"/>
      <c r="Q274" s="20"/>
      <c r="R274" s="20"/>
      <c r="S274" s="20"/>
      <c r="T274" s="20"/>
      <c r="U274" s="20"/>
    </row>
    <row r="275" spans="16:21" x14ac:dyDescent="0.2">
      <c r="P275" s="20"/>
      <c r="Q275" s="20"/>
      <c r="R275" s="20"/>
      <c r="S275" s="20"/>
      <c r="T275" s="20"/>
      <c r="U275" s="20"/>
    </row>
    <row r="276" spans="16:21" x14ac:dyDescent="0.2">
      <c r="P276" s="20"/>
      <c r="Q276" s="20"/>
      <c r="R276" s="20"/>
      <c r="S276" s="20"/>
      <c r="T276" s="20"/>
      <c r="U276" s="20"/>
    </row>
    <row r="277" spans="16:21" x14ac:dyDescent="0.2">
      <c r="P277" s="20"/>
      <c r="Q277" s="20"/>
      <c r="R277" s="20"/>
      <c r="S277" s="20"/>
      <c r="T277" s="20"/>
      <c r="U277" s="20"/>
    </row>
    <row r="278" spans="16:21" x14ac:dyDescent="0.2">
      <c r="P278" s="20"/>
      <c r="Q278" s="20"/>
      <c r="R278" s="20"/>
      <c r="S278" s="20"/>
      <c r="T278" s="20"/>
      <c r="U278" s="20"/>
    </row>
    <row r="279" spans="16:21" x14ac:dyDescent="0.2">
      <c r="P279" s="20"/>
      <c r="Q279" s="20"/>
      <c r="R279" s="20"/>
      <c r="S279" s="20"/>
      <c r="T279" s="20"/>
      <c r="U279" s="20"/>
    </row>
    <row r="280" spans="16:21" x14ac:dyDescent="0.2">
      <c r="P280" s="20"/>
      <c r="Q280" s="20"/>
      <c r="R280" s="20"/>
      <c r="S280" s="20"/>
      <c r="T280" s="20"/>
      <c r="U280" s="20"/>
    </row>
    <row r="281" spans="16:21" x14ac:dyDescent="0.2">
      <c r="P281" s="20"/>
      <c r="Q281" s="20"/>
      <c r="R281" s="20"/>
      <c r="S281" s="20"/>
      <c r="T281" s="20"/>
      <c r="U281" s="20"/>
    </row>
    <row r="282" spans="16:21" x14ac:dyDescent="0.2">
      <c r="P282" s="20"/>
      <c r="Q282" s="20"/>
      <c r="R282" s="20"/>
      <c r="S282" s="20"/>
      <c r="T282" s="20"/>
      <c r="U282" s="20"/>
    </row>
    <row r="283" spans="16:21" x14ac:dyDescent="0.2">
      <c r="P283" s="20"/>
      <c r="Q283" s="20"/>
      <c r="R283" s="20"/>
      <c r="S283" s="20"/>
      <c r="T283" s="20"/>
      <c r="U283" s="20"/>
    </row>
    <row r="284" spans="16:21" x14ac:dyDescent="0.2">
      <c r="P284" s="20"/>
      <c r="Q284" s="20"/>
      <c r="R284" s="20"/>
      <c r="S284" s="20"/>
      <c r="T284" s="20"/>
      <c r="U284" s="20"/>
    </row>
    <row r="285" spans="16:21" x14ac:dyDescent="0.2">
      <c r="P285" s="20"/>
      <c r="Q285" s="20"/>
      <c r="R285" s="20"/>
      <c r="S285" s="20"/>
      <c r="T285" s="20"/>
      <c r="U285" s="20"/>
    </row>
    <row r="286" spans="16:21" x14ac:dyDescent="0.2">
      <c r="P286" s="20"/>
      <c r="Q286" s="20"/>
      <c r="R286" s="20"/>
      <c r="S286" s="20"/>
      <c r="T286" s="20"/>
      <c r="U286" s="20"/>
    </row>
    <row r="287" spans="16:21" x14ac:dyDescent="0.2">
      <c r="P287" s="20"/>
      <c r="Q287" s="20"/>
      <c r="R287" s="20"/>
      <c r="S287" s="20"/>
      <c r="T287" s="20"/>
      <c r="U287" s="20"/>
    </row>
    <row r="288" spans="16:21" x14ac:dyDescent="0.2">
      <c r="P288" s="20"/>
      <c r="Q288" s="20"/>
      <c r="R288" s="20"/>
      <c r="S288" s="20"/>
      <c r="T288" s="20"/>
      <c r="U288" s="20"/>
    </row>
    <row r="289" spans="16:21" x14ac:dyDescent="0.2">
      <c r="P289" s="20"/>
      <c r="Q289" s="20"/>
      <c r="R289" s="20"/>
      <c r="S289" s="20"/>
      <c r="T289" s="20"/>
      <c r="U289" s="20"/>
    </row>
    <row r="290" spans="16:21" x14ac:dyDescent="0.2">
      <c r="P290" s="20"/>
      <c r="Q290" s="20"/>
      <c r="R290" s="20"/>
      <c r="S290" s="20"/>
      <c r="T290" s="20"/>
      <c r="U290" s="20"/>
    </row>
    <row r="291" spans="16:21" x14ac:dyDescent="0.2">
      <c r="P291" s="20"/>
      <c r="Q291" s="20"/>
      <c r="R291" s="20"/>
      <c r="S291" s="20"/>
      <c r="T291" s="20"/>
      <c r="U291" s="20"/>
    </row>
    <row r="292" spans="16:21" x14ac:dyDescent="0.2">
      <c r="P292" s="20"/>
      <c r="Q292" s="20"/>
      <c r="R292" s="20"/>
      <c r="S292" s="20"/>
      <c r="T292" s="20"/>
      <c r="U292" s="20"/>
    </row>
  </sheetData>
  <mergeCells count="13">
    <mergeCell ref="A1:I1"/>
    <mergeCell ref="A3:A4"/>
    <mergeCell ref="B3:B4"/>
    <mergeCell ref="C3:C4"/>
    <mergeCell ref="D3:E3"/>
    <mergeCell ref="F3:G3"/>
    <mergeCell ref="H3:I3"/>
    <mergeCell ref="A6:C6"/>
    <mergeCell ref="A7:C7"/>
    <mergeCell ref="A8:C8"/>
    <mergeCell ref="A9:C9"/>
    <mergeCell ref="A92:A95"/>
    <mergeCell ref="B92:B9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104"/>
  <sheetViews>
    <sheetView zoomScaleNormal="100" zoomScaleSheetLayoutView="70" workbookViewId="0">
      <pane xSplit="3" ySplit="3" topLeftCell="D4" activePane="bottomRight" state="frozen"/>
      <selection activeCell="AB31" sqref="AB31"/>
      <selection pane="topRight" activeCell="AB31" sqref="AB31"/>
      <selection pane="bottomLeft" activeCell="AB31" sqref="AB31"/>
      <selection pane="bottomRight" activeCell="Y8" sqref="Y8"/>
    </sheetView>
  </sheetViews>
  <sheetFormatPr defaultRowHeight="12.75" x14ac:dyDescent="0.2"/>
  <cols>
    <col min="1" max="1" width="6" style="249" hidden="1" customWidth="1"/>
    <col min="2" max="2" width="7.28515625" style="293" customWidth="1"/>
    <col min="3" max="3" width="10" style="252" customWidth="1"/>
    <col min="4" max="8" width="8.42578125" style="290" customWidth="1"/>
    <col min="9" max="9" width="8.42578125" style="291" customWidth="1"/>
    <col min="10" max="12" width="8.42578125" style="290" customWidth="1"/>
    <col min="13" max="13" width="8.42578125" style="291" customWidth="1"/>
    <col min="14" max="14" width="8.42578125" style="290" customWidth="1"/>
    <col min="15" max="15" width="8.42578125" style="252" customWidth="1"/>
    <col min="16" max="16" width="8.42578125" style="286" customWidth="1"/>
    <col min="17" max="17" width="8.42578125" style="291" customWidth="1"/>
    <col min="18" max="21" width="8.42578125" style="290" customWidth="1"/>
    <col min="22" max="25" width="8.42578125" style="252" customWidth="1"/>
    <col min="26" max="26" width="8.42578125" style="251" customWidth="1"/>
    <col min="27" max="27" width="8.42578125" style="251" hidden="1" customWidth="1"/>
    <col min="28" max="28" width="8.42578125" style="252" customWidth="1"/>
    <col min="29" max="29" width="8.42578125" style="251" customWidth="1"/>
    <col min="30" max="31" width="8.42578125" style="290" customWidth="1"/>
    <col min="32" max="33" width="8.42578125" style="252" customWidth="1"/>
    <col min="34" max="16384" width="9.140625" style="252"/>
  </cols>
  <sheetData>
    <row r="1" spans="1:33" ht="27" customHeight="1" x14ac:dyDescent="0.2">
      <c r="B1" s="1028" t="s">
        <v>395</v>
      </c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984"/>
      <c r="R1" s="984"/>
      <c r="S1" s="984"/>
      <c r="T1" s="984"/>
      <c r="U1" s="250"/>
      <c r="V1" s="250"/>
      <c r="W1" s="250"/>
      <c r="X1" s="250"/>
      <c r="Y1" s="250"/>
      <c r="AD1" s="984"/>
      <c r="AE1" s="984"/>
      <c r="AF1" s="984"/>
      <c r="AG1" s="250"/>
    </row>
    <row r="2" spans="1:33" s="255" customFormat="1" ht="38.25" customHeight="1" x14ac:dyDescent="0.2">
      <c r="A2" s="253"/>
      <c r="B2" s="1029" t="s">
        <v>396</v>
      </c>
      <c r="C2" s="1029" t="s">
        <v>397</v>
      </c>
      <c r="D2" s="1010" t="s">
        <v>259</v>
      </c>
      <c r="E2" s="1010" t="s">
        <v>277</v>
      </c>
      <c r="F2" s="1010" t="s">
        <v>269</v>
      </c>
      <c r="G2" s="1010" t="s">
        <v>263</v>
      </c>
      <c r="H2" s="1010" t="s">
        <v>398</v>
      </c>
      <c r="I2" s="1010" t="s">
        <v>267</v>
      </c>
      <c r="J2" s="1010" t="s">
        <v>275</v>
      </c>
      <c r="K2" s="1010" t="s">
        <v>399</v>
      </c>
      <c r="L2" s="1010" t="s">
        <v>400</v>
      </c>
      <c r="M2" s="1010" t="s">
        <v>401</v>
      </c>
      <c r="N2" s="1010" t="s">
        <v>402</v>
      </c>
      <c r="O2" s="1010" t="s">
        <v>749</v>
      </c>
      <c r="P2" s="1010" t="s">
        <v>750</v>
      </c>
      <c r="Q2" s="1010" t="s">
        <v>762</v>
      </c>
      <c r="R2" s="1010" t="s">
        <v>208</v>
      </c>
      <c r="S2" s="1010" t="s">
        <v>403</v>
      </c>
      <c r="T2" s="1010" t="s">
        <v>784</v>
      </c>
      <c r="U2" s="1010" t="s">
        <v>404</v>
      </c>
      <c r="V2" s="1010" t="s">
        <v>405</v>
      </c>
      <c r="W2" s="1010" t="s">
        <v>406</v>
      </c>
      <c r="X2" s="1010" t="s">
        <v>407</v>
      </c>
      <c r="Y2" s="1010" t="s">
        <v>408</v>
      </c>
      <c r="Z2" s="1010" t="s">
        <v>84</v>
      </c>
      <c r="AA2" s="1010" t="s">
        <v>409</v>
      </c>
      <c r="AB2" s="1010" t="s">
        <v>206</v>
      </c>
      <c r="AC2" s="1010" t="s">
        <v>410</v>
      </c>
      <c r="AD2" s="1010" t="s">
        <v>411</v>
      </c>
      <c r="AE2" s="1010" t="s">
        <v>124</v>
      </c>
      <c r="AF2" s="1010" t="s">
        <v>715</v>
      </c>
      <c r="AG2" s="1011" t="s">
        <v>412</v>
      </c>
    </row>
    <row r="3" spans="1:33" s="255" customFormat="1" ht="100.5" customHeight="1" x14ac:dyDescent="0.2">
      <c r="A3" s="253"/>
      <c r="B3" s="1030"/>
      <c r="C3" s="1030"/>
      <c r="D3" s="254" t="s">
        <v>413</v>
      </c>
      <c r="E3" s="254" t="s">
        <v>413</v>
      </c>
      <c r="F3" s="254" t="s">
        <v>413</v>
      </c>
      <c r="G3" s="254" t="s">
        <v>413</v>
      </c>
      <c r="H3" s="254" t="s">
        <v>413</v>
      </c>
      <c r="I3" s="254" t="s">
        <v>413</v>
      </c>
      <c r="J3" s="254" t="s">
        <v>413</v>
      </c>
      <c r="K3" s="254" t="s">
        <v>413</v>
      </c>
      <c r="L3" s="254" t="s">
        <v>413</v>
      </c>
      <c r="M3" s="254" t="s">
        <v>413</v>
      </c>
      <c r="N3" s="254" t="s">
        <v>413</v>
      </c>
      <c r="O3" s="254" t="s">
        <v>413</v>
      </c>
      <c r="P3" s="254" t="s">
        <v>413</v>
      </c>
      <c r="Q3" s="254" t="s">
        <v>413</v>
      </c>
      <c r="R3" s="254" t="s">
        <v>413</v>
      </c>
      <c r="S3" s="254" t="s">
        <v>413</v>
      </c>
      <c r="T3" s="254" t="s">
        <v>413</v>
      </c>
      <c r="U3" s="254" t="s">
        <v>413</v>
      </c>
      <c r="V3" s="254" t="s">
        <v>413</v>
      </c>
      <c r="W3" s="254" t="s">
        <v>413</v>
      </c>
      <c r="X3" s="254" t="s">
        <v>413</v>
      </c>
      <c r="Y3" s="254" t="s">
        <v>413</v>
      </c>
      <c r="Z3" s="254" t="s">
        <v>413</v>
      </c>
      <c r="AA3" s="254" t="s">
        <v>413</v>
      </c>
      <c r="AB3" s="254" t="s">
        <v>413</v>
      </c>
      <c r="AC3" s="254" t="s">
        <v>413</v>
      </c>
      <c r="AD3" s="254" t="s">
        <v>413</v>
      </c>
      <c r="AE3" s="254" t="s">
        <v>413</v>
      </c>
      <c r="AF3" s="254" t="s">
        <v>413</v>
      </c>
      <c r="AG3" s="254" t="s">
        <v>413</v>
      </c>
    </row>
    <row r="4" spans="1:33" s="258" customFormat="1" ht="11.25" customHeight="1" x14ac:dyDescent="0.2">
      <c r="A4" s="256"/>
      <c r="B4" s="257">
        <v>1</v>
      </c>
      <c r="C4" s="257">
        <v>2</v>
      </c>
      <c r="D4" s="257">
        <v>3</v>
      </c>
      <c r="E4" s="257">
        <v>4</v>
      </c>
      <c r="F4" s="257">
        <v>5</v>
      </c>
      <c r="G4" s="257">
        <v>6</v>
      </c>
      <c r="H4" s="257">
        <v>7</v>
      </c>
      <c r="I4" s="257">
        <v>8</v>
      </c>
      <c r="J4" s="257">
        <v>9</v>
      </c>
      <c r="K4" s="257">
        <v>10</v>
      </c>
      <c r="L4" s="257">
        <v>11</v>
      </c>
      <c r="M4" s="257">
        <v>12</v>
      </c>
      <c r="N4" s="257">
        <v>13</v>
      </c>
      <c r="O4" s="257">
        <v>14</v>
      </c>
      <c r="P4" s="257">
        <v>15</v>
      </c>
      <c r="Q4" s="257">
        <v>16</v>
      </c>
      <c r="R4" s="257">
        <v>17</v>
      </c>
      <c r="S4" s="257">
        <v>18</v>
      </c>
      <c r="T4" s="257">
        <v>19</v>
      </c>
      <c r="U4" s="257">
        <v>20</v>
      </c>
      <c r="V4" s="257">
        <v>21</v>
      </c>
      <c r="W4" s="257">
        <v>22</v>
      </c>
      <c r="X4" s="257">
        <v>23</v>
      </c>
      <c r="Y4" s="257">
        <v>24</v>
      </c>
      <c r="Z4" s="257">
        <v>25</v>
      </c>
      <c r="AA4" s="257">
        <v>26</v>
      </c>
      <c r="AB4" s="257">
        <v>27</v>
      </c>
      <c r="AC4" s="257">
        <v>28</v>
      </c>
      <c r="AD4" s="257">
        <v>29</v>
      </c>
      <c r="AE4" s="257">
        <v>30</v>
      </c>
      <c r="AF4" s="257">
        <v>31</v>
      </c>
      <c r="AG4" s="257">
        <v>32</v>
      </c>
    </row>
    <row r="5" spans="1:33" s="261" customFormat="1" ht="24" customHeight="1" x14ac:dyDescent="0.2">
      <c r="A5" s="259"/>
      <c r="B5" s="1026" t="s">
        <v>414</v>
      </c>
      <c r="C5" s="1027"/>
      <c r="D5" s="260">
        <f>D6+D7</f>
        <v>384</v>
      </c>
      <c r="E5" s="260">
        <f t="shared" ref="E5:AF5" si="0">E6+E7</f>
        <v>0</v>
      </c>
      <c r="F5" s="260">
        <f t="shared" si="0"/>
        <v>271</v>
      </c>
      <c r="G5" s="260">
        <f t="shared" si="0"/>
        <v>0</v>
      </c>
      <c r="H5" s="260">
        <f t="shared" si="0"/>
        <v>0</v>
      </c>
      <c r="I5" s="260">
        <f t="shared" si="0"/>
        <v>0</v>
      </c>
      <c r="J5" s="260">
        <f t="shared" si="0"/>
        <v>0</v>
      </c>
      <c r="K5" s="260">
        <f t="shared" si="0"/>
        <v>70</v>
      </c>
      <c r="L5" s="260">
        <f t="shared" si="0"/>
        <v>0</v>
      </c>
      <c r="M5" s="260">
        <f t="shared" si="0"/>
        <v>0</v>
      </c>
      <c r="N5" s="260">
        <f t="shared" si="0"/>
        <v>30</v>
      </c>
      <c r="O5" s="260">
        <f t="shared" si="0"/>
        <v>129</v>
      </c>
      <c r="P5" s="260">
        <f t="shared" si="0"/>
        <v>48</v>
      </c>
      <c r="Q5" s="260">
        <f t="shared" si="0"/>
        <v>40</v>
      </c>
      <c r="R5" s="260">
        <f t="shared" si="0"/>
        <v>0</v>
      </c>
      <c r="S5" s="260">
        <f t="shared" si="0"/>
        <v>0</v>
      </c>
      <c r="T5" s="260">
        <f t="shared" si="0"/>
        <v>0</v>
      </c>
      <c r="U5" s="260">
        <f t="shared" si="0"/>
        <v>0</v>
      </c>
      <c r="V5" s="260">
        <f t="shared" si="0"/>
        <v>0</v>
      </c>
      <c r="W5" s="260">
        <f t="shared" si="0"/>
        <v>0</v>
      </c>
      <c r="X5" s="260">
        <f t="shared" si="0"/>
        <v>0</v>
      </c>
      <c r="Y5" s="260">
        <f t="shared" si="0"/>
        <v>0</v>
      </c>
      <c r="Z5" s="260">
        <f t="shared" si="0"/>
        <v>0</v>
      </c>
      <c r="AA5" s="260">
        <f t="shared" si="0"/>
        <v>0</v>
      </c>
      <c r="AB5" s="260">
        <f t="shared" si="0"/>
        <v>0</v>
      </c>
      <c r="AC5" s="260">
        <f t="shared" si="0"/>
        <v>0</v>
      </c>
      <c r="AD5" s="260">
        <f t="shared" si="0"/>
        <v>225</v>
      </c>
      <c r="AE5" s="260">
        <f t="shared" si="0"/>
        <v>0</v>
      </c>
      <c r="AF5" s="260">
        <f t="shared" si="0"/>
        <v>0</v>
      </c>
      <c r="AG5" s="260">
        <f>AG6+AG7</f>
        <v>1197</v>
      </c>
    </row>
    <row r="6" spans="1:33" s="258" customFormat="1" ht="13.5" customHeight="1" x14ac:dyDescent="0.2">
      <c r="A6" s="256">
        <v>3</v>
      </c>
      <c r="B6" s="262">
        <v>1</v>
      </c>
      <c r="C6" s="263">
        <v>154599</v>
      </c>
      <c r="D6" s="264">
        <v>304</v>
      </c>
      <c r="E6" s="264"/>
      <c r="F6" s="264">
        <v>131</v>
      </c>
      <c r="G6" s="264"/>
      <c r="H6" s="264"/>
      <c r="I6" s="264"/>
      <c r="J6" s="264"/>
      <c r="K6" s="264"/>
      <c r="L6" s="264"/>
      <c r="M6" s="264"/>
      <c r="N6" s="264">
        <v>13</v>
      </c>
      <c r="O6" s="264">
        <v>100</v>
      </c>
      <c r="P6" s="264">
        <v>20</v>
      </c>
      <c r="Q6" s="264">
        <v>40</v>
      </c>
      <c r="R6" s="264"/>
      <c r="S6" s="264"/>
      <c r="T6" s="264"/>
      <c r="U6" s="264"/>
      <c r="V6" s="264"/>
      <c r="W6" s="265"/>
      <c r="X6" s="265"/>
      <c r="Y6" s="265"/>
      <c r="Z6" s="266"/>
      <c r="AA6" s="266"/>
      <c r="AB6" s="266"/>
      <c r="AC6" s="266"/>
      <c r="AD6" s="265">
        <f>150+20+5</f>
        <v>175</v>
      </c>
      <c r="AE6" s="265"/>
      <c r="AF6" s="264"/>
      <c r="AG6" s="267">
        <f>D6+E6+F6+G6+H6+I6+J6+K6+L6+M6+N6+O6+P6+Q6+R6+S6+T6+U6+V6+W6+X6+Y6+Z6+AA6+AB6+AC6+AD6+AE6+AF6</f>
        <v>783</v>
      </c>
    </row>
    <row r="7" spans="1:33" s="258" customFormat="1" ht="13.5" customHeight="1" x14ac:dyDescent="0.2">
      <c r="A7" s="256">
        <v>4</v>
      </c>
      <c r="B7" s="262">
        <v>2</v>
      </c>
      <c r="C7" s="263">
        <v>235945</v>
      </c>
      <c r="D7" s="265">
        <v>80</v>
      </c>
      <c r="E7" s="265"/>
      <c r="F7" s="265">
        <v>140</v>
      </c>
      <c r="G7" s="264"/>
      <c r="H7" s="265"/>
      <c r="I7" s="268"/>
      <c r="J7" s="265"/>
      <c r="K7" s="265">
        <f>53+12+3+1+1</f>
        <v>70</v>
      </c>
      <c r="L7" s="265"/>
      <c r="M7" s="264"/>
      <c r="N7" s="265">
        <v>17</v>
      </c>
      <c r="O7" s="264">
        <v>29</v>
      </c>
      <c r="P7" s="265">
        <f>32-4</f>
        <v>28</v>
      </c>
      <c r="Q7" s="264"/>
      <c r="R7" s="265"/>
      <c r="S7" s="265"/>
      <c r="T7" s="265"/>
      <c r="U7" s="265"/>
      <c r="V7" s="264"/>
      <c r="W7" s="265"/>
      <c r="X7" s="265"/>
      <c r="Y7" s="265"/>
      <c r="Z7" s="266"/>
      <c r="AA7" s="266"/>
      <c r="AB7" s="266"/>
      <c r="AC7" s="266"/>
      <c r="AD7" s="265">
        <f>40+5+5</f>
        <v>50</v>
      </c>
      <c r="AE7" s="265"/>
      <c r="AF7" s="264"/>
      <c r="AG7" s="267">
        <f>D7+E7+F7+G7+H7+I7+J7+K7+L7+M7+N7+O7+P7+Q7+R7+S7+T7+U7+V7+W7+X7+Y7+Z7+AA7+AB7+AC7+AD7+AE7+AF7</f>
        <v>414</v>
      </c>
    </row>
    <row r="8" spans="1:33" s="258" customFormat="1" ht="20.25" customHeight="1" x14ac:dyDescent="0.2">
      <c r="A8" s="256"/>
      <c r="B8" s="1026" t="s">
        <v>415</v>
      </c>
      <c r="C8" s="1027"/>
      <c r="D8" s="260">
        <f t="shared" ref="D8:AG8" si="1">D9</f>
        <v>50</v>
      </c>
      <c r="E8" s="260">
        <f t="shared" si="1"/>
        <v>0</v>
      </c>
      <c r="F8" s="260">
        <f t="shared" si="1"/>
        <v>0</v>
      </c>
      <c r="G8" s="260">
        <f t="shared" si="1"/>
        <v>0</v>
      </c>
      <c r="H8" s="260">
        <f t="shared" si="1"/>
        <v>0</v>
      </c>
      <c r="I8" s="260">
        <f t="shared" si="1"/>
        <v>0</v>
      </c>
      <c r="J8" s="260">
        <f t="shared" si="1"/>
        <v>0</v>
      </c>
      <c r="K8" s="260">
        <f t="shared" si="1"/>
        <v>4</v>
      </c>
      <c r="L8" s="260">
        <f t="shared" si="1"/>
        <v>0</v>
      </c>
      <c r="M8" s="260">
        <f t="shared" si="1"/>
        <v>0</v>
      </c>
      <c r="N8" s="260">
        <f t="shared" si="1"/>
        <v>0</v>
      </c>
      <c r="O8" s="260">
        <f t="shared" si="1"/>
        <v>0</v>
      </c>
      <c r="P8" s="260">
        <f t="shared" si="1"/>
        <v>12</v>
      </c>
      <c r="Q8" s="260">
        <f t="shared" si="1"/>
        <v>0</v>
      </c>
      <c r="R8" s="260">
        <f t="shared" si="1"/>
        <v>0</v>
      </c>
      <c r="S8" s="260">
        <f t="shared" si="1"/>
        <v>0</v>
      </c>
      <c r="T8" s="260">
        <f t="shared" si="1"/>
        <v>0</v>
      </c>
      <c r="U8" s="260">
        <f t="shared" si="1"/>
        <v>0</v>
      </c>
      <c r="V8" s="260">
        <f t="shared" si="1"/>
        <v>0</v>
      </c>
      <c r="W8" s="260">
        <f t="shared" si="1"/>
        <v>0</v>
      </c>
      <c r="X8" s="260">
        <f t="shared" si="1"/>
        <v>0</v>
      </c>
      <c r="Y8" s="260">
        <f t="shared" si="1"/>
        <v>0</v>
      </c>
      <c r="Z8" s="260">
        <f t="shared" si="1"/>
        <v>0</v>
      </c>
      <c r="AA8" s="260">
        <f t="shared" si="1"/>
        <v>0</v>
      </c>
      <c r="AB8" s="260">
        <f t="shared" si="1"/>
        <v>0</v>
      </c>
      <c r="AC8" s="260">
        <f t="shared" si="1"/>
        <v>0</v>
      </c>
      <c r="AD8" s="260">
        <f t="shared" si="1"/>
        <v>0</v>
      </c>
      <c r="AE8" s="260">
        <f t="shared" si="1"/>
        <v>0</v>
      </c>
      <c r="AF8" s="260">
        <f t="shared" si="1"/>
        <v>0</v>
      </c>
      <c r="AG8" s="260">
        <f t="shared" si="1"/>
        <v>66</v>
      </c>
    </row>
    <row r="9" spans="1:33" s="258" customFormat="1" ht="15" customHeight="1" x14ac:dyDescent="0.2">
      <c r="A9" s="256">
        <v>5</v>
      </c>
      <c r="B9" s="262">
        <v>3</v>
      </c>
      <c r="C9" s="263">
        <v>159235</v>
      </c>
      <c r="D9" s="265">
        <v>50</v>
      </c>
      <c r="E9" s="265"/>
      <c r="F9" s="265"/>
      <c r="G9" s="265"/>
      <c r="H9" s="265"/>
      <c r="I9" s="265"/>
      <c r="J9" s="265"/>
      <c r="K9" s="265">
        <f>34-30</f>
        <v>4</v>
      </c>
      <c r="L9" s="265"/>
      <c r="M9" s="265"/>
      <c r="N9" s="265"/>
      <c r="O9" s="264"/>
      <c r="P9" s="265">
        <f>60-10-38</f>
        <v>12</v>
      </c>
      <c r="Q9" s="265"/>
      <c r="R9" s="265"/>
      <c r="S9" s="265"/>
      <c r="T9" s="265"/>
      <c r="U9" s="265"/>
      <c r="V9" s="264"/>
      <c r="W9" s="265"/>
      <c r="X9" s="265"/>
      <c r="Y9" s="265"/>
      <c r="Z9" s="266"/>
      <c r="AA9" s="266"/>
      <c r="AB9" s="266"/>
      <c r="AC9" s="266"/>
      <c r="AD9" s="265"/>
      <c r="AE9" s="265"/>
      <c r="AF9" s="264"/>
      <c r="AG9" s="267">
        <f>D9+E9+F9+G9+H9+I9+J9+K9+L9+M9+N9+O9+P9+Q9+R9+S9+T9+U9+V9+W9+X9+Y9+Z9+AA9+AB9+AC9+AD9+AE9+AF9</f>
        <v>66</v>
      </c>
    </row>
    <row r="10" spans="1:33" s="258" customFormat="1" ht="20.25" customHeight="1" x14ac:dyDescent="0.2">
      <c r="A10" s="256"/>
      <c r="B10" s="1026" t="s">
        <v>416</v>
      </c>
      <c r="C10" s="1027"/>
      <c r="D10" s="260">
        <f>D11+D12</f>
        <v>31</v>
      </c>
      <c r="E10" s="260">
        <f t="shared" ref="E10:AG10" si="2">E11+E12</f>
        <v>0</v>
      </c>
      <c r="F10" s="260">
        <f t="shared" si="2"/>
        <v>0</v>
      </c>
      <c r="G10" s="260">
        <f t="shared" si="2"/>
        <v>0</v>
      </c>
      <c r="H10" s="260">
        <f t="shared" si="2"/>
        <v>0</v>
      </c>
      <c r="I10" s="260">
        <f t="shared" si="2"/>
        <v>0</v>
      </c>
      <c r="J10" s="260">
        <f t="shared" si="2"/>
        <v>0</v>
      </c>
      <c r="K10" s="260">
        <f t="shared" si="2"/>
        <v>15</v>
      </c>
      <c r="L10" s="260">
        <f t="shared" si="2"/>
        <v>0</v>
      </c>
      <c r="M10" s="260">
        <f t="shared" si="2"/>
        <v>0</v>
      </c>
      <c r="N10" s="260">
        <f t="shared" si="2"/>
        <v>21</v>
      </c>
      <c r="O10" s="260">
        <f t="shared" si="2"/>
        <v>0</v>
      </c>
      <c r="P10" s="260">
        <f t="shared" si="2"/>
        <v>0</v>
      </c>
      <c r="Q10" s="260">
        <f t="shared" si="2"/>
        <v>0</v>
      </c>
      <c r="R10" s="260">
        <f t="shared" si="2"/>
        <v>0</v>
      </c>
      <c r="S10" s="260">
        <f t="shared" si="2"/>
        <v>0</v>
      </c>
      <c r="T10" s="260">
        <f t="shared" si="2"/>
        <v>0</v>
      </c>
      <c r="U10" s="260">
        <f t="shared" si="2"/>
        <v>0</v>
      </c>
      <c r="V10" s="260">
        <f t="shared" si="2"/>
        <v>0</v>
      </c>
      <c r="W10" s="260">
        <f t="shared" si="2"/>
        <v>0</v>
      </c>
      <c r="X10" s="260">
        <f t="shared" si="2"/>
        <v>0</v>
      </c>
      <c r="Y10" s="260">
        <f t="shared" si="2"/>
        <v>0</v>
      </c>
      <c r="Z10" s="260">
        <f t="shared" si="2"/>
        <v>0</v>
      </c>
      <c r="AA10" s="260">
        <f t="shared" si="2"/>
        <v>0</v>
      </c>
      <c r="AB10" s="260">
        <f t="shared" si="2"/>
        <v>0</v>
      </c>
      <c r="AC10" s="260">
        <f t="shared" si="2"/>
        <v>0</v>
      </c>
      <c r="AD10" s="260">
        <f t="shared" si="2"/>
        <v>0</v>
      </c>
      <c r="AE10" s="260">
        <f t="shared" si="2"/>
        <v>0</v>
      </c>
      <c r="AF10" s="260">
        <f t="shared" si="2"/>
        <v>0</v>
      </c>
      <c r="AG10" s="260">
        <f t="shared" si="2"/>
        <v>67</v>
      </c>
    </row>
    <row r="11" spans="1:33" s="258" customFormat="1" ht="12.75" customHeight="1" x14ac:dyDescent="0.2">
      <c r="A11" s="256">
        <v>6</v>
      </c>
      <c r="B11" s="262">
        <v>4</v>
      </c>
      <c r="C11" s="263">
        <v>180406</v>
      </c>
      <c r="D11" s="265">
        <v>31</v>
      </c>
      <c r="E11" s="265"/>
      <c r="F11" s="265"/>
      <c r="G11" s="264"/>
      <c r="H11" s="265"/>
      <c r="I11" s="265"/>
      <c r="J11" s="265"/>
      <c r="K11" s="265">
        <f>12+3</f>
        <v>15</v>
      </c>
      <c r="L11" s="265"/>
      <c r="M11" s="265"/>
      <c r="N11" s="265">
        <v>21</v>
      </c>
      <c r="O11" s="264"/>
      <c r="P11" s="265"/>
      <c r="Q11" s="265"/>
      <c r="R11" s="265"/>
      <c r="S11" s="265"/>
      <c r="T11" s="265"/>
      <c r="U11" s="265"/>
      <c r="V11" s="264"/>
      <c r="W11" s="265"/>
      <c r="X11" s="265"/>
      <c r="Y11" s="265"/>
      <c r="Z11" s="266"/>
      <c r="AA11" s="266"/>
      <c r="AB11" s="266"/>
      <c r="AC11" s="266"/>
      <c r="AD11" s="265"/>
      <c r="AE11" s="265"/>
      <c r="AF11" s="264"/>
      <c r="AG11" s="267">
        <f>D11+E11+F11+G11+H11+I11+J11+K11+L11+M11+N11+O11+P11+Q11+R11+S11+T11+U11+V11+W11+X11+Y11+Z11+AA11+AB11+AC11+AD11+AE11+AF11</f>
        <v>67</v>
      </c>
    </row>
    <row r="12" spans="1:33" s="258" customFormat="1" ht="18.75" customHeight="1" x14ac:dyDescent="0.2">
      <c r="A12" s="256">
        <v>7</v>
      </c>
      <c r="B12" s="262">
        <v>5</v>
      </c>
      <c r="C12" s="263">
        <v>517784</v>
      </c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4"/>
      <c r="P12" s="265"/>
      <c r="Q12" s="265"/>
      <c r="R12" s="265"/>
      <c r="S12" s="265"/>
      <c r="T12" s="265"/>
      <c r="U12" s="265"/>
      <c r="V12" s="264"/>
      <c r="W12" s="265"/>
      <c r="X12" s="265"/>
      <c r="Y12" s="265"/>
      <c r="Z12" s="266"/>
      <c r="AA12" s="266"/>
      <c r="AB12" s="266"/>
      <c r="AC12" s="266"/>
      <c r="AD12" s="265"/>
      <c r="AE12" s="265"/>
      <c r="AF12" s="264"/>
      <c r="AG12" s="267">
        <f>D12+E12+F12+G12+H12+I12+J12+K12+L12+M12+N12+O12+P12+Q12+R12+S12+T12+U12+V12+W12+X12+Y12+Z12+AA12+AB12+AC12+AD12+AE12+AF12</f>
        <v>0</v>
      </c>
    </row>
    <row r="13" spans="1:33" s="258" customFormat="1" ht="21.75" customHeight="1" x14ac:dyDescent="0.2">
      <c r="A13" s="256"/>
      <c r="B13" s="1026" t="s">
        <v>417</v>
      </c>
      <c r="C13" s="1027"/>
      <c r="D13" s="260">
        <f>D14</f>
        <v>0</v>
      </c>
      <c r="E13" s="260">
        <f t="shared" ref="E13:AG13" si="3">E14</f>
        <v>0</v>
      </c>
      <c r="F13" s="260">
        <f t="shared" si="3"/>
        <v>0</v>
      </c>
      <c r="G13" s="260">
        <f t="shared" si="3"/>
        <v>0</v>
      </c>
      <c r="H13" s="260">
        <f t="shared" si="3"/>
        <v>0</v>
      </c>
      <c r="I13" s="260">
        <f t="shared" si="3"/>
        <v>0</v>
      </c>
      <c r="J13" s="260">
        <f t="shared" si="3"/>
        <v>0</v>
      </c>
      <c r="K13" s="260">
        <f t="shared" si="3"/>
        <v>4</v>
      </c>
      <c r="L13" s="260">
        <f t="shared" si="3"/>
        <v>0</v>
      </c>
      <c r="M13" s="260">
        <f t="shared" si="3"/>
        <v>0</v>
      </c>
      <c r="N13" s="260">
        <f t="shared" si="3"/>
        <v>0</v>
      </c>
      <c r="O13" s="260">
        <f t="shared" si="3"/>
        <v>0</v>
      </c>
      <c r="P13" s="260">
        <f t="shared" si="3"/>
        <v>0</v>
      </c>
      <c r="Q13" s="260">
        <f t="shared" si="3"/>
        <v>0</v>
      </c>
      <c r="R13" s="260">
        <f t="shared" si="3"/>
        <v>0</v>
      </c>
      <c r="S13" s="260">
        <f t="shared" si="3"/>
        <v>0</v>
      </c>
      <c r="T13" s="260">
        <f t="shared" si="3"/>
        <v>0</v>
      </c>
      <c r="U13" s="260">
        <f t="shared" si="3"/>
        <v>0</v>
      </c>
      <c r="V13" s="260">
        <f t="shared" si="3"/>
        <v>0</v>
      </c>
      <c r="W13" s="260">
        <f t="shared" si="3"/>
        <v>0</v>
      </c>
      <c r="X13" s="260">
        <f t="shared" si="3"/>
        <v>0</v>
      </c>
      <c r="Y13" s="260">
        <f t="shared" si="3"/>
        <v>0</v>
      </c>
      <c r="Z13" s="260">
        <f t="shared" si="3"/>
        <v>0</v>
      </c>
      <c r="AA13" s="260">
        <f t="shared" si="3"/>
        <v>0</v>
      </c>
      <c r="AB13" s="260">
        <f t="shared" si="3"/>
        <v>0</v>
      </c>
      <c r="AC13" s="260">
        <f t="shared" si="3"/>
        <v>0</v>
      </c>
      <c r="AD13" s="260">
        <f t="shared" si="3"/>
        <v>0</v>
      </c>
      <c r="AE13" s="260">
        <f t="shared" si="3"/>
        <v>0</v>
      </c>
      <c r="AF13" s="260">
        <f t="shared" si="3"/>
        <v>0</v>
      </c>
      <c r="AG13" s="260">
        <f t="shared" si="3"/>
        <v>4</v>
      </c>
    </row>
    <row r="14" spans="1:33" s="255" customFormat="1" ht="14.25" customHeight="1" x14ac:dyDescent="0.2">
      <c r="A14" s="253">
        <v>8</v>
      </c>
      <c r="B14" s="262">
        <v>6</v>
      </c>
      <c r="C14" s="263">
        <v>321904</v>
      </c>
      <c r="D14" s="265"/>
      <c r="E14" s="265"/>
      <c r="F14" s="265"/>
      <c r="G14" s="265"/>
      <c r="H14" s="265"/>
      <c r="I14" s="265"/>
      <c r="J14" s="265"/>
      <c r="K14" s="265">
        <v>4</v>
      </c>
      <c r="L14" s="265"/>
      <c r="M14" s="265"/>
      <c r="N14" s="265"/>
      <c r="O14" s="264"/>
      <c r="P14" s="265"/>
      <c r="Q14" s="265"/>
      <c r="R14" s="265"/>
      <c r="S14" s="265"/>
      <c r="T14" s="265"/>
      <c r="U14" s="265"/>
      <c r="V14" s="264"/>
      <c r="W14" s="265"/>
      <c r="X14" s="265"/>
      <c r="Y14" s="264"/>
      <c r="Z14" s="269"/>
      <c r="AA14" s="269"/>
      <c r="AB14" s="269"/>
      <c r="AC14" s="269"/>
      <c r="AD14" s="265"/>
      <c r="AE14" s="265"/>
      <c r="AF14" s="264"/>
      <c r="AG14" s="267">
        <f>D14+E14+F14+G14+H14+I14+J14+K14+L14+M14+N14+O14+P14+Q14+R14+S14+T14+U14+V14+W14+X14+Y14+Z14+AA14+AB14+AC14+AD14+AE14+AF14</f>
        <v>4</v>
      </c>
    </row>
    <row r="15" spans="1:33" s="258" customFormat="1" ht="18" customHeight="1" x14ac:dyDescent="0.2">
      <c r="A15" s="256"/>
      <c r="B15" s="1026" t="s">
        <v>418</v>
      </c>
      <c r="C15" s="1027"/>
      <c r="D15" s="260">
        <f t="shared" ref="D15:AG15" si="4">D16</f>
        <v>0</v>
      </c>
      <c r="E15" s="260">
        <f t="shared" si="4"/>
        <v>0</v>
      </c>
      <c r="F15" s="260">
        <f t="shared" si="4"/>
        <v>0</v>
      </c>
      <c r="G15" s="260">
        <f t="shared" si="4"/>
        <v>0</v>
      </c>
      <c r="H15" s="260">
        <f t="shared" si="4"/>
        <v>0</v>
      </c>
      <c r="I15" s="260">
        <f t="shared" si="4"/>
        <v>49</v>
      </c>
      <c r="J15" s="260">
        <f t="shared" si="4"/>
        <v>0</v>
      </c>
      <c r="K15" s="260">
        <f t="shared" si="4"/>
        <v>0</v>
      </c>
      <c r="L15" s="260">
        <f t="shared" si="4"/>
        <v>0</v>
      </c>
      <c r="M15" s="260">
        <f t="shared" si="4"/>
        <v>0</v>
      </c>
      <c r="N15" s="260">
        <f t="shared" si="4"/>
        <v>0</v>
      </c>
      <c r="O15" s="260">
        <f t="shared" si="4"/>
        <v>0</v>
      </c>
      <c r="P15" s="260">
        <f t="shared" si="4"/>
        <v>0</v>
      </c>
      <c r="Q15" s="260">
        <f t="shared" si="4"/>
        <v>0</v>
      </c>
      <c r="R15" s="260">
        <f t="shared" si="4"/>
        <v>0</v>
      </c>
      <c r="S15" s="260">
        <f t="shared" si="4"/>
        <v>0</v>
      </c>
      <c r="T15" s="260">
        <f t="shared" si="4"/>
        <v>0</v>
      </c>
      <c r="U15" s="260">
        <f t="shared" si="4"/>
        <v>0</v>
      </c>
      <c r="V15" s="260">
        <f t="shared" si="4"/>
        <v>0</v>
      </c>
      <c r="W15" s="260">
        <f t="shared" si="4"/>
        <v>0</v>
      </c>
      <c r="X15" s="260">
        <f t="shared" si="4"/>
        <v>0</v>
      </c>
      <c r="Y15" s="260">
        <f t="shared" si="4"/>
        <v>0</v>
      </c>
      <c r="Z15" s="260">
        <f t="shared" si="4"/>
        <v>0</v>
      </c>
      <c r="AA15" s="260">
        <f t="shared" si="4"/>
        <v>0</v>
      </c>
      <c r="AB15" s="260">
        <f t="shared" si="4"/>
        <v>0</v>
      </c>
      <c r="AC15" s="260">
        <f t="shared" si="4"/>
        <v>0</v>
      </c>
      <c r="AD15" s="260">
        <f t="shared" si="4"/>
        <v>0</v>
      </c>
      <c r="AE15" s="260">
        <f t="shared" si="4"/>
        <v>0</v>
      </c>
      <c r="AF15" s="260">
        <f t="shared" si="4"/>
        <v>0</v>
      </c>
      <c r="AG15" s="260">
        <f t="shared" si="4"/>
        <v>49</v>
      </c>
    </row>
    <row r="16" spans="1:33" s="258" customFormat="1" ht="15.75" customHeight="1" x14ac:dyDescent="0.2">
      <c r="A16" s="256">
        <v>9</v>
      </c>
      <c r="B16" s="262">
        <v>7</v>
      </c>
      <c r="C16" s="263">
        <v>122477</v>
      </c>
      <c r="D16" s="265"/>
      <c r="E16" s="265"/>
      <c r="F16" s="265"/>
      <c r="G16" s="265"/>
      <c r="H16" s="265"/>
      <c r="I16" s="265">
        <f>48+1</f>
        <v>49</v>
      </c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4"/>
      <c r="W16" s="265"/>
      <c r="X16" s="265"/>
      <c r="Y16" s="265"/>
      <c r="Z16" s="266"/>
      <c r="AA16" s="266"/>
      <c r="AB16" s="266"/>
      <c r="AC16" s="266"/>
      <c r="AD16" s="265"/>
      <c r="AE16" s="265"/>
      <c r="AF16" s="264"/>
      <c r="AG16" s="267">
        <f>D16+E16+F16+G16+H16+I16+J16+K16+L16+M16+N16+O16+P16+Q16+R16+S16+T16+U16+V16+W16+X16+Y16+Z16+AA16+AB16+AC16+AD16+AE16+AF16</f>
        <v>49</v>
      </c>
    </row>
    <row r="17" spans="1:33" s="258" customFormat="1" ht="17.25" customHeight="1" x14ac:dyDescent="0.2">
      <c r="A17" s="256"/>
      <c r="B17" s="1026" t="s">
        <v>419</v>
      </c>
      <c r="C17" s="1027"/>
      <c r="D17" s="260">
        <f t="shared" ref="D17:AG17" si="5">D18+D19</f>
        <v>0</v>
      </c>
      <c r="E17" s="260">
        <f t="shared" si="5"/>
        <v>0</v>
      </c>
      <c r="F17" s="260">
        <f t="shared" si="5"/>
        <v>0</v>
      </c>
      <c r="G17" s="260">
        <f t="shared" si="5"/>
        <v>0</v>
      </c>
      <c r="H17" s="260">
        <f t="shared" si="5"/>
        <v>0</v>
      </c>
      <c r="I17" s="260">
        <f t="shared" si="5"/>
        <v>0</v>
      </c>
      <c r="J17" s="260">
        <f t="shared" si="5"/>
        <v>0</v>
      </c>
      <c r="K17" s="260">
        <f t="shared" si="5"/>
        <v>0</v>
      </c>
      <c r="L17" s="260">
        <f t="shared" si="5"/>
        <v>0</v>
      </c>
      <c r="M17" s="260">
        <f t="shared" si="5"/>
        <v>0</v>
      </c>
      <c r="N17" s="260">
        <f t="shared" si="5"/>
        <v>0</v>
      </c>
      <c r="O17" s="260">
        <f t="shared" si="5"/>
        <v>125</v>
      </c>
      <c r="P17" s="260">
        <f t="shared" si="5"/>
        <v>0</v>
      </c>
      <c r="Q17" s="260">
        <f t="shared" si="5"/>
        <v>0</v>
      </c>
      <c r="R17" s="260">
        <f t="shared" si="5"/>
        <v>0</v>
      </c>
      <c r="S17" s="260">
        <f t="shared" si="5"/>
        <v>0</v>
      </c>
      <c r="T17" s="260">
        <f t="shared" si="5"/>
        <v>29</v>
      </c>
      <c r="U17" s="260">
        <f t="shared" si="5"/>
        <v>0</v>
      </c>
      <c r="V17" s="260">
        <f t="shared" si="5"/>
        <v>0</v>
      </c>
      <c r="W17" s="260">
        <f t="shared" si="5"/>
        <v>0</v>
      </c>
      <c r="X17" s="260">
        <f t="shared" si="5"/>
        <v>0</v>
      </c>
      <c r="Y17" s="260">
        <f t="shared" si="5"/>
        <v>0</v>
      </c>
      <c r="Z17" s="260">
        <f t="shared" si="5"/>
        <v>0</v>
      </c>
      <c r="AA17" s="260">
        <f t="shared" si="5"/>
        <v>0</v>
      </c>
      <c r="AB17" s="260">
        <f t="shared" si="5"/>
        <v>0</v>
      </c>
      <c r="AC17" s="260">
        <f t="shared" si="5"/>
        <v>0</v>
      </c>
      <c r="AD17" s="260">
        <f t="shared" si="5"/>
        <v>0</v>
      </c>
      <c r="AE17" s="260">
        <f t="shared" si="5"/>
        <v>0</v>
      </c>
      <c r="AF17" s="260">
        <f t="shared" si="5"/>
        <v>0</v>
      </c>
      <c r="AG17" s="260">
        <f t="shared" si="5"/>
        <v>154</v>
      </c>
    </row>
    <row r="18" spans="1:33" s="258" customFormat="1" ht="14.25" customHeight="1" x14ac:dyDescent="0.2">
      <c r="A18" s="256">
        <v>10</v>
      </c>
      <c r="B18" s="262">
        <v>8</v>
      </c>
      <c r="C18" s="263">
        <v>655793</v>
      </c>
      <c r="D18" s="265"/>
      <c r="E18" s="265"/>
      <c r="F18" s="265"/>
      <c r="G18" s="265"/>
      <c r="H18" s="265"/>
      <c r="I18" s="268"/>
      <c r="J18" s="265"/>
      <c r="K18" s="265"/>
      <c r="L18" s="265"/>
      <c r="M18" s="268"/>
      <c r="N18" s="265"/>
      <c r="O18" s="265">
        <v>90</v>
      </c>
      <c r="P18" s="268"/>
      <c r="Q18" s="268"/>
      <c r="R18" s="265"/>
      <c r="S18" s="264"/>
      <c r="T18" s="265">
        <f>27+2</f>
        <v>29</v>
      </c>
      <c r="U18" s="265"/>
      <c r="V18" s="264"/>
      <c r="W18" s="265"/>
      <c r="X18" s="265"/>
      <c r="Y18" s="265"/>
      <c r="Z18" s="266"/>
      <c r="AA18" s="266"/>
      <c r="AB18" s="266"/>
      <c r="AC18" s="266"/>
      <c r="AD18" s="265"/>
      <c r="AE18" s="265"/>
      <c r="AF18" s="264"/>
      <c r="AG18" s="267">
        <f>D18+E18+F18+G18+H18+I18+J18+K18+L18+M18+N18+O18+P18+Q18+R18+S18+T18+U18+V18+W18+X18+Y18+Z18+AA18+AB18+AC18+AD18+AE18+AF18</f>
        <v>119</v>
      </c>
    </row>
    <row r="19" spans="1:33" s="258" customFormat="1" ht="14.25" customHeight="1" x14ac:dyDescent="0.2">
      <c r="A19" s="256">
        <v>11</v>
      </c>
      <c r="B19" s="262">
        <v>9</v>
      </c>
      <c r="C19" s="263">
        <v>1881627</v>
      </c>
      <c r="D19" s="270"/>
      <c r="E19" s="270"/>
      <c r="F19" s="270"/>
      <c r="G19" s="270"/>
      <c r="H19" s="270"/>
      <c r="I19" s="271"/>
      <c r="J19" s="270"/>
      <c r="K19" s="270"/>
      <c r="L19" s="270"/>
      <c r="M19" s="271"/>
      <c r="N19" s="270"/>
      <c r="O19" s="265">
        <v>35</v>
      </c>
      <c r="P19" s="271"/>
      <c r="Q19" s="271"/>
      <c r="R19" s="270"/>
      <c r="S19" s="264"/>
      <c r="T19" s="270"/>
      <c r="U19" s="270"/>
      <c r="V19" s="264"/>
      <c r="W19" s="265"/>
      <c r="X19" s="265"/>
      <c r="Y19" s="265"/>
      <c r="Z19" s="266"/>
      <c r="AA19" s="266"/>
      <c r="AB19" s="266"/>
      <c r="AC19" s="266"/>
      <c r="AD19" s="265"/>
      <c r="AE19" s="265"/>
      <c r="AF19" s="264"/>
      <c r="AG19" s="267">
        <f>D19+E19+F19+G19+H19+I19+J19+K19+L19+M19+N19+O19+P19+Q19+R19+S19+T19+U19+V19+W19+X19+Y19+Z19+AA19+AB19+AC19+AD19+AE19+AF19</f>
        <v>35</v>
      </c>
    </row>
    <row r="20" spans="1:33" s="255" customFormat="1" ht="21" customHeight="1" x14ac:dyDescent="0.2">
      <c r="A20" s="253"/>
      <c r="B20" s="1026" t="s">
        <v>420</v>
      </c>
      <c r="C20" s="1027"/>
      <c r="D20" s="260">
        <f>SUM(D21:D26)</f>
        <v>269</v>
      </c>
      <c r="E20" s="260">
        <f t="shared" ref="E20:AG20" si="6">SUM(E21:E26)</f>
        <v>201</v>
      </c>
      <c r="F20" s="260">
        <f t="shared" si="6"/>
        <v>0</v>
      </c>
      <c r="G20" s="260">
        <f t="shared" si="6"/>
        <v>0</v>
      </c>
      <c r="H20" s="260">
        <f t="shared" si="6"/>
        <v>0</v>
      </c>
      <c r="I20" s="260">
        <f t="shared" si="6"/>
        <v>0</v>
      </c>
      <c r="J20" s="260">
        <f t="shared" si="6"/>
        <v>0</v>
      </c>
      <c r="K20" s="260">
        <f t="shared" si="6"/>
        <v>143</v>
      </c>
      <c r="L20" s="260">
        <f t="shared" si="6"/>
        <v>17</v>
      </c>
      <c r="M20" s="260">
        <f t="shared" si="6"/>
        <v>0</v>
      </c>
      <c r="N20" s="260">
        <f t="shared" si="6"/>
        <v>0</v>
      </c>
      <c r="O20" s="260">
        <f t="shared" si="6"/>
        <v>0</v>
      </c>
      <c r="P20" s="260">
        <f t="shared" si="6"/>
        <v>99</v>
      </c>
      <c r="Q20" s="260">
        <f t="shared" si="6"/>
        <v>0</v>
      </c>
      <c r="R20" s="260">
        <f t="shared" si="6"/>
        <v>3</v>
      </c>
      <c r="S20" s="260">
        <f t="shared" si="6"/>
        <v>0</v>
      </c>
      <c r="T20" s="260">
        <f t="shared" si="6"/>
        <v>111</v>
      </c>
      <c r="U20" s="260">
        <f t="shared" si="6"/>
        <v>19</v>
      </c>
      <c r="V20" s="260">
        <f t="shared" si="6"/>
        <v>0</v>
      </c>
      <c r="W20" s="260">
        <f t="shared" si="6"/>
        <v>0</v>
      </c>
      <c r="X20" s="260">
        <f t="shared" si="6"/>
        <v>0</v>
      </c>
      <c r="Y20" s="260">
        <f t="shared" si="6"/>
        <v>0</v>
      </c>
      <c r="Z20" s="260">
        <f t="shared" si="6"/>
        <v>0</v>
      </c>
      <c r="AA20" s="260">
        <f t="shared" si="6"/>
        <v>0</v>
      </c>
      <c r="AB20" s="260">
        <f t="shared" si="6"/>
        <v>0</v>
      </c>
      <c r="AC20" s="260">
        <f t="shared" si="6"/>
        <v>0</v>
      </c>
      <c r="AD20" s="260">
        <f t="shared" si="6"/>
        <v>0</v>
      </c>
      <c r="AE20" s="260">
        <f t="shared" si="6"/>
        <v>0</v>
      </c>
      <c r="AF20" s="260">
        <f t="shared" si="6"/>
        <v>0</v>
      </c>
      <c r="AG20" s="260">
        <f t="shared" si="6"/>
        <v>862</v>
      </c>
    </row>
    <row r="21" spans="1:33" s="258" customFormat="1" ht="14.25" customHeight="1" x14ac:dyDescent="0.2">
      <c r="A21" s="256">
        <v>12</v>
      </c>
      <c r="B21" s="262">
        <v>10</v>
      </c>
      <c r="C21" s="263">
        <v>193886</v>
      </c>
      <c r="D21" s="264">
        <f>255-15+12</f>
        <v>252</v>
      </c>
      <c r="E21" s="264">
        <f>143+23+7+15</f>
        <v>188</v>
      </c>
      <c r="F21" s="264"/>
      <c r="G21" s="264"/>
      <c r="H21" s="264">
        <f>13-13</f>
        <v>0</v>
      </c>
      <c r="I21" s="264"/>
      <c r="J21" s="264"/>
      <c r="K21" s="264">
        <f>83+2+3+1</f>
        <v>89</v>
      </c>
      <c r="L21" s="272">
        <f>4-2</f>
        <v>2</v>
      </c>
      <c r="M21" s="264"/>
      <c r="N21" s="264"/>
      <c r="O21" s="265"/>
      <c r="P21" s="264">
        <f>103-2-8-3</f>
        <v>90</v>
      </c>
      <c r="Q21" s="264"/>
      <c r="R21" s="264">
        <f>3-2-1+1</f>
        <v>1</v>
      </c>
      <c r="S21" s="264"/>
      <c r="T21" s="264">
        <f>137-1-22-17-1</f>
        <v>96</v>
      </c>
      <c r="U21" s="265">
        <v>2</v>
      </c>
      <c r="V21" s="265"/>
      <c r="W21" s="265"/>
      <c r="X21" s="265"/>
      <c r="Y21" s="265"/>
      <c r="Z21" s="266"/>
      <c r="AA21" s="266"/>
      <c r="AB21" s="266"/>
      <c r="AC21" s="266"/>
      <c r="AD21" s="265"/>
      <c r="AE21" s="265"/>
      <c r="AF21" s="264"/>
      <c r="AG21" s="267">
        <f t="shared" ref="AG21:AG26" si="7">D21+E21+F21+G21+H21+I21+J21+K21+L21+M21+N21+O21+P21+Q21+R21+S21+T21+U21+V21+W21+X21+Y21+Z21+AA21+AB21+AC21+AD21+AE21+AF21</f>
        <v>720</v>
      </c>
    </row>
    <row r="22" spans="1:33" s="258" customFormat="1" ht="14.25" customHeight="1" x14ac:dyDescent="0.2">
      <c r="A22" s="256">
        <v>13</v>
      </c>
      <c r="B22" s="262">
        <v>11</v>
      </c>
      <c r="C22" s="263">
        <v>295102</v>
      </c>
      <c r="D22" s="264"/>
      <c r="E22" s="264"/>
      <c r="F22" s="264"/>
      <c r="G22" s="264"/>
      <c r="H22" s="264"/>
      <c r="I22" s="273"/>
      <c r="J22" s="264"/>
      <c r="K22" s="264"/>
      <c r="L22" s="272"/>
      <c r="M22" s="273"/>
      <c r="N22" s="264"/>
      <c r="O22" s="265"/>
      <c r="P22" s="273"/>
      <c r="Q22" s="273"/>
      <c r="R22" s="264"/>
      <c r="S22" s="264"/>
      <c r="T22" s="264"/>
      <c r="U22" s="265"/>
      <c r="V22" s="265"/>
      <c r="W22" s="265"/>
      <c r="X22" s="265"/>
      <c r="Y22" s="265"/>
      <c r="Z22" s="266"/>
      <c r="AA22" s="266"/>
      <c r="AB22" s="266"/>
      <c r="AC22" s="266"/>
      <c r="AD22" s="265"/>
      <c r="AE22" s="265"/>
      <c r="AF22" s="264"/>
      <c r="AG22" s="267">
        <f t="shared" si="7"/>
        <v>0</v>
      </c>
    </row>
    <row r="23" spans="1:33" s="258" customFormat="1" ht="14.25" customHeight="1" x14ac:dyDescent="0.2">
      <c r="A23" s="256">
        <v>14</v>
      </c>
      <c r="B23" s="262">
        <v>12</v>
      </c>
      <c r="C23" s="263">
        <v>188542</v>
      </c>
      <c r="D23" s="265">
        <f>10-5+2</f>
        <v>7</v>
      </c>
      <c r="E23" s="265">
        <f>3+10-11+1</f>
        <v>3</v>
      </c>
      <c r="F23" s="265"/>
      <c r="G23" s="265"/>
      <c r="H23" s="265"/>
      <c r="I23" s="268"/>
      <c r="J23" s="265"/>
      <c r="K23" s="265"/>
      <c r="L23" s="272"/>
      <c r="M23" s="268"/>
      <c r="N23" s="265"/>
      <c r="O23" s="265"/>
      <c r="P23" s="265">
        <f>6-1-2</f>
        <v>3</v>
      </c>
      <c r="Q23" s="268"/>
      <c r="R23" s="265"/>
      <c r="S23" s="265"/>
      <c r="T23" s="265">
        <f>10-2</f>
        <v>8</v>
      </c>
      <c r="U23" s="265"/>
      <c r="V23" s="265"/>
      <c r="W23" s="265"/>
      <c r="X23" s="265"/>
      <c r="Y23" s="265"/>
      <c r="Z23" s="266"/>
      <c r="AA23" s="266"/>
      <c r="AB23" s="266"/>
      <c r="AC23" s="266"/>
      <c r="AD23" s="265"/>
      <c r="AE23" s="265"/>
      <c r="AF23" s="264"/>
      <c r="AG23" s="267">
        <f t="shared" si="7"/>
        <v>21</v>
      </c>
    </row>
    <row r="24" spans="1:33" s="258" customFormat="1" ht="12.75" customHeight="1" x14ac:dyDescent="0.2">
      <c r="A24" s="256">
        <v>15</v>
      </c>
      <c r="B24" s="262">
        <v>13</v>
      </c>
      <c r="C24" s="263">
        <v>270597</v>
      </c>
      <c r="D24" s="270"/>
      <c r="E24" s="270"/>
      <c r="F24" s="270"/>
      <c r="G24" s="270"/>
      <c r="H24" s="270"/>
      <c r="I24" s="271"/>
      <c r="J24" s="270"/>
      <c r="K24" s="270">
        <f>55+1-2</f>
        <v>54</v>
      </c>
      <c r="L24" s="272">
        <f>13+2</f>
        <v>15</v>
      </c>
      <c r="M24" s="271"/>
      <c r="N24" s="270"/>
      <c r="O24" s="265"/>
      <c r="P24" s="271"/>
      <c r="Q24" s="271"/>
      <c r="R24" s="265"/>
      <c r="S24" s="270"/>
      <c r="T24" s="270"/>
      <c r="U24" s="265"/>
      <c r="V24" s="265"/>
      <c r="W24" s="265"/>
      <c r="X24" s="265"/>
      <c r="Y24" s="265"/>
      <c r="Z24" s="266"/>
      <c r="AA24" s="266"/>
      <c r="AB24" s="266"/>
      <c r="AC24" s="266"/>
      <c r="AD24" s="265"/>
      <c r="AE24" s="265"/>
      <c r="AF24" s="264"/>
      <c r="AG24" s="267">
        <f t="shared" si="7"/>
        <v>69</v>
      </c>
    </row>
    <row r="25" spans="1:33" s="258" customFormat="1" ht="14.25" customHeight="1" x14ac:dyDescent="0.2">
      <c r="A25" s="256">
        <v>16</v>
      </c>
      <c r="B25" s="262">
        <v>14</v>
      </c>
      <c r="C25" s="263">
        <v>356139</v>
      </c>
      <c r="D25" s="265">
        <v>10</v>
      </c>
      <c r="E25" s="265"/>
      <c r="F25" s="265"/>
      <c r="G25" s="265"/>
      <c r="H25" s="265"/>
      <c r="I25" s="268"/>
      <c r="J25" s="265"/>
      <c r="K25" s="265"/>
      <c r="L25" s="272"/>
      <c r="M25" s="268"/>
      <c r="N25" s="265"/>
      <c r="O25" s="265"/>
      <c r="P25" s="268"/>
      <c r="Q25" s="268"/>
      <c r="R25" s="265">
        <f>2+1-1</f>
        <v>2</v>
      </c>
      <c r="S25" s="265"/>
      <c r="T25" s="265">
        <f>12-8+3</f>
        <v>7</v>
      </c>
      <c r="U25" s="265">
        <v>17</v>
      </c>
      <c r="V25" s="265"/>
      <c r="W25" s="265"/>
      <c r="X25" s="265"/>
      <c r="Y25" s="265"/>
      <c r="Z25" s="266"/>
      <c r="AA25" s="266"/>
      <c r="AB25" s="266"/>
      <c r="AC25" s="266"/>
      <c r="AD25" s="265"/>
      <c r="AE25" s="265"/>
      <c r="AF25" s="264"/>
      <c r="AG25" s="267">
        <f t="shared" si="7"/>
        <v>36</v>
      </c>
    </row>
    <row r="26" spans="1:33" s="258" customFormat="1" ht="14.25" customHeight="1" x14ac:dyDescent="0.2">
      <c r="A26" s="256">
        <v>17</v>
      </c>
      <c r="B26" s="262">
        <v>15</v>
      </c>
      <c r="C26" s="263">
        <v>475409</v>
      </c>
      <c r="D26" s="270">
        <f>3-3</f>
        <v>0</v>
      </c>
      <c r="E26" s="270">
        <f>10-1+1</f>
        <v>10</v>
      </c>
      <c r="F26" s="270"/>
      <c r="G26" s="270"/>
      <c r="H26" s="270"/>
      <c r="I26" s="271"/>
      <c r="J26" s="270"/>
      <c r="K26" s="274"/>
      <c r="L26" s="272"/>
      <c r="M26" s="271"/>
      <c r="N26" s="270"/>
      <c r="O26" s="270"/>
      <c r="P26" s="270">
        <f>10-1-1-2</f>
        <v>6</v>
      </c>
      <c r="Q26" s="271"/>
      <c r="R26" s="270"/>
      <c r="S26" s="270"/>
      <c r="T26" s="270"/>
      <c r="U26" s="265"/>
      <c r="V26" s="265"/>
      <c r="W26" s="265"/>
      <c r="X26" s="265"/>
      <c r="Y26" s="265"/>
      <c r="Z26" s="266"/>
      <c r="AA26" s="266"/>
      <c r="AB26" s="266"/>
      <c r="AC26" s="266"/>
      <c r="AD26" s="265"/>
      <c r="AE26" s="265"/>
      <c r="AF26" s="264"/>
      <c r="AG26" s="267">
        <f t="shared" si="7"/>
        <v>16</v>
      </c>
    </row>
    <row r="27" spans="1:33" s="255" customFormat="1" ht="18.75" customHeight="1" x14ac:dyDescent="0.2">
      <c r="A27" s="253"/>
      <c r="B27" s="1026" t="s">
        <v>421</v>
      </c>
      <c r="C27" s="1027"/>
      <c r="D27" s="260">
        <f>SUM(D28:D29)</f>
        <v>161</v>
      </c>
      <c r="E27" s="260">
        <f t="shared" ref="E27:AG27" si="8">SUM(E28:E29)</f>
        <v>0</v>
      </c>
      <c r="F27" s="260">
        <f t="shared" si="8"/>
        <v>600</v>
      </c>
      <c r="G27" s="260">
        <f t="shared" si="8"/>
        <v>0</v>
      </c>
      <c r="H27" s="260">
        <f t="shared" si="8"/>
        <v>0</v>
      </c>
      <c r="I27" s="260">
        <f t="shared" si="8"/>
        <v>0</v>
      </c>
      <c r="J27" s="260">
        <f t="shared" si="8"/>
        <v>0</v>
      </c>
      <c r="K27" s="260">
        <f t="shared" si="8"/>
        <v>239</v>
      </c>
      <c r="L27" s="260">
        <f t="shared" si="8"/>
        <v>90</v>
      </c>
      <c r="M27" s="260">
        <f t="shared" si="8"/>
        <v>0</v>
      </c>
      <c r="N27" s="260">
        <f t="shared" si="8"/>
        <v>0</v>
      </c>
      <c r="O27" s="260">
        <f t="shared" si="8"/>
        <v>0</v>
      </c>
      <c r="P27" s="260">
        <f t="shared" si="8"/>
        <v>0</v>
      </c>
      <c r="Q27" s="260">
        <f t="shared" si="8"/>
        <v>80</v>
      </c>
      <c r="R27" s="260">
        <f t="shared" si="8"/>
        <v>0</v>
      </c>
      <c r="S27" s="260">
        <f t="shared" si="8"/>
        <v>0</v>
      </c>
      <c r="T27" s="260">
        <f t="shared" si="8"/>
        <v>0</v>
      </c>
      <c r="U27" s="260">
        <f t="shared" si="8"/>
        <v>0</v>
      </c>
      <c r="V27" s="260">
        <f t="shared" si="8"/>
        <v>0</v>
      </c>
      <c r="W27" s="260">
        <f t="shared" si="8"/>
        <v>0</v>
      </c>
      <c r="X27" s="260">
        <f t="shared" si="8"/>
        <v>0</v>
      </c>
      <c r="Y27" s="260">
        <f t="shared" si="8"/>
        <v>0</v>
      </c>
      <c r="Z27" s="260">
        <f t="shared" si="8"/>
        <v>0</v>
      </c>
      <c r="AA27" s="260">
        <f t="shared" si="8"/>
        <v>0</v>
      </c>
      <c r="AB27" s="260">
        <f t="shared" si="8"/>
        <v>0</v>
      </c>
      <c r="AC27" s="260">
        <f t="shared" si="8"/>
        <v>0</v>
      </c>
      <c r="AD27" s="260">
        <f t="shared" si="8"/>
        <v>0</v>
      </c>
      <c r="AE27" s="260">
        <f t="shared" si="8"/>
        <v>0</v>
      </c>
      <c r="AF27" s="260">
        <f t="shared" si="8"/>
        <v>0</v>
      </c>
      <c r="AG27" s="260">
        <f t="shared" si="8"/>
        <v>1170</v>
      </c>
    </row>
    <row r="28" spans="1:33" s="258" customFormat="1" ht="14.25" customHeight="1" x14ac:dyDescent="0.2">
      <c r="A28" s="256">
        <v>18</v>
      </c>
      <c r="B28" s="262">
        <v>16</v>
      </c>
      <c r="C28" s="263">
        <v>297453</v>
      </c>
      <c r="D28" s="264">
        <f>130+2</f>
        <v>132</v>
      </c>
      <c r="E28" s="264"/>
      <c r="F28" s="264">
        <v>550</v>
      </c>
      <c r="G28" s="275"/>
      <c r="H28" s="264"/>
      <c r="I28" s="264"/>
      <c r="J28" s="264"/>
      <c r="K28" s="264">
        <f>165+47+14-5</f>
        <v>221</v>
      </c>
      <c r="L28" s="264">
        <v>30</v>
      </c>
      <c r="M28" s="264"/>
      <c r="N28" s="264"/>
      <c r="O28" s="264"/>
      <c r="P28" s="264"/>
      <c r="Q28" s="264">
        <f>70+5+2</f>
        <v>77</v>
      </c>
      <c r="R28" s="264"/>
      <c r="S28" s="264"/>
      <c r="T28" s="264"/>
      <c r="U28" s="264"/>
      <c r="V28" s="264"/>
      <c r="W28" s="264"/>
      <c r="X28" s="264"/>
      <c r="Y28" s="264"/>
      <c r="Z28" s="266"/>
      <c r="AA28" s="266"/>
      <c r="AB28" s="266"/>
      <c r="AC28" s="266"/>
      <c r="AD28" s="264"/>
      <c r="AE28" s="264"/>
      <c r="AF28" s="264"/>
      <c r="AG28" s="267">
        <f>D28+E28+F28+G28+H28+I28+J28+K28+L28+M28+N28+O28+P28+Q28+R28+S28+T28+U28+V28+W28+X28+Y28+Z28+AA28+AB28+AC28+AD28+AE28+AF28</f>
        <v>1010</v>
      </c>
    </row>
    <row r="29" spans="1:33" s="258" customFormat="1" ht="14.25" customHeight="1" x14ac:dyDescent="0.2">
      <c r="A29" s="256">
        <v>19</v>
      </c>
      <c r="B29" s="262">
        <v>17</v>
      </c>
      <c r="C29" s="263">
        <v>609814</v>
      </c>
      <c r="D29" s="264">
        <f>30-1</f>
        <v>29</v>
      </c>
      <c r="E29" s="264"/>
      <c r="F29" s="264">
        <v>50</v>
      </c>
      <c r="G29" s="264"/>
      <c r="H29" s="264"/>
      <c r="I29" s="264"/>
      <c r="J29" s="264"/>
      <c r="K29" s="264">
        <f>45-19-8</f>
        <v>18</v>
      </c>
      <c r="L29" s="264">
        <v>60</v>
      </c>
      <c r="M29" s="264"/>
      <c r="N29" s="264"/>
      <c r="O29" s="264"/>
      <c r="P29" s="264"/>
      <c r="Q29" s="264">
        <f>10-5-2</f>
        <v>3</v>
      </c>
      <c r="R29" s="264"/>
      <c r="S29" s="264"/>
      <c r="T29" s="264"/>
      <c r="U29" s="264"/>
      <c r="V29" s="264"/>
      <c r="W29" s="264"/>
      <c r="X29" s="264"/>
      <c r="Y29" s="264"/>
      <c r="Z29" s="266"/>
      <c r="AA29" s="266"/>
      <c r="AB29" s="266"/>
      <c r="AC29" s="266"/>
      <c r="AD29" s="264"/>
      <c r="AE29" s="264"/>
      <c r="AF29" s="264"/>
      <c r="AG29" s="267">
        <f>D29+E29+F29+G29+H29+I29+J29+K29+L29+M29+N29+O29+P29+Q29+R29+S29+T29+U29+V29+W29+X29+Y29+Z29+AA29+AB29+AC29+AD29+AE29+AF29</f>
        <v>160</v>
      </c>
    </row>
    <row r="30" spans="1:33" s="255" customFormat="1" ht="18.75" customHeight="1" x14ac:dyDescent="0.2">
      <c r="A30" s="253"/>
      <c r="B30" s="1026" t="s">
        <v>422</v>
      </c>
      <c r="C30" s="1027"/>
      <c r="D30" s="260">
        <f>SUM(D31:D37)</f>
        <v>250</v>
      </c>
      <c r="E30" s="260">
        <f t="shared" ref="E30:AG30" si="9">SUM(E31:E37)</f>
        <v>0</v>
      </c>
      <c r="F30" s="260">
        <f t="shared" si="9"/>
        <v>0</v>
      </c>
      <c r="G30" s="260">
        <f t="shared" si="9"/>
        <v>0</v>
      </c>
      <c r="H30" s="260">
        <f t="shared" si="9"/>
        <v>1688</v>
      </c>
      <c r="I30" s="260">
        <f t="shared" si="9"/>
        <v>0</v>
      </c>
      <c r="J30" s="260">
        <f t="shared" si="9"/>
        <v>0</v>
      </c>
      <c r="K30" s="260">
        <f t="shared" si="9"/>
        <v>101</v>
      </c>
      <c r="L30" s="260">
        <f t="shared" si="9"/>
        <v>0</v>
      </c>
      <c r="M30" s="260">
        <f t="shared" si="9"/>
        <v>0</v>
      </c>
      <c r="N30" s="260">
        <f t="shared" si="9"/>
        <v>0</v>
      </c>
      <c r="O30" s="260">
        <f t="shared" si="9"/>
        <v>0</v>
      </c>
      <c r="P30" s="260">
        <f t="shared" si="9"/>
        <v>0</v>
      </c>
      <c r="Q30" s="260">
        <f t="shared" si="9"/>
        <v>0</v>
      </c>
      <c r="R30" s="260">
        <f t="shared" si="9"/>
        <v>0</v>
      </c>
      <c r="S30" s="260">
        <f t="shared" si="9"/>
        <v>0</v>
      </c>
      <c r="T30" s="260">
        <f t="shared" si="9"/>
        <v>147</v>
      </c>
      <c r="U30" s="260">
        <f t="shared" si="9"/>
        <v>0</v>
      </c>
      <c r="V30" s="260">
        <f t="shared" si="9"/>
        <v>0</v>
      </c>
      <c r="W30" s="260">
        <f t="shared" si="9"/>
        <v>0</v>
      </c>
      <c r="X30" s="260">
        <f t="shared" si="9"/>
        <v>7</v>
      </c>
      <c r="Y30" s="260">
        <f t="shared" si="9"/>
        <v>0</v>
      </c>
      <c r="Z30" s="260">
        <f t="shared" si="9"/>
        <v>0</v>
      </c>
      <c r="AA30" s="260">
        <f t="shared" si="9"/>
        <v>0</v>
      </c>
      <c r="AB30" s="260">
        <f t="shared" si="9"/>
        <v>0</v>
      </c>
      <c r="AC30" s="260">
        <f t="shared" si="9"/>
        <v>0</v>
      </c>
      <c r="AD30" s="260">
        <f t="shared" si="9"/>
        <v>0</v>
      </c>
      <c r="AE30" s="260">
        <f t="shared" si="9"/>
        <v>0</v>
      </c>
      <c r="AF30" s="260">
        <f t="shared" si="9"/>
        <v>5</v>
      </c>
      <c r="AG30" s="260">
        <f t="shared" si="9"/>
        <v>2198</v>
      </c>
    </row>
    <row r="31" spans="1:33" s="258" customFormat="1" ht="14.25" customHeight="1" x14ac:dyDescent="0.2">
      <c r="A31" s="256">
        <v>20</v>
      </c>
      <c r="B31" s="262">
        <v>18</v>
      </c>
      <c r="C31" s="263">
        <v>227121</v>
      </c>
      <c r="D31" s="265">
        <f>120-20</f>
        <v>100</v>
      </c>
      <c r="E31" s="265"/>
      <c r="F31" s="265"/>
      <c r="G31" s="265"/>
      <c r="H31" s="265">
        <f>1267+1</f>
        <v>1268</v>
      </c>
      <c r="I31" s="265"/>
      <c r="J31" s="265"/>
      <c r="K31" s="265">
        <v>1</v>
      </c>
      <c r="L31" s="265"/>
      <c r="M31" s="265"/>
      <c r="N31" s="265"/>
      <c r="O31" s="265"/>
      <c r="P31" s="265"/>
      <c r="Q31" s="265"/>
      <c r="R31" s="265"/>
      <c r="S31" s="265"/>
      <c r="T31" s="265">
        <f>145+1+1</f>
        <v>147</v>
      </c>
      <c r="U31" s="265"/>
      <c r="V31" s="265"/>
      <c r="W31" s="265"/>
      <c r="X31" s="265">
        <f>10-3</f>
        <v>7</v>
      </c>
      <c r="Y31" s="265"/>
      <c r="Z31" s="266"/>
      <c r="AA31" s="266"/>
      <c r="AB31" s="266"/>
      <c r="AC31" s="266"/>
      <c r="AD31" s="265"/>
      <c r="AE31" s="265"/>
      <c r="AF31" s="264">
        <v>5</v>
      </c>
      <c r="AG31" s="267">
        <f t="shared" ref="AG31:AG37" si="10">D31+E31+F31+G31+H31+I31+J31+K31+L31+M31+N31+O31+P31+Q31+R31+S31+T31+U31+V31+W31+X31+Y31+Z31+AA31+AB31+AC31+AD31+AE31+AF31</f>
        <v>1528</v>
      </c>
    </row>
    <row r="32" spans="1:33" s="258" customFormat="1" ht="14.25" customHeight="1" x14ac:dyDescent="0.2">
      <c r="A32" s="256">
        <v>21</v>
      </c>
      <c r="B32" s="262">
        <v>19</v>
      </c>
      <c r="C32" s="263">
        <v>123238</v>
      </c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6"/>
      <c r="AA32" s="266"/>
      <c r="AB32" s="266"/>
      <c r="AC32" s="266"/>
      <c r="AD32" s="265"/>
      <c r="AE32" s="265"/>
      <c r="AF32" s="264"/>
      <c r="AG32" s="267">
        <f t="shared" si="10"/>
        <v>0</v>
      </c>
    </row>
    <row r="33" spans="1:33" s="258" customFormat="1" ht="14.25" customHeight="1" x14ac:dyDescent="0.2">
      <c r="A33" s="256">
        <v>22</v>
      </c>
      <c r="B33" s="262">
        <v>20</v>
      </c>
      <c r="C33" s="263">
        <v>163933</v>
      </c>
      <c r="D33" s="265">
        <f>150-150</f>
        <v>0</v>
      </c>
      <c r="E33" s="265"/>
      <c r="F33" s="265"/>
      <c r="G33" s="265"/>
      <c r="H33" s="265">
        <f>250-250</f>
        <v>0</v>
      </c>
      <c r="I33" s="268"/>
      <c r="J33" s="265"/>
      <c r="K33" s="265">
        <f>98+3-1</f>
        <v>100</v>
      </c>
      <c r="L33" s="265"/>
      <c r="M33" s="265"/>
      <c r="N33" s="265"/>
      <c r="O33" s="265"/>
      <c r="P33" s="268"/>
      <c r="Q33" s="268"/>
      <c r="R33" s="265"/>
      <c r="S33" s="265"/>
      <c r="T33" s="265"/>
      <c r="U33" s="265"/>
      <c r="V33" s="265"/>
      <c r="W33" s="265"/>
      <c r="X33" s="265"/>
      <c r="Y33" s="265"/>
      <c r="Z33" s="266"/>
      <c r="AA33" s="266"/>
      <c r="AB33" s="266"/>
      <c r="AC33" s="266"/>
      <c r="AD33" s="265"/>
      <c r="AE33" s="265"/>
      <c r="AF33" s="264"/>
      <c r="AG33" s="267">
        <f t="shared" si="10"/>
        <v>100</v>
      </c>
    </row>
    <row r="34" spans="1:33" s="258" customFormat="1" ht="14.25" customHeight="1" x14ac:dyDescent="0.2">
      <c r="A34" s="256">
        <v>0</v>
      </c>
      <c r="B34" s="262">
        <v>21</v>
      </c>
      <c r="C34" s="263">
        <v>460267</v>
      </c>
      <c r="D34" s="265">
        <v>150</v>
      </c>
      <c r="E34" s="265"/>
      <c r="F34" s="265"/>
      <c r="G34" s="265"/>
      <c r="H34" s="265">
        <v>250</v>
      </c>
      <c r="I34" s="268"/>
      <c r="J34" s="265"/>
      <c r="K34" s="265"/>
      <c r="L34" s="265"/>
      <c r="M34" s="265"/>
      <c r="N34" s="265"/>
      <c r="O34" s="265"/>
      <c r="P34" s="268"/>
      <c r="Q34" s="268"/>
      <c r="R34" s="265"/>
      <c r="S34" s="265"/>
      <c r="T34" s="265"/>
      <c r="U34" s="265"/>
      <c r="V34" s="265"/>
      <c r="W34" s="265"/>
      <c r="X34" s="265"/>
      <c r="Y34" s="265"/>
      <c r="Z34" s="266"/>
      <c r="AA34" s="266"/>
      <c r="AB34" s="266"/>
      <c r="AC34" s="266"/>
      <c r="AD34" s="265"/>
      <c r="AE34" s="265"/>
      <c r="AF34" s="264"/>
      <c r="AG34" s="267">
        <f t="shared" si="10"/>
        <v>400</v>
      </c>
    </row>
    <row r="35" spans="1:33" s="258" customFormat="1" ht="14.25" customHeight="1" x14ac:dyDescent="0.2">
      <c r="A35" s="256">
        <v>23</v>
      </c>
      <c r="B35" s="262">
        <v>22</v>
      </c>
      <c r="C35" s="263">
        <v>87179</v>
      </c>
      <c r="D35" s="265"/>
      <c r="E35" s="265"/>
      <c r="F35" s="265"/>
      <c r="G35" s="265"/>
      <c r="H35" s="265">
        <v>10</v>
      </c>
      <c r="I35" s="268"/>
      <c r="J35" s="265"/>
      <c r="K35" s="265"/>
      <c r="L35" s="265"/>
      <c r="M35" s="265"/>
      <c r="N35" s="265"/>
      <c r="O35" s="265"/>
      <c r="P35" s="268"/>
      <c r="Q35" s="268"/>
      <c r="R35" s="265"/>
      <c r="S35" s="265"/>
      <c r="T35" s="265"/>
      <c r="U35" s="265"/>
      <c r="V35" s="265"/>
      <c r="W35" s="265"/>
      <c r="X35" s="265"/>
      <c r="Y35" s="265"/>
      <c r="Z35" s="266"/>
      <c r="AA35" s="266"/>
      <c r="AB35" s="266"/>
      <c r="AC35" s="266"/>
      <c r="AD35" s="265"/>
      <c r="AE35" s="265"/>
      <c r="AF35" s="264"/>
      <c r="AG35" s="267">
        <f t="shared" si="10"/>
        <v>10</v>
      </c>
    </row>
    <row r="36" spans="1:33" s="258" customFormat="1" ht="14.25" customHeight="1" x14ac:dyDescent="0.2">
      <c r="A36" s="256">
        <v>24</v>
      </c>
      <c r="B36" s="262">
        <v>23</v>
      </c>
      <c r="C36" s="263">
        <v>196969</v>
      </c>
      <c r="D36" s="265"/>
      <c r="E36" s="265"/>
      <c r="F36" s="265"/>
      <c r="G36" s="265"/>
      <c r="H36" s="265">
        <v>160</v>
      </c>
      <c r="I36" s="268"/>
      <c r="J36" s="265"/>
      <c r="K36" s="265"/>
      <c r="L36" s="265"/>
      <c r="M36" s="265"/>
      <c r="N36" s="265"/>
      <c r="O36" s="265"/>
      <c r="P36" s="268"/>
      <c r="Q36" s="268"/>
      <c r="R36" s="265"/>
      <c r="S36" s="265"/>
      <c r="T36" s="265"/>
      <c r="U36" s="265"/>
      <c r="V36" s="265"/>
      <c r="W36" s="265"/>
      <c r="X36" s="265"/>
      <c r="Y36" s="265"/>
      <c r="Z36" s="266"/>
      <c r="AA36" s="266"/>
      <c r="AB36" s="266"/>
      <c r="AC36" s="266"/>
      <c r="AD36" s="265"/>
      <c r="AE36" s="265"/>
      <c r="AF36" s="264"/>
      <c r="AG36" s="267">
        <f t="shared" si="10"/>
        <v>160</v>
      </c>
    </row>
    <row r="37" spans="1:33" s="258" customFormat="1" ht="14.25" customHeight="1" x14ac:dyDescent="0.2">
      <c r="A37" s="256">
        <v>25</v>
      </c>
      <c r="B37" s="262">
        <v>24</v>
      </c>
      <c r="C37" s="263">
        <v>262005</v>
      </c>
      <c r="D37" s="265"/>
      <c r="E37" s="265"/>
      <c r="F37" s="265"/>
      <c r="G37" s="265"/>
      <c r="H37" s="265"/>
      <c r="I37" s="268"/>
      <c r="J37" s="265"/>
      <c r="K37" s="265"/>
      <c r="L37" s="265"/>
      <c r="M37" s="265"/>
      <c r="N37" s="265"/>
      <c r="O37" s="265"/>
      <c r="P37" s="268"/>
      <c r="Q37" s="268"/>
      <c r="R37" s="265"/>
      <c r="S37" s="265"/>
      <c r="T37" s="265"/>
      <c r="U37" s="265"/>
      <c r="V37" s="265"/>
      <c r="W37" s="265"/>
      <c r="X37" s="265"/>
      <c r="Y37" s="265"/>
      <c r="Z37" s="266"/>
      <c r="AA37" s="266"/>
      <c r="AB37" s="266"/>
      <c r="AC37" s="266"/>
      <c r="AD37" s="265"/>
      <c r="AE37" s="265"/>
      <c r="AF37" s="264"/>
      <c r="AG37" s="267">
        <f t="shared" si="10"/>
        <v>0</v>
      </c>
    </row>
    <row r="38" spans="1:33" s="255" customFormat="1" ht="19.5" customHeight="1" x14ac:dyDescent="0.2">
      <c r="A38" s="253"/>
      <c r="B38" s="1026" t="s">
        <v>423</v>
      </c>
      <c r="C38" s="1027"/>
      <c r="D38" s="260">
        <f>D39+D40+D41</f>
        <v>147</v>
      </c>
      <c r="E38" s="260">
        <f t="shared" ref="E38:AG38" si="11">E39+E40+E41</f>
        <v>2</v>
      </c>
      <c r="F38" s="260">
        <f t="shared" si="11"/>
        <v>0</v>
      </c>
      <c r="G38" s="260">
        <f t="shared" si="11"/>
        <v>0</v>
      </c>
      <c r="H38" s="260">
        <f t="shared" si="11"/>
        <v>0</v>
      </c>
      <c r="I38" s="260">
        <f t="shared" si="11"/>
        <v>0</v>
      </c>
      <c r="J38" s="260">
        <f t="shared" si="11"/>
        <v>0</v>
      </c>
      <c r="K38" s="260">
        <f t="shared" si="11"/>
        <v>68</v>
      </c>
      <c r="L38" s="260">
        <f t="shared" si="11"/>
        <v>0</v>
      </c>
      <c r="M38" s="260">
        <f t="shared" si="11"/>
        <v>0</v>
      </c>
      <c r="N38" s="260">
        <f t="shared" si="11"/>
        <v>100</v>
      </c>
      <c r="O38" s="260">
        <f t="shared" si="11"/>
        <v>0</v>
      </c>
      <c r="P38" s="260">
        <f t="shared" si="11"/>
        <v>84</v>
      </c>
      <c r="Q38" s="260">
        <f t="shared" si="11"/>
        <v>0</v>
      </c>
      <c r="R38" s="260">
        <f t="shared" si="11"/>
        <v>0</v>
      </c>
      <c r="S38" s="260">
        <f t="shared" si="11"/>
        <v>0</v>
      </c>
      <c r="T38" s="260">
        <f t="shared" si="11"/>
        <v>0</v>
      </c>
      <c r="U38" s="260">
        <f t="shared" si="11"/>
        <v>0</v>
      </c>
      <c r="V38" s="260">
        <f t="shared" si="11"/>
        <v>0</v>
      </c>
      <c r="W38" s="260">
        <f t="shared" si="11"/>
        <v>0</v>
      </c>
      <c r="X38" s="260">
        <f t="shared" si="11"/>
        <v>0</v>
      </c>
      <c r="Y38" s="260">
        <f t="shared" si="11"/>
        <v>0</v>
      </c>
      <c r="Z38" s="260">
        <f t="shared" si="11"/>
        <v>0</v>
      </c>
      <c r="AA38" s="260">
        <f t="shared" si="11"/>
        <v>0</v>
      </c>
      <c r="AB38" s="260">
        <f t="shared" si="11"/>
        <v>0</v>
      </c>
      <c r="AC38" s="260">
        <f t="shared" si="11"/>
        <v>0</v>
      </c>
      <c r="AD38" s="260">
        <f t="shared" si="11"/>
        <v>22</v>
      </c>
      <c r="AE38" s="260">
        <f t="shared" si="11"/>
        <v>0</v>
      </c>
      <c r="AF38" s="260">
        <f t="shared" si="11"/>
        <v>5</v>
      </c>
      <c r="AG38" s="260">
        <f t="shared" si="11"/>
        <v>428</v>
      </c>
    </row>
    <row r="39" spans="1:33" s="258" customFormat="1" ht="15" customHeight="1" x14ac:dyDescent="0.2">
      <c r="A39" s="256">
        <v>26</v>
      </c>
      <c r="B39" s="262">
        <v>25</v>
      </c>
      <c r="C39" s="263">
        <v>136012</v>
      </c>
      <c r="D39" s="265">
        <v>120</v>
      </c>
      <c r="E39" s="265"/>
      <c r="F39" s="265"/>
      <c r="G39" s="265"/>
      <c r="H39" s="265"/>
      <c r="I39" s="265"/>
      <c r="J39" s="265"/>
      <c r="K39" s="265">
        <f>25+3+2+1</f>
        <v>31</v>
      </c>
      <c r="L39" s="265"/>
      <c r="M39" s="265"/>
      <c r="N39" s="265">
        <v>60</v>
      </c>
      <c r="O39" s="265"/>
      <c r="P39" s="265">
        <f>20+7+3+1</f>
        <v>31</v>
      </c>
      <c r="Q39" s="265"/>
      <c r="R39" s="265"/>
      <c r="S39" s="265"/>
      <c r="T39" s="265"/>
      <c r="U39" s="265"/>
      <c r="V39" s="265"/>
      <c r="W39" s="265"/>
      <c r="X39" s="265"/>
      <c r="Y39" s="265"/>
      <c r="Z39" s="266"/>
      <c r="AA39" s="266"/>
      <c r="AB39" s="266"/>
      <c r="AC39" s="266"/>
      <c r="AD39" s="265">
        <f>3+17-5</f>
        <v>15</v>
      </c>
      <c r="AE39" s="265"/>
      <c r="AF39" s="264"/>
      <c r="AG39" s="267">
        <f>D39+E39+F39+G39+H39+I39+J39+K39+L39+M39+N39+O39+P39+Q39+R39+S39+T39+U39+V39+W39+X39+Y39+Z39+AA39+AB39+AC39+AD39+AE39+AF39</f>
        <v>257</v>
      </c>
    </row>
    <row r="40" spans="1:33" s="258" customFormat="1" ht="15" customHeight="1" x14ac:dyDescent="0.2">
      <c r="A40" s="256">
        <v>27</v>
      </c>
      <c r="B40" s="262">
        <v>26</v>
      </c>
      <c r="C40" s="263">
        <v>80274</v>
      </c>
      <c r="D40" s="265">
        <v>15</v>
      </c>
      <c r="E40" s="265">
        <f>4-2</f>
        <v>2</v>
      </c>
      <c r="F40" s="265"/>
      <c r="G40" s="265"/>
      <c r="H40" s="265"/>
      <c r="I40" s="265"/>
      <c r="J40" s="265"/>
      <c r="K40" s="265">
        <f>27+2</f>
        <v>29</v>
      </c>
      <c r="L40" s="272"/>
      <c r="M40" s="265"/>
      <c r="N40" s="265">
        <v>40</v>
      </c>
      <c r="O40" s="265"/>
      <c r="P40" s="265">
        <v>53</v>
      </c>
      <c r="Q40" s="265"/>
      <c r="R40" s="265"/>
      <c r="S40" s="265"/>
      <c r="T40" s="265"/>
      <c r="U40" s="265"/>
      <c r="V40" s="265"/>
      <c r="W40" s="265"/>
      <c r="X40" s="265"/>
      <c r="Y40" s="265"/>
      <c r="Z40" s="266"/>
      <c r="AA40" s="266"/>
      <c r="AB40" s="266"/>
      <c r="AC40" s="266"/>
      <c r="AD40" s="265">
        <f>2-1+2</f>
        <v>3</v>
      </c>
      <c r="AE40" s="265"/>
      <c r="AF40" s="264">
        <v>5</v>
      </c>
      <c r="AG40" s="267">
        <f>D40+E40+F40+G40+H40+I40+J40+K40+L40+M40+N40+O40+P40+Q40+R40+S40+T40+U40+V40+W40+X40+Y40+Z40+AA40+AB40+AC40+AD40+AE40+AF40</f>
        <v>147</v>
      </c>
    </row>
    <row r="41" spans="1:33" s="258" customFormat="1" ht="15" customHeight="1" x14ac:dyDescent="0.2">
      <c r="A41" s="256">
        <v>28</v>
      </c>
      <c r="B41" s="276">
        <v>27</v>
      </c>
      <c r="C41" s="263">
        <v>157576</v>
      </c>
      <c r="D41" s="265">
        <v>12</v>
      </c>
      <c r="E41" s="265"/>
      <c r="F41" s="265"/>
      <c r="G41" s="265"/>
      <c r="H41" s="265"/>
      <c r="I41" s="265"/>
      <c r="J41" s="265"/>
      <c r="K41" s="265">
        <f>10-2</f>
        <v>8</v>
      </c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6"/>
      <c r="AA41" s="266"/>
      <c r="AB41" s="266"/>
      <c r="AC41" s="266"/>
      <c r="AD41" s="265">
        <f>2-1+3</f>
        <v>4</v>
      </c>
      <c r="AE41" s="265"/>
      <c r="AF41" s="264"/>
      <c r="AG41" s="267">
        <f>D41+E41+F41+G41+H41+I41+J41+K41+L41+M41+N41+O41+P41+Q41+R41+S41+T41+U41+V41+W41+X41+Y41+Z41+AA41+AB41+AC41+AD41+AE41+AF41</f>
        <v>24</v>
      </c>
    </row>
    <row r="42" spans="1:33" s="255" customFormat="1" ht="19.5" customHeight="1" x14ac:dyDescent="0.2">
      <c r="A42" s="253"/>
      <c r="B42" s="1026" t="s">
        <v>424</v>
      </c>
      <c r="C42" s="1027"/>
      <c r="D42" s="260">
        <f>D43+D44+D45</f>
        <v>0</v>
      </c>
      <c r="E42" s="260">
        <f t="shared" ref="E42:AG42" si="12">E43+E44+E45</f>
        <v>0</v>
      </c>
      <c r="F42" s="260">
        <f t="shared" si="12"/>
        <v>0</v>
      </c>
      <c r="G42" s="260">
        <f t="shared" si="12"/>
        <v>0</v>
      </c>
      <c r="H42" s="260">
        <f t="shared" si="12"/>
        <v>0</v>
      </c>
      <c r="I42" s="260">
        <f t="shared" si="12"/>
        <v>0</v>
      </c>
      <c r="J42" s="260">
        <f t="shared" si="12"/>
        <v>0</v>
      </c>
      <c r="K42" s="260">
        <f t="shared" si="12"/>
        <v>78</v>
      </c>
      <c r="L42" s="260">
        <f t="shared" si="12"/>
        <v>0</v>
      </c>
      <c r="M42" s="260">
        <f t="shared" si="12"/>
        <v>1250</v>
      </c>
      <c r="N42" s="260">
        <f t="shared" si="12"/>
        <v>0</v>
      </c>
      <c r="O42" s="260">
        <f t="shared" si="12"/>
        <v>0</v>
      </c>
      <c r="P42" s="260">
        <f t="shared" si="12"/>
        <v>0</v>
      </c>
      <c r="Q42" s="260">
        <f t="shared" si="12"/>
        <v>0</v>
      </c>
      <c r="R42" s="260">
        <f t="shared" si="12"/>
        <v>0</v>
      </c>
      <c r="S42" s="260">
        <f t="shared" si="12"/>
        <v>100</v>
      </c>
      <c r="T42" s="260">
        <f t="shared" si="12"/>
        <v>271</v>
      </c>
      <c r="U42" s="260">
        <f t="shared" si="12"/>
        <v>0</v>
      </c>
      <c r="V42" s="260">
        <f t="shared" si="12"/>
        <v>0</v>
      </c>
      <c r="W42" s="260">
        <f t="shared" si="12"/>
        <v>0</v>
      </c>
      <c r="X42" s="260">
        <f t="shared" si="12"/>
        <v>0</v>
      </c>
      <c r="Y42" s="260">
        <f t="shared" si="12"/>
        <v>81</v>
      </c>
      <c r="Z42" s="260">
        <f t="shared" si="12"/>
        <v>121</v>
      </c>
      <c r="AA42" s="260">
        <f t="shared" si="12"/>
        <v>0</v>
      </c>
      <c r="AB42" s="260">
        <f t="shared" si="12"/>
        <v>94</v>
      </c>
      <c r="AC42" s="260">
        <f t="shared" si="12"/>
        <v>90</v>
      </c>
      <c r="AD42" s="260">
        <f t="shared" si="12"/>
        <v>0</v>
      </c>
      <c r="AE42" s="260">
        <f t="shared" si="12"/>
        <v>0</v>
      </c>
      <c r="AF42" s="260">
        <f t="shared" si="12"/>
        <v>0</v>
      </c>
      <c r="AG42" s="260">
        <f t="shared" si="12"/>
        <v>2085</v>
      </c>
    </row>
    <row r="43" spans="1:33" s="258" customFormat="1" ht="14.25" customHeight="1" x14ac:dyDescent="0.2">
      <c r="A43" s="256">
        <v>29</v>
      </c>
      <c r="B43" s="262">
        <v>28</v>
      </c>
      <c r="C43" s="263">
        <v>73376</v>
      </c>
      <c r="D43" s="265"/>
      <c r="E43" s="265"/>
      <c r="F43" s="265"/>
      <c r="G43" s="265"/>
      <c r="H43" s="265"/>
      <c r="I43" s="265"/>
      <c r="J43" s="265"/>
      <c r="K43" s="265">
        <f>86-10+2</f>
        <v>78</v>
      </c>
      <c r="L43" s="265"/>
      <c r="M43" s="265">
        <f>1184-15+75</f>
        <v>1244</v>
      </c>
      <c r="N43" s="265"/>
      <c r="O43" s="264"/>
      <c r="P43" s="265"/>
      <c r="Q43" s="265"/>
      <c r="R43" s="265"/>
      <c r="S43" s="265">
        <f>100-7</f>
        <v>93</v>
      </c>
      <c r="T43" s="265">
        <f>152+109+8+1</f>
        <v>270</v>
      </c>
      <c r="U43" s="265"/>
      <c r="V43" s="264"/>
      <c r="W43" s="264"/>
      <c r="X43" s="264"/>
      <c r="Y43" s="264">
        <f>81-5-3+2+1</f>
        <v>76</v>
      </c>
      <c r="Z43" s="266">
        <f>130-8-1</f>
        <v>121</v>
      </c>
      <c r="AA43" s="266">
        <f>270-9-152-109</f>
        <v>0</v>
      </c>
      <c r="AB43" s="266">
        <f>88+3</f>
        <v>91</v>
      </c>
      <c r="AC43" s="266">
        <f>70-5</f>
        <v>65</v>
      </c>
      <c r="AD43" s="265"/>
      <c r="AE43" s="265"/>
      <c r="AF43" s="264"/>
      <c r="AG43" s="267">
        <f>D43+E43+F43+G43+H43+I43+J43+K43+L43+M43+N43+O43+P43+Q43+R43+S43+T43+U43+V43+W43+X43+Y43+Z43+AA43+AB43+AC43+AD43+AE43+AF43</f>
        <v>2038</v>
      </c>
    </row>
    <row r="44" spans="1:33" s="258" customFormat="1" ht="14.25" customHeight="1" x14ac:dyDescent="0.2">
      <c r="A44" s="256">
        <v>30</v>
      </c>
      <c r="B44" s="262">
        <v>29</v>
      </c>
      <c r="C44" s="263">
        <v>106640</v>
      </c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4"/>
      <c r="P44" s="265"/>
      <c r="Q44" s="265"/>
      <c r="R44" s="265"/>
      <c r="S44" s="265"/>
      <c r="T44" s="265"/>
      <c r="U44" s="265"/>
      <c r="V44" s="264"/>
      <c r="W44" s="264"/>
      <c r="X44" s="264"/>
      <c r="Y44" s="264"/>
      <c r="Z44" s="266"/>
      <c r="AA44" s="266"/>
      <c r="AB44" s="266"/>
      <c r="AC44" s="266">
        <v>20</v>
      </c>
      <c r="AD44" s="265"/>
      <c r="AE44" s="265"/>
      <c r="AF44" s="264"/>
      <c r="AG44" s="267">
        <f>D44+E44+F44+G44+H44+I44+J44+K44+L44+M44+N44+O44+P44+Q44+R44+S44+T44+U44+V44+W44+X44+Y44+Z44+AA44+AB44+AC44+AD44+AE44+AF44</f>
        <v>20</v>
      </c>
    </row>
    <row r="45" spans="1:33" s="258" customFormat="1" ht="14.25" customHeight="1" x14ac:dyDescent="0.2">
      <c r="A45" s="256">
        <v>0</v>
      </c>
      <c r="B45" s="262">
        <v>30</v>
      </c>
      <c r="C45" s="263">
        <v>104235</v>
      </c>
      <c r="D45" s="265"/>
      <c r="E45" s="265"/>
      <c r="F45" s="265"/>
      <c r="G45" s="265"/>
      <c r="H45" s="265"/>
      <c r="I45" s="265"/>
      <c r="J45" s="265"/>
      <c r="K45" s="265"/>
      <c r="L45" s="265"/>
      <c r="M45" s="265">
        <f>15-9</f>
        <v>6</v>
      </c>
      <c r="N45" s="265"/>
      <c r="O45" s="264"/>
      <c r="P45" s="265"/>
      <c r="Q45" s="265"/>
      <c r="R45" s="265"/>
      <c r="S45" s="265">
        <v>7</v>
      </c>
      <c r="T45" s="265">
        <f>5+4-8</f>
        <v>1</v>
      </c>
      <c r="U45" s="265"/>
      <c r="V45" s="264"/>
      <c r="W45" s="264"/>
      <c r="X45" s="264"/>
      <c r="Y45" s="264">
        <f>5+3-2-1</f>
        <v>5</v>
      </c>
      <c r="Z45" s="266">
        <f>8-8</f>
        <v>0</v>
      </c>
      <c r="AA45" s="266">
        <f>9-5-4</f>
        <v>0</v>
      </c>
      <c r="AB45" s="266">
        <f>6-3</f>
        <v>3</v>
      </c>
      <c r="AC45" s="266">
        <v>5</v>
      </c>
      <c r="AD45" s="265"/>
      <c r="AE45" s="265"/>
      <c r="AF45" s="264"/>
      <c r="AG45" s="267">
        <f>D45+E45+F45+G45+H45+I45+J45+K45+L45+M45+N45+O45+P45+Q45+R45+S45+T45+U45+V45+W45+X45+Y45+Z45+AA45+AB45+AC45+AD45+AE45+AF45</f>
        <v>27</v>
      </c>
    </row>
    <row r="46" spans="1:33" s="255" customFormat="1" ht="18.75" customHeight="1" x14ac:dyDescent="0.2">
      <c r="A46" s="253"/>
      <c r="B46" s="1026" t="s">
        <v>425</v>
      </c>
      <c r="C46" s="1027"/>
      <c r="D46" s="260">
        <f>SUM(D47:D51)</f>
        <v>0</v>
      </c>
      <c r="E46" s="260">
        <f t="shared" ref="E46:AG46" si="13">SUM(E47:E51)</f>
        <v>0</v>
      </c>
      <c r="F46" s="260">
        <f t="shared" si="13"/>
        <v>0</v>
      </c>
      <c r="G46" s="260">
        <f t="shared" si="13"/>
        <v>60</v>
      </c>
      <c r="H46" s="260">
        <f t="shared" si="13"/>
        <v>0</v>
      </c>
      <c r="I46" s="260">
        <f t="shared" si="13"/>
        <v>0</v>
      </c>
      <c r="J46" s="260">
        <f t="shared" si="13"/>
        <v>0</v>
      </c>
      <c r="K46" s="260">
        <f t="shared" si="13"/>
        <v>51</v>
      </c>
      <c r="L46" s="260">
        <f t="shared" si="13"/>
        <v>0</v>
      </c>
      <c r="M46" s="260">
        <f t="shared" si="13"/>
        <v>0</v>
      </c>
      <c r="N46" s="260">
        <f t="shared" si="13"/>
        <v>0</v>
      </c>
      <c r="O46" s="260">
        <f t="shared" si="13"/>
        <v>0</v>
      </c>
      <c r="P46" s="260">
        <f t="shared" si="13"/>
        <v>0</v>
      </c>
      <c r="Q46" s="260">
        <f t="shared" si="13"/>
        <v>0</v>
      </c>
      <c r="R46" s="260">
        <f t="shared" si="13"/>
        <v>0</v>
      </c>
      <c r="S46" s="260">
        <f t="shared" si="13"/>
        <v>0</v>
      </c>
      <c r="T46" s="260">
        <f t="shared" si="13"/>
        <v>0</v>
      </c>
      <c r="U46" s="260">
        <f t="shared" si="13"/>
        <v>0</v>
      </c>
      <c r="V46" s="260">
        <f t="shared" si="13"/>
        <v>0</v>
      </c>
      <c r="W46" s="260">
        <f t="shared" si="13"/>
        <v>0</v>
      </c>
      <c r="X46" s="260">
        <f t="shared" si="13"/>
        <v>0</v>
      </c>
      <c r="Y46" s="260">
        <f t="shared" si="13"/>
        <v>0</v>
      </c>
      <c r="Z46" s="260">
        <f t="shared" si="13"/>
        <v>0</v>
      </c>
      <c r="AA46" s="260">
        <f t="shared" si="13"/>
        <v>0</v>
      </c>
      <c r="AB46" s="260">
        <f t="shared" si="13"/>
        <v>0</v>
      </c>
      <c r="AC46" s="260">
        <f t="shared" si="13"/>
        <v>0</v>
      </c>
      <c r="AD46" s="260">
        <f t="shared" si="13"/>
        <v>0</v>
      </c>
      <c r="AE46" s="260">
        <f t="shared" si="13"/>
        <v>0</v>
      </c>
      <c r="AF46" s="260">
        <f t="shared" si="13"/>
        <v>0</v>
      </c>
      <c r="AG46" s="260">
        <f t="shared" si="13"/>
        <v>111</v>
      </c>
    </row>
    <row r="47" spans="1:33" s="258" customFormat="1" ht="15" customHeight="1" x14ac:dyDescent="0.2">
      <c r="A47" s="256">
        <v>31</v>
      </c>
      <c r="B47" s="262">
        <v>31</v>
      </c>
      <c r="C47" s="263">
        <v>101014</v>
      </c>
      <c r="D47" s="265"/>
      <c r="E47" s="265"/>
      <c r="F47" s="265"/>
      <c r="G47" s="265"/>
      <c r="H47" s="265"/>
      <c r="I47" s="265"/>
      <c r="J47" s="265"/>
      <c r="K47" s="265">
        <f>1+2</f>
        <v>3</v>
      </c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6"/>
      <c r="AA47" s="266"/>
      <c r="AB47" s="266"/>
      <c r="AC47" s="266"/>
      <c r="AD47" s="265"/>
      <c r="AE47" s="265"/>
      <c r="AF47" s="264"/>
      <c r="AG47" s="267">
        <f>D47+E47+F47+G47+H47+I47+J47+K47+L47+M47+N47+O47+P47+Q47+R47+S47+T47+U47+V47+W47+X47+Y47+Z47+AA47+AB47+AC47+AD47+AE47+AF47</f>
        <v>3</v>
      </c>
    </row>
    <row r="48" spans="1:33" s="258" customFormat="1" ht="13.5" customHeight="1" x14ac:dyDescent="0.2">
      <c r="A48" s="256">
        <v>32</v>
      </c>
      <c r="B48" s="262">
        <v>32</v>
      </c>
      <c r="C48" s="263">
        <v>205749</v>
      </c>
      <c r="D48" s="265"/>
      <c r="E48" s="265"/>
      <c r="F48" s="265"/>
      <c r="G48" s="265"/>
      <c r="H48" s="265"/>
      <c r="I48" s="265"/>
      <c r="J48" s="265"/>
      <c r="K48" s="265">
        <f>46+2</f>
        <v>48</v>
      </c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6"/>
      <c r="AA48" s="266"/>
      <c r="AB48" s="266"/>
      <c r="AC48" s="266"/>
      <c r="AD48" s="265"/>
      <c r="AE48" s="265"/>
      <c r="AF48" s="264"/>
      <c r="AG48" s="267">
        <f>D48+E48+F48+G48+H48+I48+J48+K48+L48+M48+N48+O48+P48+Q48+R48+S48+T48+U48+V48+W48+X48+Y48+Z48+AA48+AB48+AC48+AD48+AE48+AF48</f>
        <v>48</v>
      </c>
    </row>
    <row r="49" spans="1:33" s="258" customFormat="1" ht="15" customHeight="1" x14ac:dyDescent="0.2">
      <c r="A49" s="256">
        <v>33</v>
      </c>
      <c r="B49" s="262">
        <v>33</v>
      </c>
      <c r="C49" s="263">
        <v>119376</v>
      </c>
      <c r="D49" s="265"/>
      <c r="E49" s="265"/>
      <c r="F49" s="265"/>
      <c r="G49" s="265">
        <f>30+30</f>
        <v>60</v>
      </c>
      <c r="H49" s="265"/>
      <c r="I49" s="268"/>
      <c r="J49" s="265"/>
      <c r="K49" s="265"/>
      <c r="L49" s="265"/>
      <c r="M49" s="268"/>
      <c r="N49" s="265"/>
      <c r="O49" s="265"/>
      <c r="P49" s="268"/>
      <c r="Q49" s="268"/>
      <c r="R49" s="265"/>
      <c r="S49" s="265"/>
      <c r="T49" s="265"/>
      <c r="U49" s="265"/>
      <c r="V49" s="265"/>
      <c r="W49" s="265"/>
      <c r="X49" s="265"/>
      <c r="Y49" s="265"/>
      <c r="Z49" s="266"/>
      <c r="AA49" s="266"/>
      <c r="AB49" s="266"/>
      <c r="AC49" s="266"/>
      <c r="AD49" s="265"/>
      <c r="AE49" s="265"/>
      <c r="AF49" s="264"/>
      <c r="AG49" s="267">
        <f>D49+E49+F49+G49+H49+I49+J49+K49+L49+M49+N49+O49+P49+Q49+R49+S49+T49+U49+V49+W49+X49+Y49+Z49+AA49+AB49+AC49+AD49+AE49+AF49</f>
        <v>60</v>
      </c>
    </row>
    <row r="50" spans="1:33" s="258" customFormat="1" ht="15" customHeight="1" x14ac:dyDescent="0.2">
      <c r="A50" s="256">
        <v>34</v>
      </c>
      <c r="B50" s="276">
        <v>34</v>
      </c>
      <c r="C50" s="263">
        <v>203875</v>
      </c>
      <c r="D50" s="265"/>
      <c r="E50" s="265"/>
      <c r="F50" s="265"/>
      <c r="G50" s="265"/>
      <c r="H50" s="265"/>
      <c r="I50" s="268"/>
      <c r="J50" s="265"/>
      <c r="K50" s="265"/>
      <c r="L50" s="265"/>
      <c r="M50" s="268"/>
      <c r="N50" s="265"/>
      <c r="O50" s="265"/>
      <c r="P50" s="268"/>
      <c r="Q50" s="268"/>
      <c r="R50" s="265"/>
      <c r="S50" s="265"/>
      <c r="T50" s="265"/>
      <c r="U50" s="265"/>
      <c r="V50" s="265"/>
      <c r="W50" s="265"/>
      <c r="X50" s="265"/>
      <c r="Y50" s="265"/>
      <c r="Z50" s="266"/>
      <c r="AA50" s="266"/>
      <c r="AB50" s="266"/>
      <c r="AC50" s="266"/>
      <c r="AD50" s="265"/>
      <c r="AE50" s="265"/>
      <c r="AF50" s="264"/>
      <c r="AG50" s="267">
        <f>D50+E50+F50+G50+H50+I50+J50+K50+L50+M50+N50+O50+P50+Q50+R50+S50+T50+U50+V50+W50+X50+Y50+Z50+AA50+AB50+AC50+AD50+AE50+AF50</f>
        <v>0</v>
      </c>
    </row>
    <row r="51" spans="1:33" s="258" customFormat="1" ht="15" customHeight="1" x14ac:dyDescent="0.2">
      <c r="A51" s="256">
        <v>0</v>
      </c>
      <c r="B51" s="262">
        <v>35</v>
      </c>
      <c r="C51" s="263">
        <v>202345</v>
      </c>
      <c r="D51" s="265"/>
      <c r="E51" s="265"/>
      <c r="F51" s="265"/>
      <c r="G51" s="265"/>
      <c r="H51" s="265"/>
      <c r="I51" s="268"/>
      <c r="J51" s="265"/>
      <c r="K51" s="265"/>
      <c r="L51" s="265"/>
      <c r="M51" s="268"/>
      <c r="N51" s="265"/>
      <c r="O51" s="265"/>
      <c r="P51" s="268"/>
      <c r="Q51" s="268"/>
      <c r="R51" s="265"/>
      <c r="S51" s="265"/>
      <c r="T51" s="265"/>
      <c r="U51" s="265"/>
      <c r="V51" s="265"/>
      <c r="W51" s="265"/>
      <c r="X51" s="265"/>
      <c r="Y51" s="265"/>
      <c r="Z51" s="266"/>
      <c r="AA51" s="266"/>
      <c r="AB51" s="266"/>
      <c r="AC51" s="266"/>
      <c r="AD51" s="265"/>
      <c r="AE51" s="265"/>
      <c r="AF51" s="264"/>
      <c r="AG51" s="267">
        <f>D51+E51+F51+G51+H51+I51+J51+K51+L51+M51+N51+O51+P51+Q51+R51+S51+T51+U51+V51+W51+X51+Y51+Z51+AA51+AB51+AC51+AD51+AE51+AF51</f>
        <v>0</v>
      </c>
    </row>
    <row r="52" spans="1:33" s="255" customFormat="1" ht="17.25" customHeight="1" x14ac:dyDescent="0.2">
      <c r="A52" s="253"/>
      <c r="B52" s="1026" t="s">
        <v>426</v>
      </c>
      <c r="C52" s="1027"/>
      <c r="D52" s="260">
        <f>D53</f>
        <v>183</v>
      </c>
      <c r="E52" s="260">
        <f t="shared" ref="E52:AG52" si="14">E53</f>
        <v>0</v>
      </c>
      <c r="F52" s="260">
        <f t="shared" si="14"/>
        <v>0</v>
      </c>
      <c r="G52" s="260">
        <f t="shared" si="14"/>
        <v>0</v>
      </c>
      <c r="H52" s="260">
        <f t="shared" si="14"/>
        <v>0</v>
      </c>
      <c r="I52" s="260">
        <f t="shared" si="14"/>
        <v>0</v>
      </c>
      <c r="J52" s="260">
        <f t="shared" si="14"/>
        <v>0</v>
      </c>
      <c r="K52" s="260">
        <f t="shared" si="14"/>
        <v>0</v>
      </c>
      <c r="L52" s="260">
        <f t="shared" si="14"/>
        <v>0</v>
      </c>
      <c r="M52" s="260">
        <f t="shared" si="14"/>
        <v>0</v>
      </c>
      <c r="N52" s="260">
        <f t="shared" si="14"/>
        <v>134</v>
      </c>
      <c r="O52" s="260">
        <f t="shared" si="14"/>
        <v>0</v>
      </c>
      <c r="P52" s="260">
        <f t="shared" si="14"/>
        <v>0</v>
      </c>
      <c r="Q52" s="260">
        <f t="shared" si="14"/>
        <v>0</v>
      </c>
      <c r="R52" s="260">
        <f t="shared" si="14"/>
        <v>0</v>
      </c>
      <c r="S52" s="260">
        <f t="shared" si="14"/>
        <v>0</v>
      </c>
      <c r="T52" s="260">
        <f t="shared" si="14"/>
        <v>45</v>
      </c>
      <c r="U52" s="260">
        <f t="shared" si="14"/>
        <v>0</v>
      </c>
      <c r="V52" s="260">
        <f t="shared" si="14"/>
        <v>0</v>
      </c>
      <c r="W52" s="260">
        <f t="shared" si="14"/>
        <v>0</v>
      </c>
      <c r="X52" s="260">
        <f t="shared" si="14"/>
        <v>0</v>
      </c>
      <c r="Y52" s="260">
        <f t="shared" si="14"/>
        <v>0</v>
      </c>
      <c r="Z52" s="260">
        <f t="shared" si="14"/>
        <v>0</v>
      </c>
      <c r="AA52" s="260">
        <f t="shared" si="14"/>
        <v>0</v>
      </c>
      <c r="AB52" s="260">
        <f t="shared" si="14"/>
        <v>0</v>
      </c>
      <c r="AC52" s="260">
        <f t="shared" si="14"/>
        <v>0</v>
      </c>
      <c r="AD52" s="260">
        <f t="shared" si="14"/>
        <v>0</v>
      </c>
      <c r="AE52" s="260">
        <f t="shared" si="14"/>
        <v>0</v>
      </c>
      <c r="AF52" s="260">
        <f t="shared" si="14"/>
        <v>0</v>
      </c>
      <c r="AG52" s="260">
        <f t="shared" si="14"/>
        <v>362</v>
      </c>
    </row>
    <row r="53" spans="1:33" s="258" customFormat="1" ht="14.25" customHeight="1" x14ac:dyDescent="0.2">
      <c r="A53" s="256">
        <v>35</v>
      </c>
      <c r="B53" s="262">
        <v>36</v>
      </c>
      <c r="C53" s="263">
        <v>160288</v>
      </c>
      <c r="D53" s="265">
        <v>183</v>
      </c>
      <c r="E53" s="265"/>
      <c r="F53" s="265"/>
      <c r="G53" s="265"/>
      <c r="H53" s="265"/>
      <c r="I53" s="265"/>
      <c r="J53" s="265"/>
      <c r="K53" s="265"/>
      <c r="L53" s="265"/>
      <c r="M53" s="265"/>
      <c r="N53" s="265">
        <v>134</v>
      </c>
      <c r="O53" s="265"/>
      <c r="P53" s="265"/>
      <c r="Q53" s="265"/>
      <c r="R53" s="265"/>
      <c r="S53" s="265"/>
      <c r="T53" s="265">
        <v>45</v>
      </c>
      <c r="U53" s="265"/>
      <c r="V53" s="265"/>
      <c r="W53" s="265"/>
      <c r="X53" s="265"/>
      <c r="Y53" s="265"/>
      <c r="Z53" s="266"/>
      <c r="AA53" s="266"/>
      <c r="AB53" s="266"/>
      <c r="AC53" s="266"/>
      <c r="AD53" s="265"/>
      <c r="AE53" s="265"/>
      <c r="AF53" s="264"/>
      <c r="AG53" s="267">
        <f>D53+E53+F53+G53+H53+I53+J53+K53+L53+M53+N53+O53+P53+Q53+R53+S53+T53+U53+V53+W53+X53+Y53+Z53+AA53+AB53+AC53+AD53+AE53+AF53</f>
        <v>362</v>
      </c>
    </row>
    <row r="54" spans="1:33" s="255" customFormat="1" ht="26.25" customHeight="1" x14ac:dyDescent="0.2">
      <c r="A54" s="253"/>
      <c r="B54" s="1026" t="s">
        <v>427</v>
      </c>
      <c r="C54" s="1027"/>
      <c r="D54" s="260">
        <f>SUM(D55:D71)</f>
        <v>730</v>
      </c>
      <c r="E54" s="260">
        <f t="shared" ref="E54:AG54" si="15">SUM(E55:E71)</f>
        <v>749</v>
      </c>
      <c r="F54" s="260">
        <f t="shared" si="15"/>
        <v>0</v>
      </c>
      <c r="G54" s="260">
        <f t="shared" si="15"/>
        <v>3746</v>
      </c>
      <c r="H54" s="260">
        <f t="shared" si="15"/>
        <v>0</v>
      </c>
      <c r="I54" s="260">
        <f t="shared" si="15"/>
        <v>0</v>
      </c>
      <c r="J54" s="260">
        <f t="shared" si="15"/>
        <v>0</v>
      </c>
      <c r="K54" s="260">
        <f t="shared" si="15"/>
        <v>0</v>
      </c>
      <c r="L54" s="260">
        <f t="shared" si="15"/>
        <v>0</v>
      </c>
      <c r="M54" s="260">
        <f t="shared" si="15"/>
        <v>0</v>
      </c>
      <c r="N54" s="260">
        <f t="shared" si="15"/>
        <v>0</v>
      </c>
      <c r="O54" s="260">
        <f t="shared" si="15"/>
        <v>312</v>
      </c>
      <c r="P54" s="260">
        <f t="shared" si="15"/>
        <v>589</v>
      </c>
      <c r="Q54" s="260">
        <f t="shared" si="15"/>
        <v>0</v>
      </c>
      <c r="R54" s="260">
        <f t="shared" si="15"/>
        <v>161</v>
      </c>
      <c r="S54" s="260">
        <f t="shared" si="15"/>
        <v>332</v>
      </c>
      <c r="T54" s="260">
        <f t="shared" si="15"/>
        <v>483</v>
      </c>
      <c r="U54" s="260">
        <f t="shared" si="15"/>
        <v>60</v>
      </c>
      <c r="V54" s="260">
        <f t="shared" si="15"/>
        <v>285</v>
      </c>
      <c r="W54" s="260">
        <f t="shared" si="15"/>
        <v>185</v>
      </c>
      <c r="X54" s="260">
        <f t="shared" si="15"/>
        <v>0</v>
      </c>
      <c r="Y54" s="260">
        <f t="shared" si="15"/>
        <v>55</v>
      </c>
      <c r="Z54" s="260">
        <f t="shared" si="15"/>
        <v>0</v>
      </c>
      <c r="AA54" s="260">
        <f t="shared" si="15"/>
        <v>0</v>
      </c>
      <c r="AB54" s="260">
        <f t="shared" si="15"/>
        <v>0</v>
      </c>
      <c r="AC54" s="260">
        <f t="shared" si="15"/>
        <v>0</v>
      </c>
      <c r="AD54" s="260">
        <f t="shared" si="15"/>
        <v>0</v>
      </c>
      <c r="AE54" s="260">
        <f t="shared" si="15"/>
        <v>487</v>
      </c>
      <c r="AF54" s="260">
        <f t="shared" si="15"/>
        <v>47</v>
      </c>
      <c r="AG54" s="260">
        <f t="shared" si="15"/>
        <v>8221</v>
      </c>
    </row>
    <row r="55" spans="1:33" s="258" customFormat="1" ht="14.25" customHeight="1" x14ac:dyDescent="0.2">
      <c r="A55" s="253">
        <v>36</v>
      </c>
      <c r="B55" s="262">
        <v>37</v>
      </c>
      <c r="C55" s="277">
        <v>196105</v>
      </c>
      <c r="D55" s="278">
        <f>155-9-30-6</f>
        <v>110</v>
      </c>
      <c r="E55" s="278">
        <f>276-6-12</f>
        <v>258</v>
      </c>
      <c r="F55" s="278"/>
      <c r="G55" s="278">
        <f>295-15-14-62-36+12+2+2</f>
        <v>184</v>
      </c>
      <c r="H55" s="278"/>
      <c r="I55" s="279"/>
      <c r="J55" s="278"/>
      <c r="K55" s="278"/>
      <c r="L55" s="278"/>
      <c r="M55" s="265"/>
      <c r="N55" s="278"/>
      <c r="O55" s="270">
        <v>10</v>
      </c>
      <c r="P55" s="278">
        <f>220-15-31-11</f>
        <v>163</v>
      </c>
      <c r="Q55" s="279"/>
      <c r="R55" s="278">
        <f>25+10-2</f>
        <v>33</v>
      </c>
      <c r="S55" s="278">
        <f>115-12-12</f>
        <v>91</v>
      </c>
      <c r="T55" s="278">
        <f>285-1-71-8</f>
        <v>205</v>
      </c>
      <c r="U55" s="264">
        <f>11+7</f>
        <v>18</v>
      </c>
      <c r="V55" s="275">
        <f>83-7+10+20</f>
        <v>106</v>
      </c>
      <c r="W55" s="265">
        <f>87-17</f>
        <v>70</v>
      </c>
      <c r="X55" s="265"/>
      <c r="Y55" s="265">
        <f>25-6-1-2-1</f>
        <v>15</v>
      </c>
      <c r="Z55" s="269"/>
      <c r="AA55" s="269"/>
      <c r="AB55" s="269"/>
      <c r="AC55" s="269"/>
      <c r="AD55" s="265"/>
      <c r="AE55" s="265">
        <f>142+10+29-24+33</f>
        <v>190</v>
      </c>
      <c r="AF55" s="264">
        <f>2+1</f>
        <v>3</v>
      </c>
      <c r="AG55" s="267">
        <f t="shared" ref="AG55:AG71" si="16">D55+E55+F55+G55+H55+I55+J55+K55+L55+M55+N55+O55+P55+Q55+R55+S55+T55+U55+V55+W55+X55+Y55+Z55+AA55+AB55+AC55+AD55+AE55+AF55</f>
        <v>1456</v>
      </c>
    </row>
    <row r="56" spans="1:33" s="258" customFormat="1" ht="14.25" customHeight="1" x14ac:dyDescent="0.2">
      <c r="A56" s="253">
        <v>37</v>
      </c>
      <c r="B56" s="262">
        <v>38</v>
      </c>
      <c r="C56" s="277">
        <v>226031</v>
      </c>
      <c r="D56" s="265">
        <f>70-3-12+3</f>
        <v>58</v>
      </c>
      <c r="E56" s="265">
        <f>61+6+8+4+9+2</f>
        <v>90</v>
      </c>
      <c r="F56" s="278"/>
      <c r="G56" s="265">
        <f>140+8+3+7-19+2</f>
        <v>141</v>
      </c>
      <c r="H56" s="265"/>
      <c r="I56" s="265"/>
      <c r="J56" s="265"/>
      <c r="K56" s="265"/>
      <c r="L56" s="265"/>
      <c r="M56" s="265"/>
      <c r="N56" s="265"/>
      <c r="O56" s="264">
        <v>52</v>
      </c>
      <c r="P56" s="265">
        <f>67+2+9</f>
        <v>78</v>
      </c>
      <c r="Q56" s="265"/>
      <c r="R56" s="265">
        <f>20-5-7</f>
        <v>8</v>
      </c>
      <c r="S56" s="265">
        <f>40+10</f>
        <v>50</v>
      </c>
      <c r="T56" s="265">
        <f>25-3-2-3+2</f>
        <v>19</v>
      </c>
      <c r="U56" s="264">
        <v>11</v>
      </c>
      <c r="V56" s="275">
        <f>26+6+6</f>
        <v>38</v>
      </c>
      <c r="W56" s="265">
        <f>14+7</f>
        <v>21</v>
      </c>
      <c r="X56" s="265"/>
      <c r="Y56" s="265">
        <f>10+4+5-2</f>
        <v>17</v>
      </c>
      <c r="Z56" s="269"/>
      <c r="AA56" s="269"/>
      <c r="AB56" s="269"/>
      <c r="AC56" s="269"/>
      <c r="AD56" s="265"/>
      <c r="AE56" s="265">
        <f>78-10+3-10+7</f>
        <v>68</v>
      </c>
      <c r="AF56" s="264"/>
      <c r="AG56" s="267">
        <f t="shared" si="16"/>
        <v>651</v>
      </c>
    </row>
    <row r="57" spans="1:33" s="258" customFormat="1" ht="14.25" customHeight="1" x14ac:dyDescent="0.2">
      <c r="A57" s="253">
        <v>38</v>
      </c>
      <c r="B57" s="262">
        <v>39</v>
      </c>
      <c r="C57" s="277">
        <v>255415</v>
      </c>
      <c r="D57" s="265">
        <f>40-25+8</f>
        <v>23</v>
      </c>
      <c r="E57" s="265">
        <f>10+1+2+5+2-1</f>
        <v>19</v>
      </c>
      <c r="F57" s="278"/>
      <c r="G57" s="265">
        <f>90-1+6-9</f>
        <v>86</v>
      </c>
      <c r="H57" s="265"/>
      <c r="I57" s="268"/>
      <c r="J57" s="265"/>
      <c r="K57" s="265"/>
      <c r="L57" s="265"/>
      <c r="M57" s="265"/>
      <c r="N57" s="265"/>
      <c r="O57" s="264">
        <v>35</v>
      </c>
      <c r="P57" s="265">
        <f>12+7+3+1</f>
        <v>23</v>
      </c>
      <c r="Q57" s="268"/>
      <c r="R57" s="265">
        <f>15-5-6</f>
        <v>4</v>
      </c>
      <c r="S57" s="265">
        <f>7+4+6</f>
        <v>17</v>
      </c>
      <c r="T57" s="265">
        <f>2+2+5-2</f>
        <v>7</v>
      </c>
      <c r="U57" s="264">
        <v>3</v>
      </c>
      <c r="V57" s="275">
        <f>10+1</f>
        <v>11</v>
      </c>
      <c r="W57" s="264">
        <f>3+2</f>
        <v>5</v>
      </c>
      <c r="X57" s="264"/>
      <c r="Y57" s="265">
        <f>14-2-5-3+5</f>
        <v>9</v>
      </c>
      <c r="Z57" s="280"/>
      <c r="AA57" s="280"/>
      <c r="AB57" s="280"/>
      <c r="AC57" s="280"/>
      <c r="AD57" s="265"/>
      <c r="AE57" s="265">
        <f>22-2-4+2-2</f>
        <v>16</v>
      </c>
      <c r="AF57" s="264">
        <v>1</v>
      </c>
      <c r="AG57" s="267">
        <f t="shared" si="16"/>
        <v>259</v>
      </c>
    </row>
    <row r="58" spans="1:33" s="258" customFormat="1" ht="14.25" customHeight="1" x14ac:dyDescent="0.2">
      <c r="A58" s="253">
        <v>39</v>
      </c>
      <c r="B58" s="262">
        <v>40</v>
      </c>
      <c r="C58" s="277">
        <v>145573</v>
      </c>
      <c r="D58" s="265">
        <f>210-18-1</f>
        <v>191</v>
      </c>
      <c r="E58" s="265">
        <f>188-5-14-9-12-1</f>
        <v>147</v>
      </c>
      <c r="F58" s="278"/>
      <c r="G58" s="265">
        <f>420-8-50+4+33+16+8</f>
        <v>423</v>
      </c>
      <c r="H58" s="265"/>
      <c r="I58" s="268"/>
      <c r="J58" s="265"/>
      <c r="K58" s="265"/>
      <c r="L58" s="265"/>
      <c r="M58" s="265"/>
      <c r="N58" s="265"/>
      <c r="O58" s="264"/>
      <c r="P58" s="265">
        <f>163+8+19+40</f>
        <v>230</v>
      </c>
      <c r="Q58" s="268"/>
      <c r="R58" s="265">
        <f>85-16</f>
        <v>69</v>
      </c>
      <c r="S58" s="265">
        <f>140-1-6</f>
        <v>133</v>
      </c>
      <c r="T58" s="265">
        <f>135+62+12+6</f>
        <v>215</v>
      </c>
      <c r="U58" s="264">
        <f>11-1</f>
        <v>10</v>
      </c>
      <c r="V58" s="275">
        <f>75-10</f>
        <v>65</v>
      </c>
      <c r="W58" s="264">
        <f>45+10</f>
        <v>55</v>
      </c>
      <c r="X58" s="264"/>
      <c r="Y58" s="265">
        <f>1+5-1-1</f>
        <v>4</v>
      </c>
      <c r="Z58" s="280"/>
      <c r="AA58" s="280"/>
      <c r="AB58" s="280"/>
      <c r="AC58" s="280"/>
      <c r="AD58" s="265"/>
      <c r="AE58" s="265">
        <f>46+50-14</f>
        <v>82</v>
      </c>
      <c r="AF58" s="264">
        <f>10-8</f>
        <v>2</v>
      </c>
      <c r="AG58" s="267">
        <f t="shared" si="16"/>
        <v>1626</v>
      </c>
    </row>
    <row r="59" spans="1:33" s="258" customFormat="1" ht="14.25" customHeight="1" x14ac:dyDescent="0.2">
      <c r="A59" s="253">
        <v>40</v>
      </c>
      <c r="B59" s="262">
        <v>41</v>
      </c>
      <c r="C59" s="277">
        <v>175437</v>
      </c>
      <c r="D59" s="265">
        <f>120+8+59+17</f>
        <v>204</v>
      </c>
      <c r="E59" s="265">
        <f>38-2+1+2-2</f>
        <v>37</v>
      </c>
      <c r="F59" s="278"/>
      <c r="G59" s="265">
        <f>190+5+25+16-9+1</f>
        <v>228</v>
      </c>
      <c r="H59" s="265"/>
      <c r="I59" s="265"/>
      <c r="J59" s="265"/>
      <c r="K59" s="265"/>
      <c r="L59" s="265"/>
      <c r="M59" s="265"/>
      <c r="N59" s="265"/>
      <c r="O59" s="264">
        <v>75</v>
      </c>
      <c r="P59" s="265">
        <f>31+3+14+3</f>
        <v>51</v>
      </c>
      <c r="Q59" s="265"/>
      <c r="R59" s="265">
        <f>49-16</f>
        <v>33</v>
      </c>
      <c r="S59" s="265">
        <f>22+9+5</f>
        <v>36</v>
      </c>
      <c r="T59" s="265">
        <f>11+1+11-1</f>
        <v>22</v>
      </c>
      <c r="U59" s="264">
        <v>11</v>
      </c>
      <c r="V59" s="264">
        <f>23-5</f>
        <v>18</v>
      </c>
      <c r="W59" s="264">
        <f>14+11</f>
        <v>25</v>
      </c>
      <c r="X59" s="264"/>
      <c r="Y59" s="265">
        <f>6-2</f>
        <v>4</v>
      </c>
      <c r="Z59" s="280"/>
      <c r="AA59" s="280"/>
      <c r="AB59" s="280"/>
      <c r="AC59" s="280"/>
      <c r="AD59" s="265"/>
      <c r="AE59" s="265">
        <f>34+9+4-9</f>
        <v>38</v>
      </c>
      <c r="AF59" s="264">
        <f>7-2</f>
        <v>5</v>
      </c>
      <c r="AG59" s="267">
        <f t="shared" si="16"/>
        <v>787</v>
      </c>
    </row>
    <row r="60" spans="1:33" s="258" customFormat="1" ht="14.25" customHeight="1" x14ac:dyDescent="0.2">
      <c r="A60" s="253">
        <v>41</v>
      </c>
      <c r="B60" s="262">
        <v>42</v>
      </c>
      <c r="C60" s="277">
        <v>217055</v>
      </c>
      <c r="D60" s="265">
        <f>50+35-13</f>
        <v>72</v>
      </c>
      <c r="E60" s="265">
        <f>2+1+3-1</f>
        <v>5</v>
      </c>
      <c r="F60" s="278"/>
      <c r="G60" s="265">
        <f>90+12+7+1+12-9</f>
        <v>113</v>
      </c>
      <c r="H60" s="265"/>
      <c r="I60" s="265"/>
      <c r="J60" s="265"/>
      <c r="K60" s="265"/>
      <c r="L60" s="265"/>
      <c r="M60" s="265"/>
      <c r="N60" s="265"/>
      <c r="O60" s="264">
        <v>60</v>
      </c>
      <c r="P60" s="265">
        <f>7+5+3</f>
        <v>15</v>
      </c>
      <c r="Q60" s="265"/>
      <c r="R60" s="265">
        <f>20-12</f>
        <v>8</v>
      </c>
      <c r="S60" s="265">
        <f>2+3-1</f>
        <v>4</v>
      </c>
      <c r="T60" s="265">
        <v>4</v>
      </c>
      <c r="U60" s="264">
        <v>3</v>
      </c>
      <c r="V60" s="264">
        <f>8-1</f>
        <v>7</v>
      </c>
      <c r="W60" s="264"/>
      <c r="X60" s="264"/>
      <c r="Y60" s="265">
        <f>1+2+2+2-1</f>
        <v>6</v>
      </c>
      <c r="Z60" s="280"/>
      <c r="AA60" s="280"/>
      <c r="AB60" s="280"/>
      <c r="AC60" s="280"/>
      <c r="AD60" s="265"/>
      <c r="AE60" s="265">
        <f>28-2+2+8</f>
        <v>36</v>
      </c>
      <c r="AF60" s="264">
        <f>3-2</f>
        <v>1</v>
      </c>
      <c r="AG60" s="267">
        <f t="shared" si="16"/>
        <v>334</v>
      </c>
    </row>
    <row r="61" spans="1:33" s="258" customFormat="1" ht="14.25" customHeight="1" x14ac:dyDescent="0.2">
      <c r="A61" s="253">
        <v>42</v>
      </c>
      <c r="B61" s="262">
        <v>43</v>
      </c>
      <c r="C61" s="277">
        <v>132472</v>
      </c>
      <c r="D61" s="265">
        <f>10+17+8-3</f>
        <v>32</v>
      </c>
      <c r="E61" s="265">
        <f>105-6-4-9+2</f>
        <v>88</v>
      </c>
      <c r="F61" s="278"/>
      <c r="G61" s="265">
        <f>200+46+50+24+50+18+32+29+25</f>
        <v>474</v>
      </c>
      <c r="H61" s="265"/>
      <c r="I61" s="268"/>
      <c r="J61" s="265"/>
      <c r="K61" s="265"/>
      <c r="L61" s="265"/>
      <c r="M61" s="268"/>
      <c r="N61" s="265"/>
      <c r="O61" s="264"/>
      <c r="P61" s="268"/>
      <c r="Q61" s="268"/>
      <c r="R61" s="265"/>
      <c r="S61" s="265"/>
      <c r="T61" s="265"/>
      <c r="U61" s="264"/>
      <c r="V61" s="264">
        <f>26+4</f>
        <v>30</v>
      </c>
      <c r="W61" s="264"/>
      <c r="X61" s="264"/>
      <c r="Y61" s="264"/>
      <c r="Z61" s="266"/>
      <c r="AA61" s="266"/>
      <c r="AB61" s="266"/>
      <c r="AC61" s="266"/>
      <c r="AD61" s="265"/>
      <c r="AE61" s="265">
        <f>30+13-18</f>
        <v>25</v>
      </c>
      <c r="AF61" s="264">
        <f>30-2-1+5</f>
        <v>32</v>
      </c>
      <c r="AG61" s="267">
        <f t="shared" si="16"/>
        <v>681</v>
      </c>
    </row>
    <row r="62" spans="1:33" s="258" customFormat="1" ht="14.25" customHeight="1" x14ac:dyDescent="0.2">
      <c r="A62" s="253">
        <v>42</v>
      </c>
      <c r="B62" s="262">
        <v>44</v>
      </c>
      <c r="C62" s="277">
        <v>157012</v>
      </c>
      <c r="D62" s="265">
        <f>24+5-4</f>
        <v>25</v>
      </c>
      <c r="E62" s="265">
        <f>15+7+4+5+6-2</f>
        <v>35</v>
      </c>
      <c r="F62" s="278"/>
      <c r="G62" s="265">
        <f>150+100+30+10+30-8</f>
        <v>312</v>
      </c>
      <c r="H62" s="265"/>
      <c r="I62" s="268"/>
      <c r="J62" s="265"/>
      <c r="K62" s="265"/>
      <c r="L62" s="265"/>
      <c r="M62" s="268"/>
      <c r="N62" s="265"/>
      <c r="O62" s="264"/>
      <c r="P62" s="268"/>
      <c r="Q62" s="268"/>
      <c r="R62" s="265"/>
      <c r="S62" s="265">
        <v>1</v>
      </c>
      <c r="T62" s="265"/>
      <c r="U62" s="264"/>
      <c r="V62" s="264">
        <f>10-2</f>
        <v>8</v>
      </c>
      <c r="W62" s="264"/>
      <c r="X62" s="264"/>
      <c r="Y62" s="264"/>
      <c r="Z62" s="266"/>
      <c r="AA62" s="266"/>
      <c r="AB62" s="266"/>
      <c r="AC62" s="266"/>
      <c r="AD62" s="265"/>
      <c r="AE62" s="265">
        <f>20-5-6</f>
        <v>9</v>
      </c>
      <c r="AF62" s="264">
        <v>2</v>
      </c>
      <c r="AG62" s="267">
        <f t="shared" si="16"/>
        <v>392</v>
      </c>
    </row>
    <row r="63" spans="1:33" s="258" customFormat="1" ht="14.25" customHeight="1" x14ac:dyDescent="0.2">
      <c r="A63" s="253">
        <v>42</v>
      </c>
      <c r="B63" s="262">
        <v>45</v>
      </c>
      <c r="C63" s="277">
        <v>194747</v>
      </c>
      <c r="D63" s="265">
        <f>54-34-13-3</f>
        <v>4</v>
      </c>
      <c r="E63" s="265">
        <f>130-122-1-1-1</f>
        <v>5</v>
      </c>
      <c r="F63" s="278"/>
      <c r="G63" s="265">
        <f>1040-350-150-86-22+1-30-114-28</f>
        <v>261</v>
      </c>
      <c r="H63" s="265"/>
      <c r="I63" s="268"/>
      <c r="J63" s="265"/>
      <c r="K63" s="265"/>
      <c r="L63" s="265"/>
      <c r="M63" s="268"/>
      <c r="N63" s="265"/>
      <c r="O63" s="264"/>
      <c r="P63" s="268"/>
      <c r="Q63" s="268"/>
      <c r="R63" s="265">
        <f>5-5</f>
        <v>0</v>
      </c>
      <c r="S63" s="265">
        <f>6-4-2</f>
        <v>0</v>
      </c>
      <c r="T63" s="265"/>
      <c r="U63" s="264">
        <f>7-7</f>
        <v>0</v>
      </c>
      <c r="V63" s="264">
        <f>40-37-2</f>
        <v>1</v>
      </c>
      <c r="W63" s="264">
        <f>17-11</f>
        <v>6</v>
      </c>
      <c r="X63" s="264"/>
      <c r="Y63" s="264"/>
      <c r="Z63" s="266"/>
      <c r="AA63" s="266"/>
      <c r="AB63" s="266"/>
      <c r="AC63" s="266"/>
      <c r="AD63" s="265"/>
      <c r="AE63" s="265">
        <f>83-63-16</f>
        <v>4</v>
      </c>
      <c r="AF63" s="264">
        <v>1</v>
      </c>
      <c r="AG63" s="267">
        <f t="shared" si="16"/>
        <v>282</v>
      </c>
    </row>
    <row r="64" spans="1:33" s="258" customFormat="1" ht="14.25" customHeight="1" x14ac:dyDescent="0.2">
      <c r="A64" s="253">
        <v>43</v>
      </c>
      <c r="B64" s="262">
        <v>46</v>
      </c>
      <c r="C64" s="277">
        <v>276287</v>
      </c>
      <c r="D64" s="265"/>
      <c r="E64" s="265"/>
      <c r="F64" s="278"/>
      <c r="G64" s="265">
        <f>1+30-1-2+9+2-9+32</f>
        <v>62</v>
      </c>
      <c r="H64" s="265"/>
      <c r="I64" s="268"/>
      <c r="J64" s="265"/>
      <c r="K64" s="265"/>
      <c r="L64" s="265"/>
      <c r="M64" s="268"/>
      <c r="N64" s="265"/>
      <c r="O64" s="264"/>
      <c r="P64" s="268"/>
      <c r="Q64" s="268"/>
      <c r="R64" s="265"/>
      <c r="S64" s="265"/>
      <c r="T64" s="265"/>
      <c r="U64" s="264"/>
      <c r="V64" s="264"/>
      <c r="W64" s="264"/>
      <c r="X64" s="264"/>
      <c r="Y64" s="264"/>
      <c r="Z64" s="266"/>
      <c r="AA64" s="266"/>
      <c r="AB64" s="266"/>
      <c r="AC64" s="266"/>
      <c r="AD64" s="265"/>
      <c r="AE64" s="265"/>
      <c r="AF64" s="264"/>
      <c r="AG64" s="267">
        <f t="shared" si="16"/>
        <v>62</v>
      </c>
    </row>
    <row r="65" spans="1:33" s="258" customFormat="1" ht="14.25" customHeight="1" x14ac:dyDescent="0.2">
      <c r="A65" s="253">
        <v>43</v>
      </c>
      <c r="B65" s="262">
        <v>47</v>
      </c>
      <c r="C65" s="277">
        <v>301504</v>
      </c>
      <c r="D65" s="265"/>
      <c r="E65" s="265"/>
      <c r="F65" s="278"/>
      <c r="G65" s="265">
        <f>5+1+10+10+5-15</f>
        <v>16</v>
      </c>
      <c r="H65" s="265"/>
      <c r="I65" s="268"/>
      <c r="J65" s="265"/>
      <c r="K65" s="265"/>
      <c r="L65" s="265"/>
      <c r="M65" s="268"/>
      <c r="N65" s="265"/>
      <c r="O65" s="264"/>
      <c r="P65" s="268"/>
      <c r="Q65" s="268"/>
      <c r="R65" s="265"/>
      <c r="S65" s="265"/>
      <c r="T65" s="265"/>
      <c r="U65" s="264"/>
      <c r="V65" s="264"/>
      <c r="W65" s="264"/>
      <c r="X65" s="264"/>
      <c r="Y65" s="264"/>
      <c r="Z65" s="266"/>
      <c r="AA65" s="266"/>
      <c r="AB65" s="266"/>
      <c r="AC65" s="266"/>
      <c r="AD65" s="265"/>
      <c r="AE65" s="265"/>
      <c r="AF65" s="264"/>
      <c r="AG65" s="267">
        <f t="shared" si="16"/>
        <v>16</v>
      </c>
    </row>
    <row r="66" spans="1:33" s="258" customFormat="1" ht="14.25" customHeight="1" x14ac:dyDescent="0.2">
      <c r="A66" s="253">
        <v>43</v>
      </c>
      <c r="B66" s="262">
        <v>48</v>
      </c>
      <c r="C66" s="277">
        <v>330952</v>
      </c>
      <c r="D66" s="265"/>
      <c r="E66" s="265"/>
      <c r="F66" s="278"/>
      <c r="G66" s="265">
        <f>40-2+1+7+6-13-11</f>
        <v>28</v>
      </c>
      <c r="H66" s="265"/>
      <c r="I66" s="268"/>
      <c r="J66" s="265"/>
      <c r="K66" s="265"/>
      <c r="L66" s="265"/>
      <c r="M66" s="268"/>
      <c r="N66" s="265"/>
      <c r="O66" s="264">
        <v>20</v>
      </c>
      <c r="P66" s="268"/>
      <c r="Q66" s="268"/>
      <c r="R66" s="265"/>
      <c r="S66" s="265"/>
      <c r="T66" s="265"/>
      <c r="U66" s="264"/>
      <c r="V66" s="264"/>
      <c r="W66" s="264"/>
      <c r="X66" s="264"/>
      <c r="Y66" s="264"/>
      <c r="Z66" s="266"/>
      <c r="AA66" s="266"/>
      <c r="AB66" s="266"/>
      <c r="AC66" s="266"/>
      <c r="AD66" s="265"/>
      <c r="AE66" s="265"/>
      <c r="AF66" s="264"/>
      <c r="AG66" s="267">
        <f t="shared" si="16"/>
        <v>48</v>
      </c>
    </row>
    <row r="67" spans="1:33" s="258" customFormat="1" ht="14.25" customHeight="1" x14ac:dyDescent="0.2">
      <c r="A67" s="256">
        <v>44</v>
      </c>
      <c r="B67" s="262">
        <v>49</v>
      </c>
      <c r="C67" s="263">
        <v>165048</v>
      </c>
      <c r="D67" s="265"/>
      <c r="E67" s="265"/>
      <c r="F67" s="278"/>
      <c r="G67" s="265">
        <f>200+10+1+25-6</f>
        <v>230</v>
      </c>
      <c r="H67" s="265"/>
      <c r="I67" s="268"/>
      <c r="J67" s="265"/>
      <c r="K67" s="265"/>
      <c r="L67" s="265"/>
      <c r="M67" s="268"/>
      <c r="N67" s="265"/>
      <c r="O67" s="264">
        <v>15</v>
      </c>
      <c r="P67" s="268"/>
      <c r="Q67" s="268"/>
      <c r="R67" s="265">
        <f>1-1</f>
        <v>0</v>
      </c>
      <c r="S67" s="265"/>
      <c r="T67" s="265"/>
      <c r="U67" s="265"/>
      <c r="V67" s="264"/>
      <c r="W67" s="264"/>
      <c r="X67" s="264"/>
      <c r="Y67" s="264"/>
      <c r="Z67" s="266"/>
      <c r="AA67" s="266"/>
      <c r="AB67" s="266"/>
      <c r="AC67" s="266"/>
      <c r="AD67" s="265"/>
      <c r="AE67" s="265">
        <v>1</v>
      </c>
      <c r="AF67" s="264"/>
      <c r="AG67" s="267">
        <f t="shared" si="16"/>
        <v>246</v>
      </c>
    </row>
    <row r="68" spans="1:33" s="258" customFormat="1" ht="14.25" customHeight="1" x14ac:dyDescent="0.2">
      <c r="A68" s="256">
        <v>45</v>
      </c>
      <c r="B68" s="262">
        <v>50</v>
      </c>
      <c r="C68" s="263">
        <v>307344</v>
      </c>
      <c r="D68" s="265"/>
      <c r="E68" s="265"/>
      <c r="F68" s="278"/>
      <c r="G68" s="265">
        <f>10-5-2</f>
        <v>3</v>
      </c>
      <c r="H68" s="265"/>
      <c r="I68" s="268"/>
      <c r="J68" s="265"/>
      <c r="K68" s="265"/>
      <c r="L68" s="265"/>
      <c r="M68" s="268"/>
      <c r="N68" s="265"/>
      <c r="O68" s="264"/>
      <c r="P68" s="268"/>
      <c r="Q68" s="268"/>
      <c r="R68" s="265"/>
      <c r="S68" s="265"/>
      <c r="T68" s="265"/>
      <c r="U68" s="265"/>
      <c r="V68" s="264"/>
      <c r="W68" s="264"/>
      <c r="X68" s="264"/>
      <c r="Y68" s="264"/>
      <c r="Z68" s="266"/>
      <c r="AA68" s="266"/>
      <c r="AB68" s="266"/>
      <c r="AC68" s="266"/>
      <c r="AD68" s="265"/>
      <c r="AE68" s="265"/>
      <c r="AF68" s="264"/>
      <c r="AG68" s="267">
        <f t="shared" si="16"/>
        <v>3</v>
      </c>
    </row>
    <row r="69" spans="1:33" s="258" customFormat="1" ht="14.25" customHeight="1" x14ac:dyDescent="0.2">
      <c r="A69" s="256">
        <v>46</v>
      </c>
      <c r="B69" s="262">
        <v>51</v>
      </c>
      <c r="C69" s="263">
        <v>250038</v>
      </c>
      <c r="D69" s="264"/>
      <c r="E69" s="264"/>
      <c r="F69" s="278"/>
      <c r="G69" s="264">
        <f>800-15+15+39</f>
        <v>839</v>
      </c>
      <c r="H69" s="264"/>
      <c r="I69" s="264"/>
      <c r="J69" s="264"/>
      <c r="K69" s="264"/>
      <c r="L69" s="264"/>
      <c r="M69" s="264"/>
      <c r="N69" s="264"/>
      <c r="O69" s="264">
        <v>45</v>
      </c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6"/>
      <c r="AA69" s="266"/>
      <c r="AB69" s="266"/>
      <c r="AC69" s="266"/>
      <c r="AD69" s="264"/>
      <c r="AE69" s="264">
        <f>17-5-3+1</f>
        <v>10</v>
      </c>
      <c r="AF69" s="264"/>
      <c r="AG69" s="267">
        <f t="shared" si="16"/>
        <v>894</v>
      </c>
    </row>
    <row r="70" spans="1:33" s="258" customFormat="1" ht="14.25" customHeight="1" x14ac:dyDescent="0.2">
      <c r="A70" s="256">
        <v>47</v>
      </c>
      <c r="B70" s="262">
        <v>52</v>
      </c>
      <c r="C70" s="263">
        <v>783935</v>
      </c>
      <c r="D70" s="264">
        <f>3+2+6</f>
        <v>11</v>
      </c>
      <c r="E70" s="264">
        <f>76-1-2-3-5</f>
        <v>65</v>
      </c>
      <c r="F70" s="278"/>
      <c r="G70" s="264"/>
      <c r="H70" s="264"/>
      <c r="I70" s="264"/>
      <c r="J70" s="264"/>
      <c r="K70" s="264"/>
      <c r="L70" s="264"/>
      <c r="M70" s="264"/>
      <c r="N70" s="264"/>
      <c r="O70" s="264"/>
      <c r="P70" s="264">
        <f>10+5+3+11</f>
        <v>29</v>
      </c>
      <c r="Q70" s="264"/>
      <c r="R70" s="264">
        <f>5+4-3</f>
        <v>6</v>
      </c>
      <c r="S70" s="264"/>
      <c r="T70" s="264">
        <f>10+1</f>
        <v>11</v>
      </c>
      <c r="U70" s="264">
        <v>4</v>
      </c>
      <c r="V70" s="264">
        <f>1+4-4</f>
        <v>1</v>
      </c>
      <c r="W70" s="264">
        <f>5-2</f>
        <v>3</v>
      </c>
      <c r="X70" s="264"/>
      <c r="Y70" s="264"/>
      <c r="Z70" s="266"/>
      <c r="AA70" s="266"/>
      <c r="AB70" s="266"/>
      <c r="AC70" s="266"/>
      <c r="AD70" s="264"/>
      <c r="AE70" s="264">
        <f>24-14-2</f>
        <v>8</v>
      </c>
      <c r="AF70" s="264"/>
      <c r="AG70" s="267">
        <f t="shared" si="16"/>
        <v>138</v>
      </c>
    </row>
    <row r="71" spans="1:33" s="258" customFormat="1" ht="14.25" customHeight="1" x14ac:dyDescent="0.2">
      <c r="A71" s="256">
        <v>48</v>
      </c>
      <c r="B71" s="262">
        <v>53</v>
      </c>
      <c r="C71" s="263">
        <v>437766</v>
      </c>
      <c r="D71" s="264"/>
      <c r="E71" s="264"/>
      <c r="F71" s="278"/>
      <c r="G71" s="264">
        <f>305+35+6</f>
        <v>346</v>
      </c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6"/>
      <c r="AA71" s="266"/>
      <c r="AB71" s="266"/>
      <c r="AC71" s="266"/>
      <c r="AD71" s="264"/>
      <c r="AE71" s="264"/>
      <c r="AF71" s="264"/>
      <c r="AG71" s="267">
        <f t="shared" si="16"/>
        <v>346</v>
      </c>
    </row>
    <row r="72" spans="1:33" s="255" customFormat="1" ht="19.5" customHeight="1" x14ac:dyDescent="0.2">
      <c r="A72" s="253"/>
      <c r="B72" s="1026" t="s">
        <v>428</v>
      </c>
      <c r="C72" s="1027"/>
      <c r="D72" s="260">
        <f>D73+D74</f>
        <v>23</v>
      </c>
      <c r="E72" s="260">
        <f t="shared" ref="E72:N72" si="17">E73+E74</f>
        <v>0</v>
      </c>
      <c r="F72" s="260">
        <f t="shared" si="17"/>
        <v>0</v>
      </c>
      <c r="G72" s="260">
        <f t="shared" si="17"/>
        <v>0</v>
      </c>
      <c r="H72" s="260">
        <f t="shared" si="17"/>
        <v>0</v>
      </c>
      <c r="I72" s="260">
        <f t="shared" si="17"/>
        <v>0</v>
      </c>
      <c r="J72" s="260">
        <f t="shared" si="17"/>
        <v>0</v>
      </c>
      <c r="K72" s="260">
        <f t="shared" si="17"/>
        <v>1</v>
      </c>
      <c r="L72" s="260">
        <f t="shared" si="17"/>
        <v>1</v>
      </c>
      <c r="M72" s="260">
        <f t="shared" si="17"/>
        <v>0</v>
      </c>
      <c r="N72" s="260">
        <f t="shared" si="17"/>
        <v>0</v>
      </c>
      <c r="O72" s="260">
        <f>O73+O74</f>
        <v>0</v>
      </c>
      <c r="P72" s="260">
        <f t="shared" ref="P72:AG72" si="18">P73+P74</f>
        <v>0</v>
      </c>
      <c r="Q72" s="260">
        <f t="shared" si="18"/>
        <v>0</v>
      </c>
      <c r="R72" s="260">
        <f t="shared" si="18"/>
        <v>0</v>
      </c>
      <c r="S72" s="260">
        <f t="shared" si="18"/>
        <v>0</v>
      </c>
      <c r="T72" s="260">
        <f t="shared" si="18"/>
        <v>0</v>
      </c>
      <c r="U72" s="260">
        <f t="shared" si="18"/>
        <v>0</v>
      </c>
      <c r="V72" s="260">
        <f t="shared" si="18"/>
        <v>0</v>
      </c>
      <c r="W72" s="260">
        <f t="shared" si="18"/>
        <v>0</v>
      </c>
      <c r="X72" s="260">
        <f t="shared" si="18"/>
        <v>0</v>
      </c>
      <c r="Y72" s="260">
        <f t="shared" si="18"/>
        <v>0</v>
      </c>
      <c r="Z72" s="260">
        <f t="shared" si="18"/>
        <v>0</v>
      </c>
      <c r="AA72" s="260">
        <f t="shared" si="18"/>
        <v>0</v>
      </c>
      <c r="AB72" s="260">
        <f t="shared" si="18"/>
        <v>0</v>
      </c>
      <c r="AC72" s="260">
        <f t="shared" si="18"/>
        <v>0</v>
      </c>
      <c r="AD72" s="260">
        <f t="shared" si="18"/>
        <v>0</v>
      </c>
      <c r="AE72" s="260">
        <f t="shared" si="18"/>
        <v>0</v>
      </c>
      <c r="AF72" s="260">
        <f t="shared" si="18"/>
        <v>0</v>
      </c>
      <c r="AG72" s="260">
        <f t="shared" si="18"/>
        <v>25</v>
      </c>
    </row>
    <row r="73" spans="1:33" s="258" customFormat="1" ht="15.75" customHeight="1" x14ac:dyDescent="0.2">
      <c r="A73" s="256">
        <v>49</v>
      </c>
      <c r="B73" s="262">
        <v>54</v>
      </c>
      <c r="C73" s="263">
        <v>170411</v>
      </c>
      <c r="D73" s="265">
        <f>10+8</f>
        <v>18</v>
      </c>
      <c r="E73" s="265"/>
      <c r="F73" s="265"/>
      <c r="G73" s="265"/>
      <c r="H73" s="265"/>
      <c r="I73" s="268"/>
      <c r="J73" s="265"/>
      <c r="K73" s="265">
        <v>1</v>
      </c>
      <c r="L73" s="265">
        <f>2-1</f>
        <v>1</v>
      </c>
      <c r="M73" s="268"/>
      <c r="N73" s="265"/>
      <c r="O73" s="264"/>
      <c r="P73" s="268"/>
      <c r="Q73" s="268"/>
      <c r="R73" s="265"/>
      <c r="S73" s="265"/>
      <c r="T73" s="265"/>
      <c r="U73" s="265"/>
      <c r="V73" s="264"/>
      <c r="W73" s="264"/>
      <c r="X73" s="264"/>
      <c r="Y73" s="264"/>
      <c r="Z73" s="266"/>
      <c r="AA73" s="266"/>
      <c r="AB73" s="266"/>
      <c r="AC73" s="266"/>
      <c r="AD73" s="265"/>
      <c r="AE73" s="265"/>
      <c r="AF73" s="264"/>
      <c r="AG73" s="267">
        <f>D73+E73+F73+G73+H73+I73+J73+K73+L73+M73+N73+O73+P73+Q73+R73+S73+T73+U73+V73+W73+X73+Y73+Z73+AA73+AB73+AC73+AD73+AE73+AF73</f>
        <v>20</v>
      </c>
    </row>
    <row r="74" spans="1:33" s="258" customFormat="1" ht="15.75" customHeight="1" x14ac:dyDescent="0.2">
      <c r="A74" s="256">
        <v>50</v>
      </c>
      <c r="B74" s="281">
        <v>55</v>
      </c>
      <c r="C74" s="263">
        <v>296164</v>
      </c>
      <c r="D74" s="265">
        <f>10-5</f>
        <v>5</v>
      </c>
      <c r="E74" s="265"/>
      <c r="F74" s="265"/>
      <c r="G74" s="265"/>
      <c r="H74" s="265"/>
      <c r="I74" s="268"/>
      <c r="J74" s="265"/>
      <c r="K74" s="265"/>
      <c r="L74" s="265"/>
      <c r="M74" s="268"/>
      <c r="N74" s="265"/>
      <c r="O74" s="264"/>
      <c r="P74" s="268"/>
      <c r="Q74" s="268"/>
      <c r="R74" s="265"/>
      <c r="S74" s="265"/>
      <c r="T74" s="265"/>
      <c r="U74" s="265"/>
      <c r="V74" s="264"/>
      <c r="W74" s="264"/>
      <c r="X74" s="264"/>
      <c r="Y74" s="264"/>
      <c r="Z74" s="266"/>
      <c r="AA74" s="266"/>
      <c r="AB74" s="266"/>
      <c r="AC74" s="266"/>
      <c r="AD74" s="265"/>
      <c r="AE74" s="265"/>
      <c r="AF74" s="264"/>
      <c r="AG74" s="267">
        <f>D74+E74+F74+G74+H74+I74+J74+K74+L74+M74+N74+O74+P74+Q74+R74+S74+T74+U74+V74+W74+X74+Y74+Z74+AA74+AB74+AC74+AD74+AE74+AF74</f>
        <v>5</v>
      </c>
    </row>
    <row r="75" spans="1:33" s="255" customFormat="1" ht="24" customHeight="1" x14ac:dyDescent="0.2">
      <c r="A75" s="253"/>
      <c r="B75" s="1026" t="s">
        <v>429</v>
      </c>
      <c r="C75" s="1027"/>
      <c r="D75" s="260">
        <f>SUM(D76:D80)</f>
        <v>345</v>
      </c>
      <c r="E75" s="260">
        <f t="shared" ref="E75:AG75" si="19">SUM(E76:E80)</f>
        <v>166</v>
      </c>
      <c r="F75" s="260">
        <f t="shared" si="19"/>
        <v>0</v>
      </c>
      <c r="G75" s="260">
        <f t="shared" si="19"/>
        <v>0</v>
      </c>
      <c r="H75" s="260">
        <f t="shared" si="19"/>
        <v>0</v>
      </c>
      <c r="I75" s="260">
        <f t="shared" si="19"/>
        <v>0</v>
      </c>
      <c r="J75" s="260">
        <f t="shared" si="19"/>
        <v>260</v>
      </c>
      <c r="K75" s="260">
        <f t="shared" si="19"/>
        <v>65</v>
      </c>
      <c r="L75" s="260">
        <f t="shared" si="19"/>
        <v>246</v>
      </c>
      <c r="M75" s="260">
        <f t="shared" si="19"/>
        <v>0</v>
      </c>
      <c r="N75" s="260">
        <f t="shared" si="19"/>
        <v>84</v>
      </c>
      <c r="O75" s="260">
        <f t="shared" si="19"/>
        <v>220</v>
      </c>
      <c r="P75" s="260">
        <f t="shared" si="19"/>
        <v>166</v>
      </c>
      <c r="Q75" s="260">
        <f t="shared" si="19"/>
        <v>0</v>
      </c>
      <c r="R75" s="260">
        <f t="shared" si="19"/>
        <v>29</v>
      </c>
      <c r="S75" s="260">
        <f t="shared" si="19"/>
        <v>35</v>
      </c>
      <c r="T75" s="260">
        <f t="shared" si="19"/>
        <v>113</v>
      </c>
      <c r="U75" s="260">
        <f t="shared" si="19"/>
        <v>45</v>
      </c>
      <c r="V75" s="260">
        <f t="shared" si="19"/>
        <v>0</v>
      </c>
      <c r="W75" s="260">
        <f t="shared" si="19"/>
        <v>18</v>
      </c>
      <c r="X75" s="260">
        <f t="shared" si="19"/>
        <v>5</v>
      </c>
      <c r="Y75" s="260">
        <f t="shared" si="19"/>
        <v>0</v>
      </c>
      <c r="Z75" s="260">
        <f t="shared" si="19"/>
        <v>0</v>
      </c>
      <c r="AA75" s="260">
        <f t="shared" si="19"/>
        <v>0</v>
      </c>
      <c r="AB75" s="260">
        <f t="shared" si="19"/>
        <v>0</v>
      </c>
      <c r="AC75" s="260">
        <f t="shared" si="19"/>
        <v>0</v>
      </c>
      <c r="AD75" s="260">
        <f t="shared" si="19"/>
        <v>0</v>
      </c>
      <c r="AE75" s="260">
        <f t="shared" si="19"/>
        <v>0</v>
      </c>
      <c r="AF75" s="260">
        <f t="shared" si="19"/>
        <v>40</v>
      </c>
      <c r="AG75" s="260">
        <f t="shared" si="19"/>
        <v>1837</v>
      </c>
    </row>
    <row r="76" spans="1:33" s="258" customFormat="1" ht="15.75" customHeight="1" x14ac:dyDescent="0.2">
      <c r="A76" s="256">
        <v>51</v>
      </c>
      <c r="B76" s="282">
        <v>56</v>
      </c>
      <c r="C76" s="263">
        <v>160673</v>
      </c>
      <c r="D76" s="264">
        <f>70+15-2</f>
        <v>83</v>
      </c>
      <c r="E76" s="264">
        <f>75-10-13-6-5-1+8</f>
        <v>48</v>
      </c>
      <c r="F76" s="264"/>
      <c r="G76" s="264"/>
      <c r="H76" s="264"/>
      <c r="I76" s="264"/>
      <c r="J76" s="264">
        <v>40</v>
      </c>
      <c r="K76" s="264">
        <f>64-2</f>
        <v>62</v>
      </c>
      <c r="L76" s="264">
        <f>238-2-7+3</f>
        <v>232</v>
      </c>
      <c r="M76" s="264"/>
      <c r="N76" s="264">
        <f>40+20</f>
        <v>60</v>
      </c>
      <c r="O76" s="264">
        <v>20</v>
      </c>
      <c r="P76" s="264">
        <v>40</v>
      </c>
      <c r="Q76" s="264"/>
      <c r="R76" s="264">
        <f>10+2+1+1+1+3</f>
        <v>18</v>
      </c>
      <c r="S76" s="264"/>
      <c r="T76" s="264">
        <f>37+22+2-1</f>
        <v>60</v>
      </c>
      <c r="U76" s="264">
        <v>10</v>
      </c>
      <c r="V76" s="264"/>
      <c r="W76" s="264">
        <f>7-3</f>
        <v>4</v>
      </c>
      <c r="X76" s="264"/>
      <c r="Y76" s="264"/>
      <c r="Z76" s="266"/>
      <c r="AA76" s="266"/>
      <c r="AB76" s="266"/>
      <c r="AC76" s="266"/>
      <c r="AD76" s="264"/>
      <c r="AE76" s="264"/>
      <c r="AF76" s="264">
        <v>10</v>
      </c>
      <c r="AG76" s="267">
        <f>D76+E76+F76+G76+H76+I76+J76+K76+L76+M76+N76+O76+P76+Q76+R76+S76+T76+U76+V76+W76+X76+Y76+Z76+AA76+AB76+AC76+AD76+AE76+AF76</f>
        <v>687</v>
      </c>
    </row>
    <row r="77" spans="1:33" s="258" customFormat="1" ht="15.75" customHeight="1" x14ac:dyDescent="0.2">
      <c r="A77" s="256">
        <v>52</v>
      </c>
      <c r="B77" s="282">
        <v>57</v>
      </c>
      <c r="C77" s="263">
        <v>330072</v>
      </c>
      <c r="D77" s="275">
        <f>12+4</f>
        <v>16</v>
      </c>
      <c r="E77" s="264">
        <f>50-1-6-2-5-9-4</f>
        <v>23</v>
      </c>
      <c r="F77" s="264"/>
      <c r="G77" s="264"/>
      <c r="H77" s="264"/>
      <c r="I77" s="264"/>
      <c r="J77" s="264"/>
      <c r="K77" s="264">
        <f>5-1-1</f>
        <v>3</v>
      </c>
      <c r="L77" s="275">
        <v>4</v>
      </c>
      <c r="M77" s="264"/>
      <c r="N77" s="264">
        <v>14</v>
      </c>
      <c r="O77" s="264"/>
      <c r="P77" s="264">
        <f>77-2-57</f>
        <v>18</v>
      </c>
      <c r="Q77" s="264"/>
      <c r="R77" s="264">
        <f>11-1+1</f>
        <v>11</v>
      </c>
      <c r="S77" s="264">
        <v>35</v>
      </c>
      <c r="T77" s="264">
        <f>40+13</f>
        <v>53</v>
      </c>
      <c r="U77" s="264">
        <v>35</v>
      </c>
      <c r="V77" s="264"/>
      <c r="W77" s="264">
        <f>11+3</f>
        <v>14</v>
      </c>
      <c r="X77" s="264">
        <f>10-5</f>
        <v>5</v>
      </c>
      <c r="Y77" s="264"/>
      <c r="Z77" s="266"/>
      <c r="AA77" s="266"/>
      <c r="AB77" s="266"/>
      <c r="AC77" s="266"/>
      <c r="AD77" s="264"/>
      <c r="AE77" s="264"/>
      <c r="AF77" s="264"/>
      <c r="AG77" s="267">
        <f>D77+E77+F77+G77+H77+I77+J77+K77+L77+M77+N77+O77+P77+Q77+R77+S77+T77+U77+V77+W77+X77+Y77+Z77+AA77+AB77+AC77+AD77+AE77+AF77</f>
        <v>231</v>
      </c>
    </row>
    <row r="78" spans="1:33" s="258" customFormat="1" ht="15.75" customHeight="1" x14ac:dyDescent="0.2">
      <c r="A78" s="256">
        <v>53</v>
      </c>
      <c r="B78" s="282">
        <v>58</v>
      </c>
      <c r="C78" s="263">
        <v>189581</v>
      </c>
      <c r="D78" s="264">
        <f>100-100</f>
        <v>0</v>
      </c>
      <c r="E78" s="264">
        <f>87-61-26</f>
        <v>0</v>
      </c>
      <c r="F78" s="264"/>
      <c r="G78" s="264"/>
      <c r="H78" s="264"/>
      <c r="I78" s="264"/>
      <c r="J78" s="264">
        <f>220-220</f>
        <v>0</v>
      </c>
      <c r="K78" s="264"/>
      <c r="L78" s="264"/>
      <c r="M78" s="264"/>
      <c r="N78" s="264">
        <f>30-20</f>
        <v>10</v>
      </c>
      <c r="O78" s="264">
        <f>156-95-41</f>
        <v>20</v>
      </c>
      <c r="P78" s="264">
        <f>15-7</f>
        <v>8</v>
      </c>
      <c r="Q78" s="264"/>
      <c r="R78" s="264">
        <f>9-9</f>
        <v>0</v>
      </c>
      <c r="S78" s="264"/>
      <c r="T78" s="264">
        <f>6-6</f>
        <v>0</v>
      </c>
      <c r="U78" s="264"/>
      <c r="V78" s="264"/>
      <c r="W78" s="264">
        <f>20-20</f>
        <v>0</v>
      </c>
      <c r="X78" s="264">
        <f>6-6</f>
        <v>0</v>
      </c>
      <c r="Y78" s="264"/>
      <c r="Z78" s="266"/>
      <c r="AA78" s="266"/>
      <c r="AB78" s="266"/>
      <c r="AC78" s="266"/>
      <c r="AD78" s="264"/>
      <c r="AE78" s="264"/>
      <c r="AF78" s="264">
        <v>30</v>
      </c>
      <c r="AG78" s="267">
        <f>D78+E78+F78+G78+H78+I78+J78+K78+L78+M78+N78+O78+P78+Q78+R78+S78+T78+U78+V78+W78+X78+Y78+Z78+AA78+AB78+AC78+AD78+AE78+AF78</f>
        <v>68</v>
      </c>
    </row>
    <row r="79" spans="1:33" s="258" customFormat="1" ht="15.75" customHeight="1" x14ac:dyDescent="0.2">
      <c r="A79" s="256">
        <v>54</v>
      </c>
      <c r="B79" s="282">
        <v>59</v>
      </c>
      <c r="C79" s="263">
        <v>257186</v>
      </c>
      <c r="D79" s="275">
        <f>100+146</f>
        <v>246</v>
      </c>
      <c r="E79" s="264">
        <f>5+61-1+10+10+10</f>
        <v>95</v>
      </c>
      <c r="F79" s="264"/>
      <c r="G79" s="264"/>
      <c r="H79" s="264"/>
      <c r="I79" s="273"/>
      <c r="J79" s="264">
        <v>220</v>
      </c>
      <c r="K79" s="264"/>
      <c r="L79" s="264"/>
      <c r="M79" s="273"/>
      <c r="N79" s="264"/>
      <c r="O79" s="264">
        <f>100+95-15</f>
        <v>180</v>
      </c>
      <c r="P79" s="264">
        <f>125-25</f>
        <v>100</v>
      </c>
      <c r="Q79" s="264"/>
      <c r="R79" s="264">
        <f>9-4-1-1-1-1-1</f>
        <v>0</v>
      </c>
      <c r="S79" s="264"/>
      <c r="T79" s="264"/>
      <c r="U79" s="264"/>
      <c r="V79" s="264"/>
      <c r="W79" s="264"/>
      <c r="X79" s="264"/>
      <c r="Y79" s="264"/>
      <c r="Z79" s="266"/>
      <c r="AA79" s="266"/>
      <c r="AB79" s="266"/>
      <c r="AC79" s="266"/>
      <c r="AD79" s="264"/>
      <c r="AE79" s="264"/>
      <c r="AF79" s="264"/>
      <c r="AG79" s="267">
        <f>D79+E79+F79+G79+H79+I79+J79+K79+L79+M79+N79+O79+P79+Q79+R79+S79+T79+U79+V79+W79+X79+Y79+Z79+AA79+AB79+AC79+AD79+AE79+AF79</f>
        <v>841</v>
      </c>
    </row>
    <row r="80" spans="1:33" s="258" customFormat="1" ht="15.75" customHeight="1" x14ac:dyDescent="0.2">
      <c r="A80" s="256">
        <v>55</v>
      </c>
      <c r="B80" s="282">
        <v>60</v>
      </c>
      <c r="C80" s="263">
        <v>400476</v>
      </c>
      <c r="D80" s="264">
        <f>56-56</f>
        <v>0</v>
      </c>
      <c r="E80" s="264"/>
      <c r="F80" s="264"/>
      <c r="G80" s="264"/>
      <c r="H80" s="264"/>
      <c r="I80" s="264"/>
      <c r="J80" s="264"/>
      <c r="K80" s="264"/>
      <c r="L80" s="264">
        <v>10</v>
      </c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6"/>
      <c r="AA80" s="266"/>
      <c r="AB80" s="266"/>
      <c r="AC80" s="266"/>
      <c r="AD80" s="264"/>
      <c r="AE80" s="264"/>
      <c r="AF80" s="264"/>
      <c r="AG80" s="267">
        <f>D80+E80+F80+G80+H80+I80+J80+K80+L80+M80+N80+O80+P80+Q80+R80+S80+T80+U80+V80+W80+X80+Y80+Z80+AA80+AB80+AC80+AD80+AE80+AF80</f>
        <v>10</v>
      </c>
    </row>
    <row r="81" spans="1:33" s="255" customFormat="1" ht="18.75" customHeight="1" x14ac:dyDescent="0.2">
      <c r="A81" s="253"/>
      <c r="B81" s="1026" t="s">
        <v>430</v>
      </c>
      <c r="C81" s="1027"/>
      <c r="D81" s="260">
        <f>SUM(D82:D83)</f>
        <v>135</v>
      </c>
      <c r="E81" s="260">
        <f t="shared" ref="E81:AG81" si="20">SUM(E82:E83)</f>
        <v>0</v>
      </c>
      <c r="F81" s="260">
        <f t="shared" si="20"/>
        <v>0</v>
      </c>
      <c r="G81" s="260">
        <f t="shared" si="20"/>
        <v>0</v>
      </c>
      <c r="H81" s="260">
        <f t="shared" si="20"/>
        <v>0</v>
      </c>
      <c r="I81" s="260">
        <f t="shared" si="20"/>
        <v>0</v>
      </c>
      <c r="J81" s="260">
        <f t="shared" si="20"/>
        <v>0</v>
      </c>
      <c r="K81" s="260">
        <f t="shared" si="20"/>
        <v>122</v>
      </c>
      <c r="L81" s="260">
        <f t="shared" si="20"/>
        <v>42</v>
      </c>
      <c r="M81" s="260">
        <f t="shared" si="20"/>
        <v>5</v>
      </c>
      <c r="N81" s="260">
        <f t="shared" si="20"/>
        <v>0</v>
      </c>
      <c r="O81" s="260">
        <f t="shared" si="20"/>
        <v>0</v>
      </c>
      <c r="P81" s="260">
        <f t="shared" si="20"/>
        <v>10</v>
      </c>
      <c r="Q81" s="260">
        <f t="shared" si="20"/>
        <v>0</v>
      </c>
      <c r="R81" s="260">
        <f t="shared" si="20"/>
        <v>0</v>
      </c>
      <c r="S81" s="260">
        <f t="shared" si="20"/>
        <v>0</v>
      </c>
      <c r="T81" s="260">
        <f t="shared" si="20"/>
        <v>0</v>
      </c>
      <c r="U81" s="260">
        <f t="shared" si="20"/>
        <v>0</v>
      </c>
      <c r="V81" s="260">
        <f t="shared" si="20"/>
        <v>0</v>
      </c>
      <c r="W81" s="260">
        <f t="shared" si="20"/>
        <v>0</v>
      </c>
      <c r="X81" s="260">
        <f t="shared" si="20"/>
        <v>0</v>
      </c>
      <c r="Y81" s="260">
        <f t="shared" si="20"/>
        <v>0</v>
      </c>
      <c r="Z81" s="260">
        <f t="shared" si="20"/>
        <v>0</v>
      </c>
      <c r="AA81" s="260">
        <f t="shared" si="20"/>
        <v>0</v>
      </c>
      <c r="AB81" s="260">
        <f t="shared" si="20"/>
        <v>0</v>
      </c>
      <c r="AC81" s="260">
        <f t="shared" si="20"/>
        <v>0</v>
      </c>
      <c r="AD81" s="260">
        <f t="shared" si="20"/>
        <v>41</v>
      </c>
      <c r="AE81" s="260">
        <f t="shared" si="20"/>
        <v>0</v>
      </c>
      <c r="AF81" s="260">
        <f t="shared" si="20"/>
        <v>50</v>
      </c>
      <c r="AG81" s="260">
        <f t="shared" si="20"/>
        <v>405</v>
      </c>
    </row>
    <row r="82" spans="1:33" s="258" customFormat="1" ht="18" customHeight="1" x14ac:dyDescent="0.2">
      <c r="A82" s="256">
        <v>56</v>
      </c>
      <c r="B82" s="262">
        <v>61</v>
      </c>
      <c r="C82" s="263">
        <v>113876</v>
      </c>
      <c r="D82" s="275">
        <f>104+11</f>
        <v>115</v>
      </c>
      <c r="E82" s="264"/>
      <c r="F82" s="264"/>
      <c r="G82" s="264"/>
      <c r="H82" s="264"/>
      <c r="I82" s="264"/>
      <c r="J82" s="264"/>
      <c r="K82" s="264">
        <f>131-11+2</f>
        <v>122</v>
      </c>
      <c r="L82" s="264">
        <v>42</v>
      </c>
      <c r="M82" s="264">
        <v>3</v>
      </c>
      <c r="N82" s="264"/>
      <c r="O82" s="264"/>
      <c r="P82" s="264">
        <v>10</v>
      </c>
      <c r="Q82" s="264"/>
      <c r="R82" s="264"/>
      <c r="S82" s="264"/>
      <c r="T82" s="264"/>
      <c r="U82" s="264"/>
      <c r="V82" s="264"/>
      <c r="W82" s="264"/>
      <c r="X82" s="264"/>
      <c r="Y82" s="264"/>
      <c r="Z82" s="266"/>
      <c r="AA82" s="266"/>
      <c r="AB82" s="266"/>
      <c r="AC82" s="266"/>
      <c r="AD82" s="264">
        <v>41</v>
      </c>
      <c r="AE82" s="264"/>
      <c r="AF82" s="264">
        <v>50</v>
      </c>
      <c r="AG82" s="267">
        <f>D82+E82+F82+G82+H82+I82+J82+K82+L82+M82+N82+O82+P82+Q82+R82+S82+T82+U82+V82+W82+X82+Y82+Z82+AA82+AB82+AC82+AD82+AE82+AF82</f>
        <v>383</v>
      </c>
    </row>
    <row r="83" spans="1:33" s="258" customFormat="1" ht="12.75" customHeight="1" x14ac:dyDescent="0.2">
      <c r="A83" s="256">
        <v>57</v>
      </c>
      <c r="B83" s="262">
        <v>62</v>
      </c>
      <c r="C83" s="263">
        <v>168260</v>
      </c>
      <c r="D83" s="275">
        <v>20</v>
      </c>
      <c r="E83" s="264"/>
      <c r="F83" s="264"/>
      <c r="G83" s="264"/>
      <c r="H83" s="264"/>
      <c r="I83" s="264"/>
      <c r="J83" s="264"/>
      <c r="K83" s="264"/>
      <c r="L83" s="264"/>
      <c r="M83" s="264">
        <f>3-1</f>
        <v>2</v>
      </c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6"/>
      <c r="AA83" s="266"/>
      <c r="AB83" s="266"/>
      <c r="AC83" s="266"/>
      <c r="AD83" s="264"/>
      <c r="AE83" s="264"/>
      <c r="AF83" s="264"/>
      <c r="AG83" s="267">
        <f>D83+E83+F83+G83+H83+I83+J83+K83+L83+M83+N83+O83+P83+Q83+R83+S83+T83+U83+V83+W83+X83+Y83+Z83+AA83+AB83+AC83+AD83+AE83+AF83</f>
        <v>22</v>
      </c>
    </row>
    <row r="84" spans="1:33" s="258" customFormat="1" ht="12.75" customHeight="1" x14ac:dyDescent="0.2">
      <c r="A84" s="256"/>
      <c r="B84" s="1026" t="s">
        <v>714</v>
      </c>
      <c r="C84" s="1027"/>
      <c r="D84" s="283">
        <f>SUM(D85:D86)</f>
        <v>186</v>
      </c>
      <c r="E84" s="283">
        <f t="shared" ref="E84:AG84" si="21">SUM(E85:E86)</f>
        <v>0</v>
      </c>
      <c r="F84" s="283">
        <f t="shared" si="21"/>
        <v>0</v>
      </c>
      <c r="G84" s="283">
        <f t="shared" si="21"/>
        <v>0</v>
      </c>
      <c r="H84" s="283">
        <f t="shared" si="21"/>
        <v>0</v>
      </c>
      <c r="I84" s="283">
        <f t="shared" si="21"/>
        <v>0</v>
      </c>
      <c r="J84" s="283">
        <f t="shared" si="21"/>
        <v>0</v>
      </c>
      <c r="K84" s="283">
        <f t="shared" si="21"/>
        <v>0</v>
      </c>
      <c r="L84" s="283">
        <f t="shared" si="21"/>
        <v>5</v>
      </c>
      <c r="M84" s="283">
        <f t="shared" si="21"/>
        <v>0</v>
      </c>
      <c r="N84" s="283">
        <f t="shared" si="21"/>
        <v>0</v>
      </c>
      <c r="O84" s="283">
        <f t="shared" si="21"/>
        <v>0</v>
      </c>
      <c r="P84" s="283">
        <f t="shared" si="21"/>
        <v>85</v>
      </c>
      <c r="Q84" s="283">
        <f t="shared" si="21"/>
        <v>0</v>
      </c>
      <c r="R84" s="283">
        <f t="shared" si="21"/>
        <v>0</v>
      </c>
      <c r="S84" s="283">
        <f t="shared" si="21"/>
        <v>0</v>
      </c>
      <c r="T84" s="283">
        <f t="shared" si="21"/>
        <v>0</v>
      </c>
      <c r="U84" s="283">
        <f t="shared" si="21"/>
        <v>0</v>
      </c>
      <c r="V84" s="283">
        <f t="shared" si="21"/>
        <v>0</v>
      </c>
      <c r="W84" s="283">
        <f t="shared" si="21"/>
        <v>0</v>
      </c>
      <c r="X84" s="283">
        <f t="shared" si="21"/>
        <v>0</v>
      </c>
      <c r="Y84" s="283">
        <f t="shared" si="21"/>
        <v>0</v>
      </c>
      <c r="Z84" s="284">
        <f t="shared" si="21"/>
        <v>0</v>
      </c>
      <c r="AA84" s="284">
        <f t="shared" si="21"/>
        <v>0</v>
      </c>
      <c r="AB84" s="284">
        <f t="shared" si="21"/>
        <v>0</v>
      </c>
      <c r="AC84" s="284">
        <f t="shared" si="21"/>
        <v>0</v>
      </c>
      <c r="AD84" s="283">
        <f t="shared" si="21"/>
        <v>25</v>
      </c>
      <c r="AE84" s="283">
        <f t="shared" si="21"/>
        <v>0</v>
      </c>
      <c r="AF84" s="283">
        <f t="shared" si="21"/>
        <v>0</v>
      </c>
      <c r="AG84" s="283">
        <f t="shared" si="21"/>
        <v>301</v>
      </c>
    </row>
    <row r="85" spans="1:33" s="258" customFormat="1" ht="12.75" customHeight="1" x14ac:dyDescent="0.2">
      <c r="A85" s="256">
        <v>1</v>
      </c>
      <c r="B85" s="262">
        <v>63</v>
      </c>
      <c r="C85" s="263">
        <v>197786</v>
      </c>
      <c r="D85" s="275">
        <f>138+20</f>
        <v>158</v>
      </c>
      <c r="E85" s="264"/>
      <c r="F85" s="264"/>
      <c r="G85" s="264"/>
      <c r="H85" s="264"/>
      <c r="I85" s="264"/>
      <c r="J85" s="264"/>
      <c r="K85" s="264"/>
      <c r="L85" s="264">
        <f>2+5-2</f>
        <v>5</v>
      </c>
      <c r="M85" s="264"/>
      <c r="N85" s="264"/>
      <c r="O85" s="264"/>
      <c r="P85" s="264">
        <f>70+5</f>
        <v>75</v>
      </c>
      <c r="Q85" s="264"/>
      <c r="R85" s="264"/>
      <c r="S85" s="264"/>
      <c r="T85" s="264"/>
      <c r="U85" s="264"/>
      <c r="V85" s="264"/>
      <c r="W85" s="264"/>
      <c r="X85" s="264"/>
      <c r="Y85" s="264"/>
      <c r="Z85" s="266"/>
      <c r="AA85" s="266"/>
      <c r="AB85" s="266"/>
      <c r="AC85" s="266"/>
      <c r="AD85" s="264">
        <v>25</v>
      </c>
      <c r="AE85" s="264"/>
      <c r="AF85" s="264"/>
      <c r="AG85" s="267">
        <f>D85+E85+F85+G85+H85+I85+J85+K85+L85+M85+N85+O85+P85+Q85+R85+S85+T85+U85+V85+W85+X85+Y85+Z85+AA85+AB85+AC85+AD85+AE85+AF85</f>
        <v>263</v>
      </c>
    </row>
    <row r="86" spans="1:33" s="258" customFormat="1" ht="12.75" customHeight="1" x14ac:dyDescent="0.2">
      <c r="A86" s="256">
        <v>2</v>
      </c>
      <c r="B86" s="262">
        <v>64</v>
      </c>
      <c r="C86" s="263">
        <v>214839</v>
      </c>
      <c r="D86" s="275">
        <f>25+3</f>
        <v>28</v>
      </c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>
        <f>3+3+4</f>
        <v>10</v>
      </c>
      <c r="Q86" s="264"/>
      <c r="R86" s="264"/>
      <c r="S86" s="264"/>
      <c r="T86" s="264"/>
      <c r="U86" s="264"/>
      <c r="V86" s="264"/>
      <c r="W86" s="264"/>
      <c r="X86" s="264"/>
      <c r="Y86" s="264"/>
      <c r="Z86" s="266"/>
      <c r="AA86" s="266"/>
      <c r="AB86" s="266"/>
      <c r="AC86" s="266"/>
      <c r="AD86" s="264"/>
      <c r="AE86" s="264"/>
      <c r="AF86" s="264"/>
      <c r="AG86" s="267">
        <f>D86+E86+F86+G86+H86+I86+J86+K86+L86+M86+N86+O86+P86+Q86+R86+S86+T86+U86+V86+W86+X86+Y86+Z86+AA86+AB86+AC86+AD86+AE86+AF86</f>
        <v>38</v>
      </c>
    </row>
    <row r="87" spans="1:33" s="255" customFormat="1" ht="24.75" customHeight="1" x14ac:dyDescent="0.2">
      <c r="A87" s="253"/>
      <c r="B87" s="1026" t="s">
        <v>431</v>
      </c>
      <c r="C87" s="1027"/>
      <c r="D87" s="260">
        <f t="shared" ref="D87:AG87" si="22">D88</f>
        <v>0</v>
      </c>
      <c r="E87" s="260">
        <f t="shared" si="22"/>
        <v>0</v>
      </c>
      <c r="F87" s="260">
        <f t="shared" si="22"/>
        <v>0</v>
      </c>
      <c r="G87" s="260">
        <f t="shared" si="22"/>
        <v>0</v>
      </c>
      <c r="H87" s="260">
        <f t="shared" si="22"/>
        <v>0</v>
      </c>
      <c r="I87" s="260">
        <f t="shared" si="22"/>
        <v>0</v>
      </c>
      <c r="J87" s="260">
        <f t="shared" si="22"/>
        <v>0</v>
      </c>
      <c r="K87" s="260">
        <f t="shared" si="22"/>
        <v>62</v>
      </c>
      <c r="L87" s="260">
        <f t="shared" si="22"/>
        <v>0</v>
      </c>
      <c r="M87" s="260">
        <f t="shared" si="22"/>
        <v>0</v>
      </c>
      <c r="N87" s="260">
        <f t="shared" si="22"/>
        <v>0</v>
      </c>
      <c r="O87" s="260">
        <f t="shared" si="22"/>
        <v>0</v>
      </c>
      <c r="P87" s="260">
        <f t="shared" si="22"/>
        <v>85</v>
      </c>
      <c r="Q87" s="260">
        <f t="shared" si="22"/>
        <v>0</v>
      </c>
      <c r="R87" s="260">
        <f t="shared" si="22"/>
        <v>0</v>
      </c>
      <c r="S87" s="260">
        <f t="shared" si="22"/>
        <v>0</v>
      </c>
      <c r="T87" s="260">
        <f t="shared" si="22"/>
        <v>20</v>
      </c>
      <c r="U87" s="260">
        <f t="shared" si="22"/>
        <v>0</v>
      </c>
      <c r="V87" s="260">
        <f t="shared" si="22"/>
        <v>0</v>
      </c>
      <c r="W87" s="260">
        <f t="shared" si="22"/>
        <v>0</v>
      </c>
      <c r="X87" s="260">
        <f t="shared" si="22"/>
        <v>0</v>
      </c>
      <c r="Y87" s="260">
        <f t="shared" si="22"/>
        <v>0</v>
      </c>
      <c r="Z87" s="260">
        <f t="shared" si="22"/>
        <v>0</v>
      </c>
      <c r="AA87" s="260">
        <f t="shared" si="22"/>
        <v>0</v>
      </c>
      <c r="AB87" s="260">
        <f t="shared" si="22"/>
        <v>0</v>
      </c>
      <c r="AC87" s="260">
        <f t="shared" si="22"/>
        <v>0</v>
      </c>
      <c r="AD87" s="260">
        <f t="shared" si="22"/>
        <v>0</v>
      </c>
      <c r="AE87" s="260">
        <f t="shared" si="22"/>
        <v>0</v>
      </c>
      <c r="AF87" s="260">
        <f t="shared" si="22"/>
        <v>0</v>
      </c>
      <c r="AG87" s="260">
        <f t="shared" si="22"/>
        <v>167</v>
      </c>
    </row>
    <row r="88" spans="1:33" s="258" customFormat="1" ht="16.5" customHeight="1" x14ac:dyDescent="0.2">
      <c r="A88" s="256">
        <v>58</v>
      </c>
      <c r="B88" s="262">
        <v>65</v>
      </c>
      <c r="C88" s="263">
        <v>148891</v>
      </c>
      <c r="D88" s="264"/>
      <c r="E88" s="264"/>
      <c r="F88" s="264"/>
      <c r="G88" s="264"/>
      <c r="H88" s="264"/>
      <c r="I88" s="264"/>
      <c r="J88" s="264"/>
      <c r="K88" s="264">
        <f>60+3-1</f>
        <v>62</v>
      </c>
      <c r="L88" s="264"/>
      <c r="M88" s="264"/>
      <c r="N88" s="264"/>
      <c r="O88" s="264"/>
      <c r="P88" s="264">
        <f>51+13+11+10</f>
        <v>85</v>
      </c>
      <c r="Q88" s="264"/>
      <c r="R88" s="264"/>
      <c r="S88" s="264"/>
      <c r="T88" s="264">
        <f>13+7</f>
        <v>20</v>
      </c>
      <c r="U88" s="264"/>
      <c r="V88" s="264"/>
      <c r="W88" s="264"/>
      <c r="X88" s="264"/>
      <c r="Y88" s="264"/>
      <c r="Z88" s="266"/>
      <c r="AA88" s="266"/>
      <c r="AB88" s="266"/>
      <c r="AC88" s="266"/>
      <c r="AD88" s="264"/>
      <c r="AE88" s="264"/>
      <c r="AF88" s="264"/>
      <c r="AG88" s="267">
        <f>D88+E88+F88+G88+H88+I88+J88+K88+L88+M88+N88+O88+P88+Q88+R88+S88+T88+U88+V88+W88+X88+Y88+Z88+AA88+AB88+AC88+AD88+AE88+AF88</f>
        <v>167</v>
      </c>
    </row>
    <row r="89" spans="1:33" s="255" customFormat="1" ht="18.75" customHeight="1" x14ac:dyDescent="0.2">
      <c r="A89" s="253"/>
      <c r="B89" s="1026" t="s">
        <v>432</v>
      </c>
      <c r="C89" s="1027"/>
      <c r="D89" s="260">
        <f t="shared" ref="D89:AG89" si="23">D90+D91</f>
        <v>10</v>
      </c>
      <c r="E89" s="260">
        <f t="shared" si="23"/>
        <v>0</v>
      </c>
      <c r="F89" s="260">
        <f t="shared" si="23"/>
        <v>0</v>
      </c>
      <c r="G89" s="260">
        <f t="shared" si="23"/>
        <v>0</v>
      </c>
      <c r="H89" s="260">
        <f t="shared" si="23"/>
        <v>0</v>
      </c>
      <c r="I89" s="260">
        <f t="shared" si="23"/>
        <v>0</v>
      </c>
      <c r="J89" s="260">
        <f t="shared" si="23"/>
        <v>0</v>
      </c>
      <c r="K89" s="260">
        <f t="shared" si="23"/>
        <v>80</v>
      </c>
      <c r="L89" s="260">
        <f t="shared" si="23"/>
        <v>0</v>
      </c>
      <c r="M89" s="260">
        <f t="shared" si="23"/>
        <v>0</v>
      </c>
      <c r="N89" s="260">
        <f t="shared" si="23"/>
        <v>0</v>
      </c>
      <c r="O89" s="260">
        <f t="shared" si="23"/>
        <v>0</v>
      </c>
      <c r="P89" s="260">
        <f t="shared" si="23"/>
        <v>10</v>
      </c>
      <c r="Q89" s="260">
        <f t="shared" si="23"/>
        <v>0</v>
      </c>
      <c r="R89" s="260">
        <f t="shared" si="23"/>
        <v>0</v>
      </c>
      <c r="S89" s="260">
        <f t="shared" si="23"/>
        <v>0</v>
      </c>
      <c r="T89" s="260">
        <f t="shared" si="23"/>
        <v>0</v>
      </c>
      <c r="U89" s="260">
        <f t="shared" si="23"/>
        <v>0</v>
      </c>
      <c r="V89" s="260">
        <f t="shared" si="23"/>
        <v>0</v>
      </c>
      <c r="W89" s="260">
        <f t="shared" si="23"/>
        <v>0</v>
      </c>
      <c r="X89" s="260">
        <f t="shared" si="23"/>
        <v>0</v>
      </c>
      <c r="Y89" s="260">
        <f t="shared" si="23"/>
        <v>0</v>
      </c>
      <c r="Z89" s="260">
        <f t="shared" si="23"/>
        <v>0</v>
      </c>
      <c r="AA89" s="260">
        <f t="shared" si="23"/>
        <v>0</v>
      </c>
      <c r="AB89" s="260">
        <f t="shared" si="23"/>
        <v>0</v>
      </c>
      <c r="AC89" s="260">
        <f t="shared" si="23"/>
        <v>0</v>
      </c>
      <c r="AD89" s="260">
        <f t="shared" si="23"/>
        <v>0</v>
      </c>
      <c r="AE89" s="260">
        <f t="shared" si="23"/>
        <v>0</v>
      </c>
      <c r="AF89" s="260">
        <f t="shared" si="23"/>
        <v>0</v>
      </c>
      <c r="AG89" s="260">
        <f t="shared" si="23"/>
        <v>100</v>
      </c>
    </row>
    <row r="90" spans="1:33" s="258" customFormat="1" ht="15.75" customHeight="1" x14ac:dyDescent="0.2">
      <c r="A90" s="256">
        <v>59</v>
      </c>
      <c r="B90" s="262">
        <v>66</v>
      </c>
      <c r="C90" s="263">
        <v>220834</v>
      </c>
      <c r="D90" s="264">
        <v>10</v>
      </c>
      <c r="E90" s="264"/>
      <c r="F90" s="264"/>
      <c r="G90" s="264"/>
      <c r="H90" s="264"/>
      <c r="I90" s="264"/>
      <c r="J90" s="264"/>
      <c r="K90" s="264">
        <v>80</v>
      </c>
      <c r="L90" s="264"/>
      <c r="M90" s="264"/>
      <c r="N90" s="264"/>
      <c r="O90" s="264"/>
      <c r="P90" s="264">
        <v>10</v>
      </c>
      <c r="Q90" s="264"/>
      <c r="R90" s="264"/>
      <c r="S90" s="264"/>
      <c r="T90" s="264"/>
      <c r="U90" s="264"/>
      <c r="V90" s="264"/>
      <c r="W90" s="264"/>
      <c r="X90" s="264"/>
      <c r="Y90" s="264"/>
      <c r="Z90" s="266"/>
      <c r="AA90" s="266"/>
      <c r="AB90" s="266"/>
      <c r="AC90" s="266"/>
      <c r="AD90" s="264"/>
      <c r="AE90" s="264"/>
      <c r="AF90" s="264"/>
      <c r="AG90" s="267">
        <f>D90+E90+F90+G90+H90+I90+J90+K90+L90+M90+N90+O90+P90+Q90+R90+S90+T90+U90+V90+W90+X90+Y90+Z90+AA90+AB90+AC90+AD90+AE90+AF90</f>
        <v>100</v>
      </c>
    </row>
    <row r="91" spans="1:33" s="258" customFormat="1" ht="17.25" customHeight="1" x14ac:dyDescent="0.2">
      <c r="A91" s="256">
        <v>60</v>
      </c>
      <c r="B91" s="262">
        <v>67</v>
      </c>
      <c r="C91" s="263">
        <v>123613</v>
      </c>
      <c r="D91" s="264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6"/>
      <c r="AA91" s="266"/>
      <c r="AB91" s="266"/>
      <c r="AC91" s="266"/>
      <c r="AD91" s="264"/>
      <c r="AE91" s="264"/>
      <c r="AF91" s="264"/>
      <c r="AG91" s="267">
        <f>D91+E91+F91+G91+H91+I91+J91+K91+L91+M91+N91+O91+P91+Q91+R91+S91+T91+U91+V91+W91+X91+Y91+Z91+AA91+AB91+AC91+AD91+AE91+AF91</f>
        <v>0</v>
      </c>
    </row>
    <row r="92" spans="1:33" s="255" customFormat="1" ht="18.75" customHeight="1" x14ac:dyDescent="0.2">
      <c r="A92" s="253"/>
      <c r="B92" s="1031" t="s">
        <v>6</v>
      </c>
      <c r="C92" s="1032"/>
      <c r="D92" s="285">
        <f>D5+D8+D10+D13+D15+D17+D20+D27+D30+D38+D42+D52+D54+D72+D75+D81+D84+D87+D89+D46</f>
        <v>2904</v>
      </c>
      <c r="E92" s="285">
        <f t="shared" ref="E92:AG92" si="24">E5+E8+E10+E13+E15+E17+E20+E27+E30+E38+E42+E52+E54+E72+E75+E81+E84+E87+E89+E46</f>
        <v>1118</v>
      </c>
      <c r="F92" s="285">
        <f t="shared" si="24"/>
        <v>871</v>
      </c>
      <c r="G92" s="285">
        <f t="shared" si="24"/>
        <v>3806</v>
      </c>
      <c r="H92" s="285">
        <f t="shared" si="24"/>
        <v>1688</v>
      </c>
      <c r="I92" s="285">
        <f t="shared" si="24"/>
        <v>49</v>
      </c>
      <c r="J92" s="285">
        <f t="shared" si="24"/>
        <v>260</v>
      </c>
      <c r="K92" s="285">
        <f t="shared" si="24"/>
        <v>1103</v>
      </c>
      <c r="L92" s="285">
        <f t="shared" si="24"/>
        <v>401</v>
      </c>
      <c r="M92" s="285">
        <f t="shared" si="24"/>
        <v>1255</v>
      </c>
      <c r="N92" s="285">
        <f t="shared" si="24"/>
        <v>369</v>
      </c>
      <c r="O92" s="285">
        <f t="shared" si="24"/>
        <v>786</v>
      </c>
      <c r="P92" s="285">
        <f t="shared" si="24"/>
        <v>1188</v>
      </c>
      <c r="Q92" s="285">
        <f t="shared" si="24"/>
        <v>120</v>
      </c>
      <c r="R92" s="285">
        <f t="shared" si="24"/>
        <v>193</v>
      </c>
      <c r="S92" s="285">
        <f t="shared" si="24"/>
        <v>467</v>
      </c>
      <c r="T92" s="285">
        <f t="shared" si="24"/>
        <v>1219</v>
      </c>
      <c r="U92" s="285">
        <f t="shared" si="24"/>
        <v>124</v>
      </c>
      <c r="V92" s="285">
        <f t="shared" si="24"/>
        <v>285</v>
      </c>
      <c r="W92" s="285">
        <f t="shared" si="24"/>
        <v>203</v>
      </c>
      <c r="X92" s="285">
        <f t="shared" si="24"/>
        <v>12</v>
      </c>
      <c r="Y92" s="285">
        <f t="shared" si="24"/>
        <v>136</v>
      </c>
      <c r="Z92" s="285">
        <f t="shared" si="24"/>
        <v>121</v>
      </c>
      <c r="AA92" s="285">
        <f t="shared" si="24"/>
        <v>0</v>
      </c>
      <c r="AB92" s="285">
        <f t="shared" si="24"/>
        <v>94</v>
      </c>
      <c r="AC92" s="285">
        <f t="shared" si="24"/>
        <v>90</v>
      </c>
      <c r="AD92" s="285">
        <f t="shared" si="24"/>
        <v>313</v>
      </c>
      <c r="AE92" s="285">
        <f t="shared" si="24"/>
        <v>487</v>
      </c>
      <c r="AF92" s="285">
        <f t="shared" si="24"/>
        <v>147</v>
      </c>
      <c r="AG92" s="285">
        <f t="shared" si="24"/>
        <v>19809</v>
      </c>
    </row>
    <row r="93" spans="1:33" x14ac:dyDescent="0.2">
      <c r="C93" s="986"/>
      <c r="E93" s="987"/>
      <c r="F93" s="987"/>
      <c r="G93" s="987"/>
      <c r="H93" s="987"/>
      <c r="I93" s="987"/>
      <c r="J93" s="987"/>
      <c r="K93" s="987"/>
      <c r="L93" s="987"/>
      <c r="M93" s="987"/>
      <c r="N93" s="988"/>
      <c r="O93" s="987"/>
      <c r="P93" s="987"/>
      <c r="Q93" s="987"/>
      <c r="R93" s="987"/>
      <c r="S93" s="987"/>
      <c r="T93" s="988"/>
      <c r="U93" s="987"/>
      <c r="V93" s="987"/>
      <c r="W93" s="987"/>
      <c r="X93" s="987"/>
      <c r="Y93" s="987"/>
      <c r="Z93" s="988"/>
      <c r="AA93" s="988"/>
      <c r="AB93" s="987"/>
      <c r="AC93" s="988"/>
      <c r="AD93" s="988"/>
      <c r="AE93" s="987"/>
      <c r="AF93" s="987"/>
      <c r="AG93" s="987"/>
    </row>
    <row r="94" spans="1:33" ht="12" customHeight="1" x14ac:dyDescent="0.2">
      <c r="C94" s="986"/>
      <c r="D94" s="989"/>
      <c r="E94" s="990"/>
      <c r="F94" s="990"/>
      <c r="G94" s="990"/>
      <c r="H94" s="990"/>
      <c r="I94" s="991"/>
      <c r="J94" s="990"/>
      <c r="K94" s="990"/>
      <c r="L94" s="990"/>
      <c r="M94" s="991"/>
      <c r="N94" s="990"/>
      <c r="O94" s="992"/>
      <c r="P94" s="993"/>
      <c r="Q94" s="991"/>
      <c r="R94" s="990"/>
      <c r="S94" s="990"/>
      <c r="T94" s="990"/>
      <c r="U94" s="990"/>
      <c r="V94" s="992"/>
      <c r="W94" s="992"/>
      <c r="X94" s="992"/>
      <c r="Y94" s="992"/>
      <c r="Z94" s="994"/>
      <c r="AA94" s="994"/>
      <c r="AB94" s="992"/>
      <c r="AC94" s="994"/>
      <c r="AD94" s="990"/>
      <c r="AE94" s="990"/>
      <c r="AF94" s="992"/>
      <c r="AG94" s="992"/>
    </row>
    <row r="95" spans="1:33" s="987" customFormat="1" ht="12" customHeight="1" x14ac:dyDescent="0.2">
      <c r="A95" s="995"/>
      <c r="B95" s="996"/>
      <c r="D95" s="997"/>
      <c r="E95" s="997"/>
      <c r="F95" s="997"/>
      <c r="G95" s="997"/>
      <c r="H95" s="997"/>
      <c r="I95" s="998"/>
      <c r="J95" s="997"/>
      <c r="K95" s="997"/>
      <c r="L95" s="997"/>
      <c r="M95" s="998"/>
      <c r="N95" s="997"/>
      <c r="O95" s="999"/>
      <c r="P95" s="1000"/>
      <c r="Q95" s="998"/>
      <c r="R95" s="997"/>
      <c r="S95" s="997"/>
      <c r="T95" s="997"/>
      <c r="U95" s="997"/>
      <c r="V95" s="999"/>
      <c r="W95" s="999"/>
      <c r="X95" s="999"/>
      <c r="Y95" s="999"/>
      <c r="Z95" s="1001"/>
      <c r="AA95" s="1001"/>
      <c r="AB95" s="999"/>
      <c r="AC95" s="1001"/>
      <c r="AD95" s="997"/>
      <c r="AE95" s="997"/>
      <c r="AF95" s="999"/>
      <c r="AG95" s="999"/>
    </row>
    <row r="96" spans="1:33" s="987" customFormat="1" ht="12" customHeight="1" x14ac:dyDescent="0.2">
      <c r="A96" s="995"/>
      <c r="B96" s="996"/>
      <c r="D96" s="997"/>
      <c r="E96" s="997"/>
      <c r="F96" s="997"/>
      <c r="G96" s="997"/>
      <c r="H96" s="997"/>
      <c r="I96" s="998"/>
      <c r="J96" s="997"/>
      <c r="K96" s="997"/>
      <c r="L96" s="997"/>
      <c r="M96" s="998"/>
      <c r="N96" s="997"/>
      <c r="O96" s="999"/>
      <c r="P96" s="1000"/>
      <c r="Q96" s="998"/>
      <c r="R96" s="997"/>
      <c r="S96" s="997"/>
      <c r="T96" s="997"/>
      <c r="U96" s="997"/>
      <c r="V96" s="999"/>
      <c r="W96" s="999"/>
      <c r="X96" s="999"/>
      <c r="Y96" s="999"/>
      <c r="Z96" s="1001"/>
      <c r="AA96" s="1001"/>
      <c r="AB96" s="999"/>
      <c r="AC96" s="1001"/>
      <c r="AD96" s="997"/>
      <c r="AE96" s="997"/>
      <c r="AF96" s="999"/>
      <c r="AG96" s="999"/>
    </row>
    <row r="97" spans="1:33" s="998" customFormat="1" ht="21.75" customHeight="1" x14ac:dyDescent="0.25">
      <c r="A97" s="1000"/>
      <c r="B97" s="1002"/>
      <c r="C97" s="1002"/>
      <c r="D97" s="1003"/>
      <c r="E97" s="1003"/>
      <c r="F97" s="1003"/>
      <c r="G97" s="1003"/>
      <c r="H97" s="1003"/>
      <c r="I97" s="1004"/>
      <c r="J97" s="1003"/>
      <c r="K97" s="1005"/>
      <c r="L97" s="1005"/>
      <c r="M97" s="1006"/>
      <c r="N97" s="1005"/>
      <c r="O97" s="1006"/>
      <c r="P97" s="1007"/>
      <c r="Q97" s="1006"/>
      <c r="R97" s="1005"/>
      <c r="S97" s="1005"/>
      <c r="T97" s="1005"/>
      <c r="U97" s="1005"/>
      <c r="V97" s="1006"/>
      <c r="W97" s="1006"/>
      <c r="X97" s="1006"/>
      <c r="Y97" s="1006"/>
      <c r="Z97" s="1005"/>
      <c r="AA97" s="1005"/>
      <c r="AB97" s="1008"/>
      <c r="AC97" s="1005"/>
      <c r="AD97" s="1005"/>
      <c r="AE97" s="1005"/>
      <c r="AF97" s="1008"/>
      <c r="AG97" s="1006"/>
    </row>
    <row r="98" spans="1:33" s="998" customFormat="1" ht="15.75" x14ac:dyDescent="0.25">
      <c r="A98" s="1000"/>
      <c r="B98" s="1009"/>
      <c r="C98" s="1004"/>
      <c r="D98" s="1003"/>
      <c r="E98" s="1003"/>
      <c r="F98" s="1003"/>
      <c r="G98" s="1003"/>
      <c r="H98" s="1003"/>
      <c r="I98" s="1004"/>
      <c r="J98" s="1003"/>
      <c r="K98" s="997"/>
      <c r="L98" s="997"/>
      <c r="N98" s="997"/>
      <c r="P98" s="1000"/>
      <c r="R98" s="997"/>
      <c r="S98" s="997"/>
      <c r="T98" s="997"/>
      <c r="U98" s="997"/>
      <c r="Z98" s="997"/>
      <c r="AA98" s="997"/>
      <c r="AC98" s="997"/>
      <c r="AD98" s="997"/>
      <c r="AE98" s="997"/>
    </row>
    <row r="99" spans="1:33" s="291" customFormat="1" ht="15.75" x14ac:dyDescent="0.25">
      <c r="A99" s="286"/>
      <c r="B99" s="287"/>
      <c r="C99" s="288"/>
      <c r="D99" s="289"/>
      <c r="E99" s="289"/>
      <c r="F99" s="289"/>
      <c r="G99" s="289"/>
      <c r="H99" s="289"/>
      <c r="I99" s="288"/>
      <c r="J99" s="289"/>
      <c r="K99" s="290"/>
      <c r="L99" s="290"/>
      <c r="N99" s="290"/>
      <c r="P99" s="286"/>
      <c r="R99" s="290"/>
      <c r="S99" s="290"/>
      <c r="T99" s="290"/>
      <c r="U99" s="290"/>
      <c r="Z99" s="290"/>
      <c r="AA99" s="290"/>
      <c r="AC99" s="290"/>
      <c r="AD99" s="290"/>
      <c r="AE99" s="290"/>
    </row>
    <row r="100" spans="1:33" s="291" customFormat="1" ht="15.75" x14ac:dyDescent="0.25">
      <c r="A100" s="286"/>
      <c r="B100" s="287"/>
      <c r="C100" s="288"/>
      <c r="D100" s="289"/>
      <c r="E100" s="289"/>
      <c r="F100" s="289"/>
      <c r="G100" s="289"/>
      <c r="H100" s="289"/>
      <c r="I100" s="288"/>
      <c r="J100" s="289"/>
      <c r="K100" s="290"/>
      <c r="L100" s="290"/>
      <c r="N100" s="290"/>
      <c r="P100" s="286"/>
      <c r="R100" s="290"/>
      <c r="S100" s="290"/>
      <c r="T100" s="290"/>
      <c r="U100" s="290"/>
      <c r="Z100" s="290"/>
      <c r="AA100" s="290"/>
      <c r="AC100" s="290"/>
      <c r="AD100" s="290"/>
      <c r="AE100" s="290"/>
    </row>
    <row r="101" spans="1:33" s="291" customFormat="1" ht="15.75" x14ac:dyDescent="0.25">
      <c r="A101" s="286"/>
      <c r="B101" s="287"/>
      <c r="C101" s="288"/>
      <c r="D101" s="289"/>
      <c r="E101" s="289"/>
      <c r="F101" s="289"/>
      <c r="G101" s="289"/>
      <c r="H101" s="289"/>
      <c r="I101" s="288"/>
      <c r="J101" s="289"/>
      <c r="K101" s="290"/>
      <c r="L101" s="290"/>
      <c r="N101" s="290"/>
      <c r="P101" s="286"/>
      <c r="R101" s="290"/>
      <c r="S101" s="290"/>
      <c r="T101" s="290"/>
      <c r="U101" s="290"/>
      <c r="Z101" s="290"/>
      <c r="AA101" s="290"/>
      <c r="AC101" s="290"/>
      <c r="AD101" s="290"/>
      <c r="AE101" s="290"/>
    </row>
    <row r="102" spans="1:33" s="291" customFormat="1" ht="15.75" x14ac:dyDescent="0.25">
      <c r="A102" s="286"/>
      <c r="B102" s="287"/>
      <c r="C102" s="288"/>
      <c r="D102" s="289"/>
      <c r="E102" s="289"/>
      <c r="F102" s="289"/>
      <c r="G102" s="289"/>
      <c r="H102" s="289"/>
      <c r="I102" s="288"/>
      <c r="J102" s="289"/>
      <c r="K102" s="290"/>
      <c r="L102" s="290"/>
      <c r="N102" s="290"/>
      <c r="P102" s="286"/>
      <c r="R102" s="290"/>
      <c r="S102" s="290"/>
      <c r="T102" s="290"/>
      <c r="U102" s="290"/>
      <c r="Z102" s="290"/>
      <c r="AA102" s="290"/>
      <c r="AC102" s="290"/>
      <c r="AD102" s="290"/>
      <c r="AE102" s="290"/>
    </row>
    <row r="103" spans="1:33" ht="15.75" x14ac:dyDescent="0.25">
      <c r="B103" s="287"/>
      <c r="C103" s="292"/>
      <c r="D103" s="289"/>
      <c r="E103" s="289"/>
      <c r="F103" s="289"/>
      <c r="G103" s="289"/>
      <c r="H103" s="289"/>
      <c r="I103" s="288"/>
      <c r="J103" s="289"/>
    </row>
    <row r="104" spans="1:33" ht="15.75" x14ac:dyDescent="0.25">
      <c r="B104" s="287"/>
      <c r="C104" s="292"/>
      <c r="D104" s="289"/>
      <c r="E104" s="289"/>
      <c r="F104" s="289"/>
      <c r="G104" s="289"/>
      <c r="H104" s="289"/>
      <c r="I104" s="288"/>
      <c r="J104" s="289"/>
    </row>
  </sheetData>
  <autoFilter ref="A4:AI92" xr:uid="{00000000-0009-0000-0000-000001000000}"/>
  <mergeCells count="24">
    <mergeCell ref="B84:C84"/>
    <mergeCell ref="B87:C87"/>
    <mergeCell ref="B89:C89"/>
    <mergeCell ref="B92:C92"/>
    <mergeCell ref="B30:C30"/>
    <mergeCell ref="B38:C38"/>
    <mergeCell ref="B42:C42"/>
    <mergeCell ref="B46:C46"/>
    <mergeCell ref="B52:C52"/>
    <mergeCell ref="B75:C75"/>
    <mergeCell ref="B81:C81"/>
    <mergeCell ref="B54:C54"/>
    <mergeCell ref="B72:C72"/>
    <mergeCell ref="B17:C17"/>
    <mergeCell ref="B20:C20"/>
    <mergeCell ref="B27:C27"/>
    <mergeCell ref="B1:P1"/>
    <mergeCell ref="B2:B3"/>
    <mergeCell ref="C2:C3"/>
    <mergeCell ref="B13:C13"/>
    <mergeCell ref="B15:C15"/>
    <mergeCell ref="B5:C5"/>
    <mergeCell ref="B8:C8"/>
    <mergeCell ref="B10:C10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55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1" sqref="A11"/>
      <selection pane="bottomRight" activeCell="O157" sqref="O157"/>
    </sheetView>
  </sheetViews>
  <sheetFormatPr defaultRowHeight="12" x14ac:dyDescent="0.25"/>
  <cols>
    <col min="1" max="1" width="6.28515625" style="90" customWidth="1"/>
    <col min="2" max="2" width="9.5703125" style="90" customWidth="1"/>
    <col min="3" max="3" width="29.42578125" style="91" customWidth="1"/>
    <col min="4" max="4" width="12.42578125" style="92" customWidth="1"/>
    <col min="5" max="5" width="11.42578125" style="92" customWidth="1"/>
    <col min="6" max="6" width="12.28515625" style="92" customWidth="1"/>
    <col min="7" max="7" width="11.42578125" style="92" customWidth="1"/>
    <col min="8" max="8" width="14.140625" style="532" customWidth="1"/>
    <col min="9" max="9" width="11.42578125" style="532" customWidth="1"/>
    <col min="10" max="10" width="10.140625" style="532" customWidth="1"/>
    <col min="11" max="12" width="10.28515625" style="92" customWidth="1"/>
    <col min="13" max="13" width="10.85546875" style="92" customWidth="1"/>
    <col min="14" max="14" width="11.42578125" style="532" customWidth="1"/>
    <col min="15" max="16384" width="9.140625" style="90"/>
  </cols>
  <sheetData>
    <row r="1" spans="1:16" ht="15.75" x14ac:dyDescent="0.25">
      <c r="A1" s="1245" t="s">
        <v>803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  <c r="L1" s="1263"/>
      <c r="M1" s="1263"/>
      <c r="N1" s="1263"/>
    </row>
    <row r="2" spans="1:16" ht="12.75" thickBot="1" x14ac:dyDescent="0.3"/>
    <row r="3" spans="1:16" s="533" customFormat="1" ht="17.25" customHeight="1" x14ac:dyDescent="0.25">
      <c r="A3" s="1264" t="s">
        <v>0</v>
      </c>
      <c r="B3" s="1267" t="s">
        <v>597</v>
      </c>
      <c r="C3" s="1270" t="s">
        <v>292</v>
      </c>
      <c r="D3" s="1273" t="s">
        <v>606</v>
      </c>
      <c r="E3" s="1274"/>
      <c r="F3" s="1274"/>
      <c r="G3" s="1274"/>
      <c r="H3" s="1274"/>
      <c r="I3" s="1274"/>
      <c r="J3" s="1275"/>
      <c r="K3" s="1276" t="s">
        <v>607</v>
      </c>
      <c r="L3" s="1276"/>
      <c r="M3" s="1274"/>
      <c r="N3" s="1277"/>
    </row>
    <row r="4" spans="1:16" s="534" customFormat="1" ht="34.5" customHeight="1" x14ac:dyDescent="0.25">
      <c r="A4" s="1265"/>
      <c r="B4" s="1268"/>
      <c r="C4" s="1271"/>
      <c r="D4" s="1278" t="s">
        <v>608</v>
      </c>
      <c r="E4" s="1279"/>
      <c r="F4" s="1279" t="s">
        <v>609</v>
      </c>
      <c r="G4" s="1279"/>
      <c r="H4" s="1280" t="s">
        <v>804</v>
      </c>
      <c r="I4" s="1280"/>
      <c r="J4" s="1281"/>
      <c r="K4" s="709" t="s">
        <v>805</v>
      </c>
      <c r="L4" s="709" t="s">
        <v>806</v>
      </c>
      <c r="M4" s="707" t="s">
        <v>807</v>
      </c>
      <c r="N4" s="605" t="s">
        <v>6</v>
      </c>
    </row>
    <row r="5" spans="1:16" s="534" customFormat="1" ht="110.25" customHeight="1" x14ac:dyDescent="0.25">
      <c r="A5" s="1266"/>
      <c r="B5" s="1269"/>
      <c r="C5" s="1272"/>
      <c r="D5" s="706" t="s">
        <v>610</v>
      </c>
      <c r="E5" s="707" t="s">
        <v>611</v>
      </c>
      <c r="F5" s="707" t="s">
        <v>610</v>
      </c>
      <c r="G5" s="707" t="s">
        <v>611</v>
      </c>
      <c r="H5" s="708" t="s">
        <v>610</v>
      </c>
      <c r="I5" s="708" t="s">
        <v>611</v>
      </c>
      <c r="J5" s="605" t="s">
        <v>612</v>
      </c>
      <c r="K5" s="1282" t="s">
        <v>808</v>
      </c>
      <c r="L5" s="1282"/>
      <c r="M5" s="1283"/>
      <c r="N5" s="1281"/>
    </row>
    <row r="6" spans="1:16" s="534" customFormat="1" ht="12.75" customHeight="1" thickBot="1" x14ac:dyDescent="0.3">
      <c r="A6" s="606">
        <v>1</v>
      </c>
      <c r="B6" s="607">
        <v>2</v>
      </c>
      <c r="C6" s="608">
        <v>3</v>
      </c>
      <c r="D6" s="609">
        <v>4</v>
      </c>
      <c r="E6" s="226">
        <v>5</v>
      </c>
      <c r="F6" s="226">
        <v>6</v>
      </c>
      <c r="G6" s="226">
        <v>7</v>
      </c>
      <c r="H6" s="226">
        <v>8</v>
      </c>
      <c r="I6" s="226">
        <v>9</v>
      </c>
      <c r="J6" s="610">
        <v>10</v>
      </c>
      <c r="K6" s="611">
        <v>11</v>
      </c>
      <c r="L6" s="611">
        <v>12</v>
      </c>
      <c r="M6" s="612">
        <v>13</v>
      </c>
      <c r="N6" s="613">
        <v>14</v>
      </c>
    </row>
    <row r="7" spans="1:16" ht="14.25" customHeight="1" x14ac:dyDescent="0.25">
      <c r="A7" s="1287" t="s">
        <v>6</v>
      </c>
      <c r="B7" s="1288"/>
      <c r="C7" s="1289"/>
      <c r="D7" s="614">
        <f>SUM(D8:D10)</f>
        <v>73687</v>
      </c>
      <c r="E7" s="615">
        <f t="shared" ref="E7:N7" si="0">SUM(E8:E10)</f>
        <v>11364</v>
      </c>
      <c r="F7" s="615">
        <f t="shared" si="0"/>
        <v>73655</v>
      </c>
      <c r="G7" s="615">
        <f t="shared" si="0"/>
        <v>11359</v>
      </c>
      <c r="H7" s="615">
        <f t="shared" si="0"/>
        <v>147342</v>
      </c>
      <c r="I7" s="615">
        <f t="shared" si="0"/>
        <v>22723</v>
      </c>
      <c r="J7" s="616">
        <f t="shared" si="0"/>
        <v>170065</v>
      </c>
      <c r="K7" s="617">
        <f t="shared" si="0"/>
        <v>50490</v>
      </c>
      <c r="L7" s="617">
        <f t="shared" si="0"/>
        <v>102630</v>
      </c>
      <c r="M7" s="615">
        <f t="shared" si="0"/>
        <v>149820</v>
      </c>
      <c r="N7" s="616">
        <f t="shared" si="0"/>
        <v>302940</v>
      </c>
    </row>
    <row r="8" spans="1:16" ht="14.25" customHeight="1" x14ac:dyDescent="0.25">
      <c r="A8" s="1284" t="s">
        <v>14</v>
      </c>
      <c r="B8" s="1285"/>
      <c r="C8" s="1290"/>
      <c r="D8" s="227"/>
      <c r="E8" s="228"/>
      <c r="F8" s="228"/>
      <c r="G8" s="228"/>
      <c r="H8" s="94"/>
      <c r="I8" s="94"/>
      <c r="J8" s="294"/>
      <c r="K8" s="703"/>
      <c r="L8" s="703"/>
      <c r="M8" s="93"/>
      <c r="N8" s="294"/>
    </row>
    <row r="9" spans="1:16" ht="14.25" customHeight="1" x14ac:dyDescent="0.25">
      <c r="A9" s="1284" t="s">
        <v>442</v>
      </c>
      <c r="B9" s="1285"/>
      <c r="C9" s="1286"/>
      <c r="D9" s="688"/>
      <c r="E9" s="357"/>
      <c r="F9" s="357"/>
      <c r="G9" s="357"/>
      <c r="H9" s="94"/>
      <c r="I9" s="94"/>
      <c r="J9" s="535"/>
      <c r="K9" s="296"/>
      <c r="L9" s="703"/>
      <c r="M9" s="357"/>
      <c r="N9" s="294"/>
      <c r="P9" s="92"/>
    </row>
    <row r="10" spans="1:16" s="536" customFormat="1" x14ac:dyDescent="0.25">
      <c r="A10" s="1284" t="s">
        <v>15</v>
      </c>
      <c r="B10" s="1285"/>
      <c r="C10" s="1286"/>
      <c r="D10" s="704">
        <f>SUM(D11:D155)</f>
        <v>73687</v>
      </c>
      <c r="E10" s="704">
        <f t="shared" ref="E10:N10" si="1">SUM(E11:E155)</f>
        <v>11364</v>
      </c>
      <c r="F10" s="704">
        <f t="shared" si="1"/>
        <v>73655</v>
      </c>
      <c r="G10" s="704">
        <f t="shared" si="1"/>
        <v>11359</v>
      </c>
      <c r="H10" s="704">
        <f t="shared" si="1"/>
        <v>147342</v>
      </c>
      <c r="I10" s="704">
        <f t="shared" si="1"/>
        <v>22723</v>
      </c>
      <c r="J10" s="705">
        <f t="shared" si="1"/>
        <v>170065</v>
      </c>
      <c r="K10" s="295">
        <f t="shared" si="1"/>
        <v>50490</v>
      </c>
      <c r="L10" s="704">
        <f t="shared" si="1"/>
        <v>102630</v>
      </c>
      <c r="M10" s="704">
        <f t="shared" si="1"/>
        <v>149820</v>
      </c>
      <c r="N10" s="618">
        <f t="shared" si="1"/>
        <v>302940</v>
      </c>
      <c r="P10" s="92"/>
    </row>
    <row r="11" spans="1:16" x14ac:dyDescent="0.25">
      <c r="A11" s="566">
        <v>1</v>
      </c>
      <c r="B11" s="229" t="s">
        <v>16</v>
      </c>
      <c r="C11" s="339" t="s">
        <v>17</v>
      </c>
      <c r="D11" s="703"/>
      <c r="E11" s="93"/>
      <c r="F11" s="93"/>
      <c r="G11" s="93"/>
      <c r="H11" s="94"/>
      <c r="I11" s="94"/>
      <c r="J11" s="535"/>
      <c r="K11" s="296">
        <v>550</v>
      </c>
      <c r="L11" s="703">
        <v>1100</v>
      </c>
      <c r="M11" s="360">
        <v>1650</v>
      </c>
      <c r="N11" s="294">
        <f>K11+L11+M11</f>
        <v>3300</v>
      </c>
      <c r="P11" s="92"/>
    </row>
    <row r="12" spans="1:16" x14ac:dyDescent="0.25">
      <c r="A12" s="566">
        <v>2</v>
      </c>
      <c r="B12" s="229" t="s">
        <v>18</v>
      </c>
      <c r="C12" s="339" t="s">
        <v>19</v>
      </c>
      <c r="D12" s="703">
        <v>993</v>
      </c>
      <c r="E12" s="93">
        <v>101</v>
      </c>
      <c r="F12" s="93">
        <v>992</v>
      </c>
      <c r="G12" s="93">
        <v>101</v>
      </c>
      <c r="H12" s="94">
        <f t="shared" ref="H12:I75" si="2">D12+F12</f>
        <v>1985</v>
      </c>
      <c r="I12" s="94">
        <f t="shared" si="2"/>
        <v>202</v>
      </c>
      <c r="J12" s="535">
        <f t="shared" ref="J12:J75" si="3">H12+I12</f>
        <v>2187</v>
      </c>
      <c r="K12" s="296">
        <v>550</v>
      </c>
      <c r="L12" s="703">
        <v>1100</v>
      </c>
      <c r="M12" s="360">
        <v>1650</v>
      </c>
      <c r="N12" s="294">
        <f t="shared" ref="N12:N63" si="4">K12+L12+M12</f>
        <v>3300</v>
      </c>
      <c r="P12" s="92"/>
    </row>
    <row r="13" spans="1:16" x14ac:dyDescent="0.25">
      <c r="A13" s="566">
        <v>3</v>
      </c>
      <c r="B13" s="230" t="s">
        <v>20</v>
      </c>
      <c r="C13" s="619" t="s">
        <v>21</v>
      </c>
      <c r="D13" s="296">
        <v>1124</v>
      </c>
      <c r="E13" s="93">
        <v>229</v>
      </c>
      <c r="F13" s="93">
        <v>1124</v>
      </c>
      <c r="G13" s="93">
        <v>228</v>
      </c>
      <c r="H13" s="94">
        <f t="shared" si="2"/>
        <v>2248</v>
      </c>
      <c r="I13" s="94">
        <f t="shared" si="2"/>
        <v>457</v>
      </c>
      <c r="J13" s="535">
        <f t="shared" si="3"/>
        <v>2705</v>
      </c>
      <c r="K13" s="296">
        <v>880</v>
      </c>
      <c r="L13" s="703">
        <v>1760</v>
      </c>
      <c r="M13" s="360">
        <f>2640+60</f>
        <v>2700</v>
      </c>
      <c r="N13" s="294">
        <f t="shared" si="4"/>
        <v>5340</v>
      </c>
      <c r="P13" s="92"/>
    </row>
    <row r="14" spans="1:16" x14ac:dyDescent="0.25">
      <c r="A14" s="566">
        <v>4</v>
      </c>
      <c r="B14" s="229" t="s">
        <v>22</v>
      </c>
      <c r="C14" s="620" t="s">
        <v>23</v>
      </c>
      <c r="D14" s="296">
        <v>574</v>
      </c>
      <c r="E14" s="93"/>
      <c r="F14" s="93">
        <f>573+30</f>
        <v>603</v>
      </c>
      <c r="G14" s="93"/>
      <c r="H14" s="94">
        <f t="shared" si="2"/>
        <v>1177</v>
      </c>
      <c r="I14" s="94"/>
      <c r="J14" s="294">
        <f t="shared" si="3"/>
        <v>1177</v>
      </c>
      <c r="K14" s="703">
        <v>550</v>
      </c>
      <c r="L14" s="703">
        <v>1100</v>
      </c>
      <c r="M14" s="360">
        <v>1650</v>
      </c>
      <c r="N14" s="294">
        <f t="shared" si="4"/>
        <v>3300</v>
      </c>
      <c r="P14" s="92"/>
    </row>
    <row r="15" spans="1:16" ht="11.25" customHeight="1" x14ac:dyDescent="0.25">
      <c r="A15" s="566">
        <v>5</v>
      </c>
      <c r="B15" s="229" t="s">
        <v>24</v>
      </c>
      <c r="C15" s="620" t="s">
        <v>25</v>
      </c>
      <c r="D15" s="296"/>
      <c r="E15" s="93"/>
      <c r="F15" s="93"/>
      <c r="G15" s="93"/>
      <c r="H15" s="94"/>
      <c r="I15" s="94"/>
      <c r="J15" s="294"/>
      <c r="K15" s="703">
        <v>550</v>
      </c>
      <c r="L15" s="703">
        <v>1100</v>
      </c>
      <c r="M15" s="360">
        <v>1650</v>
      </c>
      <c r="N15" s="294">
        <f t="shared" si="4"/>
        <v>3300</v>
      </c>
      <c r="P15" s="92"/>
    </row>
    <row r="16" spans="1:16" x14ac:dyDescent="0.25">
      <c r="A16" s="566">
        <v>6</v>
      </c>
      <c r="B16" s="230" t="s">
        <v>26</v>
      </c>
      <c r="C16" s="619" t="s">
        <v>27</v>
      </c>
      <c r="D16" s="296">
        <v>2106</v>
      </c>
      <c r="E16" s="93">
        <f>528-107</f>
        <v>421</v>
      </c>
      <c r="F16" s="93">
        <v>2106</v>
      </c>
      <c r="G16" s="93">
        <f>527-393</f>
        <v>134</v>
      </c>
      <c r="H16" s="94">
        <f t="shared" si="2"/>
        <v>4212</v>
      </c>
      <c r="I16" s="94">
        <f t="shared" si="2"/>
        <v>555</v>
      </c>
      <c r="J16" s="294">
        <f t="shared" si="3"/>
        <v>4767</v>
      </c>
      <c r="K16" s="703">
        <v>1430</v>
      </c>
      <c r="L16" s="703">
        <f>2860-1187</f>
        <v>1673</v>
      </c>
      <c r="M16" s="360">
        <f>3465+825</f>
        <v>4290</v>
      </c>
      <c r="N16" s="294">
        <f t="shared" si="4"/>
        <v>7393</v>
      </c>
      <c r="P16" s="92"/>
    </row>
    <row r="17" spans="1:16" x14ac:dyDescent="0.25">
      <c r="A17" s="566">
        <v>7</v>
      </c>
      <c r="B17" s="358" t="s">
        <v>28</v>
      </c>
      <c r="C17" s="231" t="s">
        <v>29</v>
      </c>
      <c r="D17" s="296">
        <v>1707</v>
      </c>
      <c r="E17" s="93">
        <v>249</v>
      </c>
      <c r="F17" s="93">
        <v>1707</v>
      </c>
      <c r="G17" s="93">
        <v>249</v>
      </c>
      <c r="H17" s="94">
        <f t="shared" si="2"/>
        <v>3414</v>
      </c>
      <c r="I17" s="94">
        <f t="shared" si="2"/>
        <v>498</v>
      </c>
      <c r="J17" s="294">
        <f t="shared" si="3"/>
        <v>3912</v>
      </c>
      <c r="K17" s="703">
        <v>550</v>
      </c>
      <c r="L17" s="703">
        <v>1100</v>
      </c>
      <c r="M17" s="360">
        <v>1650</v>
      </c>
      <c r="N17" s="294">
        <f t="shared" si="4"/>
        <v>3300</v>
      </c>
      <c r="P17" s="92"/>
    </row>
    <row r="18" spans="1:16" x14ac:dyDescent="0.25">
      <c r="A18" s="566">
        <v>8</v>
      </c>
      <c r="B18" s="230" t="s">
        <v>30</v>
      </c>
      <c r="C18" s="619" t="s">
        <v>31</v>
      </c>
      <c r="D18" s="296"/>
      <c r="E18" s="93"/>
      <c r="F18" s="93"/>
      <c r="G18" s="93"/>
      <c r="H18" s="94"/>
      <c r="I18" s="94"/>
      <c r="J18" s="294"/>
      <c r="K18" s="703">
        <v>550</v>
      </c>
      <c r="L18" s="703">
        <v>1100</v>
      </c>
      <c r="M18" s="360">
        <f>1650+50</f>
        <v>1700</v>
      </c>
      <c r="N18" s="294">
        <f t="shared" si="4"/>
        <v>3350</v>
      </c>
      <c r="P18" s="92"/>
    </row>
    <row r="19" spans="1:16" x14ac:dyDescent="0.25">
      <c r="A19" s="566">
        <v>9</v>
      </c>
      <c r="B19" s="230" t="s">
        <v>32</v>
      </c>
      <c r="C19" s="619" t="s">
        <v>33</v>
      </c>
      <c r="D19" s="296">
        <v>627</v>
      </c>
      <c r="E19" s="93">
        <v>53</v>
      </c>
      <c r="F19" s="93">
        <f>626+16</f>
        <v>642</v>
      </c>
      <c r="G19" s="93">
        <v>53</v>
      </c>
      <c r="H19" s="94">
        <f t="shared" si="2"/>
        <v>1269</v>
      </c>
      <c r="I19" s="94">
        <f t="shared" si="2"/>
        <v>106</v>
      </c>
      <c r="J19" s="294">
        <f t="shared" si="3"/>
        <v>1375</v>
      </c>
      <c r="K19" s="703">
        <v>275</v>
      </c>
      <c r="L19" s="703">
        <v>550</v>
      </c>
      <c r="M19" s="360">
        <v>825</v>
      </c>
      <c r="N19" s="294">
        <f t="shared" si="4"/>
        <v>1650</v>
      </c>
      <c r="P19" s="92"/>
    </row>
    <row r="20" spans="1:16" x14ac:dyDescent="0.25">
      <c r="A20" s="566">
        <v>10</v>
      </c>
      <c r="B20" s="230" t="s">
        <v>34</v>
      </c>
      <c r="C20" s="619" t="s">
        <v>35</v>
      </c>
      <c r="D20" s="296"/>
      <c r="E20" s="93"/>
      <c r="F20" s="93"/>
      <c r="G20" s="93"/>
      <c r="H20" s="94"/>
      <c r="I20" s="94"/>
      <c r="J20" s="294"/>
      <c r="K20" s="703">
        <v>550</v>
      </c>
      <c r="L20" s="703">
        <v>1100</v>
      </c>
      <c r="M20" s="360">
        <v>1650</v>
      </c>
      <c r="N20" s="294">
        <f t="shared" si="4"/>
        <v>3300</v>
      </c>
      <c r="P20" s="92"/>
    </row>
    <row r="21" spans="1:16" x14ac:dyDescent="0.25">
      <c r="A21" s="566">
        <v>11</v>
      </c>
      <c r="B21" s="230" t="s">
        <v>36</v>
      </c>
      <c r="C21" s="619" t="s">
        <v>37</v>
      </c>
      <c r="D21" s="296"/>
      <c r="E21" s="93"/>
      <c r="F21" s="93"/>
      <c r="G21" s="93"/>
      <c r="H21" s="94"/>
      <c r="I21" s="94"/>
      <c r="J21" s="294"/>
      <c r="K21" s="703">
        <v>550</v>
      </c>
      <c r="L21" s="703">
        <v>1100</v>
      </c>
      <c r="M21" s="360">
        <v>1650</v>
      </c>
      <c r="N21" s="294">
        <f t="shared" si="4"/>
        <v>3300</v>
      </c>
      <c r="P21" s="92"/>
    </row>
    <row r="22" spans="1:16" x14ac:dyDescent="0.25">
      <c r="A22" s="566">
        <v>12</v>
      </c>
      <c r="B22" s="230" t="s">
        <v>38</v>
      </c>
      <c r="C22" s="619" t="s">
        <v>39</v>
      </c>
      <c r="D22" s="296">
        <v>1074</v>
      </c>
      <c r="E22" s="93"/>
      <c r="F22" s="93">
        <f>1073+50</f>
        <v>1123</v>
      </c>
      <c r="G22" s="93"/>
      <c r="H22" s="94">
        <f t="shared" si="2"/>
        <v>2197</v>
      </c>
      <c r="I22" s="94"/>
      <c r="J22" s="294">
        <f t="shared" si="3"/>
        <v>2197</v>
      </c>
      <c r="K22" s="703">
        <v>550</v>
      </c>
      <c r="L22" s="703">
        <v>1100</v>
      </c>
      <c r="M22" s="360">
        <v>1650</v>
      </c>
      <c r="N22" s="294">
        <f t="shared" si="4"/>
        <v>3300</v>
      </c>
      <c r="P22" s="92"/>
    </row>
    <row r="23" spans="1:16" x14ac:dyDescent="0.25">
      <c r="A23" s="566">
        <v>13</v>
      </c>
      <c r="B23" s="232" t="s">
        <v>40</v>
      </c>
      <c r="C23" s="621" t="s">
        <v>41</v>
      </c>
      <c r="D23" s="296"/>
      <c r="E23" s="93"/>
      <c r="F23" s="93"/>
      <c r="G23" s="93"/>
      <c r="H23" s="94"/>
      <c r="I23" s="94"/>
      <c r="J23" s="294"/>
      <c r="K23" s="703"/>
      <c r="L23" s="703"/>
      <c r="M23" s="360"/>
      <c r="N23" s="294"/>
      <c r="P23" s="92"/>
    </row>
    <row r="24" spans="1:16" x14ac:dyDescent="0.25">
      <c r="A24" s="566">
        <v>14</v>
      </c>
      <c r="B24" s="233" t="s">
        <v>42</v>
      </c>
      <c r="C24" s="622" t="s">
        <v>43</v>
      </c>
      <c r="D24" s="296"/>
      <c r="E24" s="93"/>
      <c r="F24" s="93"/>
      <c r="G24" s="93"/>
      <c r="H24" s="94"/>
      <c r="I24" s="94"/>
      <c r="J24" s="294"/>
      <c r="K24" s="703"/>
      <c r="L24" s="703"/>
      <c r="M24" s="360"/>
      <c r="N24" s="294"/>
      <c r="P24" s="92"/>
    </row>
    <row r="25" spans="1:16" x14ac:dyDescent="0.25">
      <c r="A25" s="566">
        <v>15</v>
      </c>
      <c r="B25" s="230" t="s">
        <v>44</v>
      </c>
      <c r="C25" s="619" t="s">
        <v>45</v>
      </c>
      <c r="D25" s="296"/>
      <c r="E25" s="93"/>
      <c r="F25" s="93"/>
      <c r="G25" s="93"/>
      <c r="H25" s="94"/>
      <c r="I25" s="94"/>
      <c r="J25" s="294"/>
      <c r="K25" s="703">
        <v>550</v>
      </c>
      <c r="L25" s="703">
        <v>1100</v>
      </c>
      <c r="M25" s="360">
        <v>1650</v>
      </c>
      <c r="N25" s="294">
        <f t="shared" si="4"/>
        <v>3300</v>
      </c>
      <c r="P25" s="92"/>
    </row>
    <row r="26" spans="1:16" x14ac:dyDescent="0.25">
      <c r="A26" s="566">
        <v>16</v>
      </c>
      <c r="B26" s="230" t="s">
        <v>46</v>
      </c>
      <c r="C26" s="619" t="s">
        <v>47</v>
      </c>
      <c r="D26" s="296"/>
      <c r="E26" s="93"/>
      <c r="F26" s="93"/>
      <c r="G26" s="93"/>
      <c r="H26" s="94"/>
      <c r="I26" s="94"/>
      <c r="J26" s="294"/>
      <c r="K26" s="703">
        <v>550</v>
      </c>
      <c r="L26" s="703">
        <v>1100</v>
      </c>
      <c r="M26" s="360">
        <f>1650+50</f>
        <v>1700</v>
      </c>
      <c r="N26" s="294">
        <f t="shared" si="4"/>
        <v>3350</v>
      </c>
      <c r="P26" s="92"/>
    </row>
    <row r="27" spans="1:16" x14ac:dyDescent="0.25">
      <c r="A27" s="566">
        <v>17</v>
      </c>
      <c r="B27" s="230" t="s">
        <v>48</v>
      </c>
      <c r="C27" s="619" t="s">
        <v>49</v>
      </c>
      <c r="D27" s="296">
        <v>1083</v>
      </c>
      <c r="E27" s="93">
        <v>172</v>
      </c>
      <c r="F27" s="93">
        <v>1083</v>
      </c>
      <c r="G27" s="93">
        <v>172</v>
      </c>
      <c r="H27" s="94">
        <f t="shared" si="2"/>
        <v>2166</v>
      </c>
      <c r="I27" s="94">
        <f t="shared" si="2"/>
        <v>344</v>
      </c>
      <c r="J27" s="294">
        <f t="shared" si="3"/>
        <v>2510</v>
      </c>
      <c r="K27" s="703">
        <v>605</v>
      </c>
      <c r="L27" s="703">
        <v>1100</v>
      </c>
      <c r="M27" s="360">
        <v>1650</v>
      </c>
      <c r="N27" s="294">
        <f t="shared" si="4"/>
        <v>3355</v>
      </c>
      <c r="P27" s="92"/>
    </row>
    <row r="28" spans="1:16" x14ac:dyDescent="0.25">
      <c r="A28" s="566">
        <v>18</v>
      </c>
      <c r="B28" s="230" t="s">
        <v>50</v>
      </c>
      <c r="C28" s="619" t="s">
        <v>51</v>
      </c>
      <c r="D28" s="296">
        <v>2310</v>
      </c>
      <c r="E28" s="93">
        <f>467-43</f>
        <v>424</v>
      </c>
      <c r="F28" s="93">
        <f>2310+100</f>
        <v>2410</v>
      </c>
      <c r="G28" s="93">
        <f>467-157-60</f>
        <v>250</v>
      </c>
      <c r="H28" s="94">
        <f t="shared" si="2"/>
        <v>4720</v>
      </c>
      <c r="I28" s="94">
        <f t="shared" si="2"/>
        <v>674</v>
      </c>
      <c r="J28" s="294">
        <f t="shared" si="3"/>
        <v>5394</v>
      </c>
      <c r="K28" s="703">
        <v>1155</v>
      </c>
      <c r="L28" s="703">
        <v>2310</v>
      </c>
      <c r="M28" s="360">
        <v>2640</v>
      </c>
      <c r="N28" s="294">
        <f t="shared" si="4"/>
        <v>6105</v>
      </c>
      <c r="P28" s="92"/>
    </row>
    <row r="29" spans="1:16" x14ac:dyDescent="0.25">
      <c r="A29" s="566">
        <v>19</v>
      </c>
      <c r="B29" s="229" t="s">
        <v>52</v>
      </c>
      <c r="C29" s="620" t="s">
        <v>53</v>
      </c>
      <c r="D29" s="296">
        <v>701</v>
      </c>
      <c r="E29" s="93">
        <f>51-5</f>
        <v>46</v>
      </c>
      <c r="F29" s="93">
        <f>701-486</f>
        <v>215</v>
      </c>
      <c r="G29" s="93">
        <f>51-51</f>
        <v>0</v>
      </c>
      <c r="H29" s="94">
        <f t="shared" si="2"/>
        <v>916</v>
      </c>
      <c r="I29" s="94">
        <f t="shared" si="2"/>
        <v>46</v>
      </c>
      <c r="J29" s="294">
        <f t="shared" si="3"/>
        <v>962</v>
      </c>
      <c r="K29" s="703">
        <v>275</v>
      </c>
      <c r="L29" s="703">
        <v>550</v>
      </c>
      <c r="M29" s="360">
        <v>825</v>
      </c>
      <c r="N29" s="294">
        <f t="shared" si="4"/>
        <v>1650</v>
      </c>
      <c r="P29" s="92"/>
    </row>
    <row r="30" spans="1:16" x14ac:dyDescent="0.25">
      <c r="A30" s="566">
        <v>20</v>
      </c>
      <c r="B30" s="229" t="s">
        <v>54</v>
      </c>
      <c r="C30" s="620" t="s">
        <v>55</v>
      </c>
      <c r="D30" s="296">
        <v>680</v>
      </c>
      <c r="E30" s="93">
        <v>133</v>
      </c>
      <c r="F30" s="93">
        <v>679</v>
      </c>
      <c r="G30" s="93">
        <v>132</v>
      </c>
      <c r="H30" s="94">
        <f t="shared" si="2"/>
        <v>1359</v>
      </c>
      <c r="I30" s="94">
        <f t="shared" si="2"/>
        <v>265</v>
      </c>
      <c r="J30" s="294">
        <f t="shared" si="3"/>
        <v>1624</v>
      </c>
      <c r="K30" s="703">
        <v>550</v>
      </c>
      <c r="L30" s="703">
        <v>1100</v>
      </c>
      <c r="M30" s="360">
        <f>1650+90</f>
        <v>1740</v>
      </c>
      <c r="N30" s="294">
        <f t="shared" si="4"/>
        <v>3390</v>
      </c>
      <c r="P30" s="92"/>
    </row>
    <row r="31" spans="1:16" x14ac:dyDescent="0.25">
      <c r="A31" s="566">
        <v>21</v>
      </c>
      <c r="B31" s="229" t="s">
        <v>56</v>
      </c>
      <c r="C31" s="620" t="s">
        <v>57</v>
      </c>
      <c r="D31" s="296">
        <v>1986</v>
      </c>
      <c r="E31" s="93">
        <v>214</v>
      </c>
      <c r="F31" s="93">
        <v>1985</v>
      </c>
      <c r="G31" s="93">
        <v>214</v>
      </c>
      <c r="H31" s="94">
        <f t="shared" si="2"/>
        <v>3971</v>
      </c>
      <c r="I31" s="94">
        <f t="shared" si="2"/>
        <v>428</v>
      </c>
      <c r="J31" s="294">
        <f t="shared" si="3"/>
        <v>4399</v>
      </c>
      <c r="K31" s="703">
        <v>550</v>
      </c>
      <c r="L31" s="703">
        <v>1100</v>
      </c>
      <c r="M31" s="360">
        <v>1650</v>
      </c>
      <c r="N31" s="294">
        <f t="shared" si="4"/>
        <v>3300</v>
      </c>
      <c r="P31" s="92"/>
    </row>
    <row r="32" spans="1:16" x14ac:dyDescent="0.25">
      <c r="A32" s="566">
        <v>22</v>
      </c>
      <c r="B32" s="229" t="s">
        <v>58</v>
      </c>
      <c r="C32" s="620" t="s">
        <v>59</v>
      </c>
      <c r="D32" s="296">
        <v>1771</v>
      </c>
      <c r="E32" s="93">
        <v>185</v>
      </c>
      <c r="F32" s="93">
        <v>1770</v>
      </c>
      <c r="G32" s="93">
        <v>185</v>
      </c>
      <c r="H32" s="94">
        <f t="shared" si="2"/>
        <v>3541</v>
      </c>
      <c r="I32" s="94">
        <f t="shared" si="2"/>
        <v>370</v>
      </c>
      <c r="J32" s="294">
        <f t="shared" si="3"/>
        <v>3911</v>
      </c>
      <c r="K32" s="703">
        <v>880</v>
      </c>
      <c r="L32" s="703">
        <v>1760</v>
      </c>
      <c r="M32" s="360">
        <f>2640+60</f>
        <v>2700</v>
      </c>
      <c r="N32" s="294">
        <f t="shared" si="4"/>
        <v>5340</v>
      </c>
      <c r="P32" s="92"/>
    </row>
    <row r="33" spans="1:16" x14ac:dyDescent="0.25">
      <c r="A33" s="566">
        <v>23</v>
      </c>
      <c r="B33" s="230" t="s">
        <v>60</v>
      </c>
      <c r="C33" s="619" t="s">
        <v>61</v>
      </c>
      <c r="D33" s="296"/>
      <c r="E33" s="93"/>
      <c r="F33" s="93"/>
      <c r="G33" s="93"/>
      <c r="H33" s="94"/>
      <c r="I33" s="94"/>
      <c r="J33" s="294"/>
      <c r="K33" s="703"/>
      <c r="L33" s="703"/>
      <c r="M33" s="360"/>
      <c r="N33" s="294"/>
      <c r="P33" s="92"/>
    </row>
    <row r="34" spans="1:16" x14ac:dyDescent="0.25">
      <c r="A34" s="566">
        <v>24</v>
      </c>
      <c r="B34" s="230" t="s">
        <v>62</v>
      </c>
      <c r="C34" s="619" t="s">
        <v>63</v>
      </c>
      <c r="D34" s="296"/>
      <c r="E34" s="93"/>
      <c r="F34" s="93"/>
      <c r="G34" s="93"/>
      <c r="H34" s="94"/>
      <c r="I34" s="94"/>
      <c r="J34" s="294"/>
      <c r="K34" s="703"/>
      <c r="L34" s="703"/>
      <c r="M34" s="360"/>
      <c r="N34" s="294"/>
      <c r="P34" s="92"/>
    </row>
    <row r="35" spans="1:16" ht="24" x14ac:dyDescent="0.25">
      <c r="A35" s="566">
        <v>25</v>
      </c>
      <c r="B35" s="230" t="s">
        <v>64</v>
      </c>
      <c r="C35" s="619" t="s">
        <v>65</v>
      </c>
      <c r="D35" s="296"/>
      <c r="E35" s="93"/>
      <c r="F35" s="93"/>
      <c r="G35" s="93"/>
      <c r="H35" s="94"/>
      <c r="I35" s="94"/>
      <c r="J35" s="294"/>
      <c r="K35" s="703"/>
      <c r="L35" s="703"/>
      <c r="M35" s="360"/>
      <c r="N35" s="294"/>
      <c r="P35" s="92"/>
    </row>
    <row r="36" spans="1:16" x14ac:dyDescent="0.25">
      <c r="A36" s="566">
        <v>26</v>
      </c>
      <c r="B36" s="229" t="s">
        <v>66</v>
      </c>
      <c r="C36" s="231" t="s">
        <v>67</v>
      </c>
      <c r="D36" s="296">
        <f>0+625+18</f>
        <v>643</v>
      </c>
      <c r="E36" s="93">
        <f>0+123-63</f>
        <v>60</v>
      </c>
      <c r="F36" s="93">
        <f>0+3747+107</f>
        <v>3854</v>
      </c>
      <c r="G36" s="93">
        <f>0+454-113</f>
        <v>341</v>
      </c>
      <c r="H36" s="94">
        <f t="shared" si="2"/>
        <v>4497</v>
      </c>
      <c r="I36" s="94">
        <f t="shared" si="2"/>
        <v>401</v>
      </c>
      <c r="J36" s="294">
        <f t="shared" si="3"/>
        <v>4898</v>
      </c>
      <c r="K36" s="703">
        <v>1650</v>
      </c>
      <c r="L36" s="703">
        <f>3300-725+275-387</f>
        <v>2463</v>
      </c>
      <c r="M36" s="360">
        <f>4125-1650+1650-825</f>
        <v>3300</v>
      </c>
      <c r="N36" s="294">
        <f t="shared" si="4"/>
        <v>7413</v>
      </c>
      <c r="P36" s="92"/>
    </row>
    <row r="37" spans="1:16" x14ac:dyDescent="0.25">
      <c r="A37" s="566">
        <v>27</v>
      </c>
      <c r="B37" s="230" t="s">
        <v>68</v>
      </c>
      <c r="C37" s="619" t="s">
        <v>69</v>
      </c>
      <c r="D37" s="296">
        <f>3748-625-18</f>
        <v>3105</v>
      </c>
      <c r="E37" s="93">
        <f>848-107-123+63</f>
        <v>681</v>
      </c>
      <c r="F37" s="93"/>
      <c r="G37" s="93"/>
      <c r="H37" s="94">
        <f t="shared" si="2"/>
        <v>3105</v>
      </c>
      <c r="I37" s="94">
        <f t="shared" si="2"/>
        <v>681</v>
      </c>
      <c r="J37" s="294">
        <f t="shared" si="3"/>
        <v>3786</v>
      </c>
      <c r="K37" s="703">
        <v>550</v>
      </c>
      <c r="L37" s="703">
        <f>1100-275+387</f>
        <v>1212</v>
      </c>
      <c r="M37" s="360">
        <f>1650-1650</f>
        <v>0</v>
      </c>
      <c r="N37" s="294">
        <f t="shared" si="4"/>
        <v>1762</v>
      </c>
      <c r="P37" s="92"/>
    </row>
    <row r="38" spans="1:16" x14ac:dyDescent="0.25">
      <c r="A38" s="566">
        <v>28</v>
      </c>
      <c r="B38" s="230" t="s">
        <v>70</v>
      </c>
      <c r="C38" s="619" t="s">
        <v>71</v>
      </c>
      <c r="D38" s="296"/>
      <c r="E38" s="93"/>
      <c r="F38" s="93"/>
      <c r="G38" s="93">
        <f>0+213</f>
        <v>213</v>
      </c>
      <c r="H38" s="94"/>
      <c r="I38" s="94">
        <f t="shared" si="2"/>
        <v>213</v>
      </c>
      <c r="J38" s="294">
        <f t="shared" si="3"/>
        <v>213</v>
      </c>
      <c r="K38" s="703">
        <v>165</v>
      </c>
      <c r="L38" s="703">
        <v>110</v>
      </c>
      <c r="M38" s="360">
        <f>165+250+330</f>
        <v>745</v>
      </c>
      <c r="N38" s="294">
        <f t="shared" si="4"/>
        <v>1020</v>
      </c>
      <c r="P38" s="92"/>
    </row>
    <row r="39" spans="1:16" x14ac:dyDescent="0.25">
      <c r="A39" s="566">
        <v>29</v>
      </c>
      <c r="B39" s="229" t="s">
        <v>72</v>
      </c>
      <c r="C39" s="620" t="s">
        <v>73</v>
      </c>
      <c r="D39" s="296"/>
      <c r="E39" s="93"/>
      <c r="F39" s="93"/>
      <c r="G39" s="93"/>
      <c r="H39" s="94"/>
      <c r="I39" s="94"/>
      <c r="J39" s="294"/>
      <c r="K39" s="703"/>
      <c r="L39" s="703"/>
      <c r="M39" s="360"/>
      <c r="N39" s="294"/>
      <c r="P39" s="92"/>
    </row>
    <row r="40" spans="1:16" ht="24" x14ac:dyDescent="0.25">
      <c r="A40" s="566">
        <v>30</v>
      </c>
      <c r="B40" s="229" t="s">
        <v>74</v>
      </c>
      <c r="C40" s="231" t="s">
        <v>377</v>
      </c>
      <c r="D40" s="296"/>
      <c r="E40" s="93"/>
      <c r="F40" s="93"/>
      <c r="G40" s="93"/>
      <c r="H40" s="94"/>
      <c r="I40" s="94"/>
      <c r="J40" s="294"/>
      <c r="K40" s="703"/>
      <c r="L40" s="703"/>
      <c r="M40" s="360"/>
      <c r="N40" s="294"/>
      <c r="P40" s="92"/>
    </row>
    <row r="41" spans="1:16" ht="23.25" customHeight="1" x14ac:dyDescent="0.25">
      <c r="A41" s="566">
        <v>31</v>
      </c>
      <c r="B41" s="229" t="s">
        <v>75</v>
      </c>
      <c r="C41" s="620" t="s">
        <v>76</v>
      </c>
      <c r="D41" s="296"/>
      <c r="E41" s="93"/>
      <c r="F41" s="93"/>
      <c r="G41" s="93"/>
      <c r="H41" s="94"/>
      <c r="I41" s="94"/>
      <c r="J41" s="294"/>
      <c r="K41" s="703"/>
      <c r="L41" s="703"/>
      <c r="M41" s="360"/>
      <c r="N41" s="294"/>
      <c r="P41" s="92"/>
    </row>
    <row r="42" spans="1:16" x14ac:dyDescent="0.25">
      <c r="A42" s="566">
        <v>32</v>
      </c>
      <c r="B42" s="230" t="s">
        <v>77</v>
      </c>
      <c r="C42" s="619" t="s">
        <v>78</v>
      </c>
      <c r="D42" s="296">
        <v>1876</v>
      </c>
      <c r="E42" s="93">
        <v>342</v>
      </c>
      <c r="F42" s="93">
        <f>1876-436</f>
        <v>1440</v>
      </c>
      <c r="G42" s="93">
        <f>342-60</f>
        <v>282</v>
      </c>
      <c r="H42" s="94">
        <f t="shared" si="2"/>
        <v>3316</v>
      </c>
      <c r="I42" s="94">
        <f t="shared" si="2"/>
        <v>624</v>
      </c>
      <c r="J42" s="294">
        <f t="shared" si="3"/>
        <v>3940</v>
      </c>
      <c r="K42" s="703">
        <v>880</v>
      </c>
      <c r="L42" s="703">
        <v>1760</v>
      </c>
      <c r="M42" s="360">
        <v>2640</v>
      </c>
      <c r="N42" s="294">
        <f t="shared" si="4"/>
        <v>5280</v>
      </c>
      <c r="P42" s="92"/>
    </row>
    <row r="43" spans="1:16" x14ac:dyDescent="0.25">
      <c r="A43" s="566">
        <v>33</v>
      </c>
      <c r="B43" s="229" t="s">
        <v>79</v>
      </c>
      <c r="C43" s="620" t="s">
        <v>80</v>
      </c>
      <c r="D43" s="296">
        <v>1307</v>
      </c>
      <c r="E43" s="93">
        <v>422</v>
      </c>
      <c r="F43" s="93">
        <f>1307</f>
        <v>1307</v>
      </c>
      <c r="G43" s="93">
        <f>421-50</f>
        <v>371</v>
      </c>
      <c r="H43" s="94">
        <f t="shared" si="2"/>
        <v>2614</v>
      </c>
      <c r="I43" s="94">
        <f t="shared" si="2"/>
        <v>793</v>
      </c>
      <c r="J43" s="294">
        <f t="shared" si="3"/>
        <v>3407</v>
      </c>
      <c r="K43" s="703">
        <v>1155</v>
      </c>
      <c r="L43" s="703">
        <v>2200</v>
      </c>
      <c r="M43" s="360">
        <f>3300-825+60</f>
        <v>2535</v>
      </c>
      <c r="N43" s="294">
        <f t="shared" si="4"/>
        <v>5890</v>
      </c>
      <c r="P43" s="92"/>
    </row>
    <row r="44" spans="1:16" x14ac:dyDescent="0.25">
      <c r="A44" s="566">
        <v>34</v>
      </c>
      <c r="B44" s="358" t="s">
        <v>81</v>
      </c>
      <c r="C44" s="231" t="s">
        <v>82</v>
      </c>
      <c r="D44" s="296">
        <v>823</v>
      </c>
      <c r="E44" s="93">
        <v>78</v>
      </c>
      <c r="F44" s="93">
        <f>823+48</f>
        <v>871</v>
      </c>
      <c r="G44" s="93">
        <v>77</v>
      </c>
      <c r="H44" s="94">
        <f t="shared" si="2"/>
        <v>1694</v>
      </c>
      <c r="I44" s="94">
        <f t="shared" si="2"/>
        <v>155</v>
      </c>
      <c r="J44" s="294">
        <f t="shared" si="3"/>
        <v>1849</v>
      </c>
      <c r="K44" s="703">
        <v>550</v>
      </c>
      <c r="L44" s="703">
        <v>1100</v>
      </c>
      <c r="M44" s="360">
        <f>1650+120</f>
        <v>1770</v>
      </c>
      <c r="N44" s="294">
        <f t="shared" si="4"/>
        <v>3420</v>
      </c>
      <c r="P44" s="92"/>
    </row>
    <row r="45" spans="1:16" x14ac:dyDescent="0.25">
      <c r="A45" s="566">
        <v>35</v>
      </c>
      <c r="B45" s="229" t="s">
        <v>83</v>
      </c>
      <c r="C45" s="620" t="s">
        <v>84</v>
      </c>
      <c r="D45" s="296">
        <v>1379</v>
      </c>
      <c r="E45" s="93">
        <v>256</v>
      </c>
      <c r="F45" s="93">
        <f>1379-259</f>
        <v>1120</v>
      </c>
      <c r="G45" s="93">
        <f>256-50</f>
        <v>206</v>
      </c>
      <c r="H45" s="94">
        <f t="shared" si="2"/>
        <v>2499</v>
      </c>
      <c r="I45" s="94">
        <f t="shared" si="2"/>
        <v>462</v>
      </c>
      <c r="J45" s="294">
        <f t="shared" si="3"/>
        <v>2961</v>
      </c>
      <c r="K45" s="703">
        <v>825</v>
      </c>
      <c r="L45" s="703">
        <v>1650</v>
      </c>
      <c r="M45" s="360">
        <v>2475</v>
      </c>
      <c r="N45" s="294">
        <f t="shared" si="4"/>
        <v>4950</v>
      </c>
      <c r="P45" s="92"/>
    </row>
    <row r="46" spans="1:16" x14ac:dyDescent="0.25">
      <c r="A46" s="566">
        <v>36</v>
      </c>
      <c r="B46" s="229" t="s">
        <v>85</v>
      </c>
      <c r="C46" s="620" t="s">
        <v>86</v>
      </c>
      <c r="D46" s="296"/>
      <c r="E46" s="93"/>
      <c r="F46" s="93"/>
      <c r="G46" s="93"/>
      <c r="H46" s="94"/>
      <c r="I46" s="94"/>
      <c r="J46" s="294"/>
      <c r="K46" s="703">
        <v>550</v>
      </c>
      <c r="L46" s="703">
        <v>1100</v>
      </c>
      <c r="M46" s="360">
        <v>1650</v>
      </c>
      <c r="N46" s="294">
        <f t="shared" si="4"/>
        <v>3300</v>
      </c>
      <c r="P46" s="92"/>
    </row>
    <row r="47" spans="1:16" x14ac:dyDescent="0.25">
      <c r="A47" s="566">
        <v>37</v>
      </c>
      <c r="B47" s="230" t="s">
        <v>87</v>
      </c>
      <c r="C47" s="619" t="s">
        <v>88</v>
      </c>
      <c r="D47" s="296">
        <v>1617</v>
      </c>
      <c r="E47" s="93">
        <v>296</v>
      </c>
      <c r="F47" s="93">
        <f>1617+35</f>
        <v>1652</v>
      </c>
      <c r="G47" s="93">
        <v>295</v>
      </c>
      <c r="H47" s="94">
        <f t="shared" si="2"/>
        <v>3269</v>
      </c>
      <c r="I47" s="94">
        <f t="shared" si="2"/>
        <v>591</v>
      </c>
      <c r="J47" s="294">
        <f t="shared" si="3"/>
        <v>3860</v>
      </c>
      <c r="K47" s="703">
        <v>825</v>
      </c>
      <c r="L47" s="703">
        <v>1650</v>
      </c>
      <c r="M47" s="360">
        <f>2475-825</f>
        <v>1650</v>
      </c>
      <c r="N47" s="294">
        <f t="shared" si="4"/>
        <v>4125</v>
      </c>
      <c r="P47" s="92"/>
    </row>
    <row r="48" spans="1:16" ht="13.5" customHeight="1" x14ac:dyDescent="0.25">
      <c r="A48" s="566">
        <v>38</v>
      </c>
      <c r="B48" s="229" t="s">
        <v>89</v>
      </c>
      <c r="C48" s="620" t="s">
        <v>90</v>
      </c>
      <c r="D48" s="296"/>
      <c r="E48" s="93"/>
      <c r="F48" s="93"/>
      <c r="G48" s="93"/>
      <c r="H48" s="94"/>
      <c r="I48" s="94"/>
      <c r="J48" s="294"/>
      <c r="K48" s="703">
        <v>550</v>
      </c>
      <c r="L48" s="703">
        <v>1100</v>
      </c>
      <c r="M48" s="360">
        <v>1650</v>
      </c>
      <c r="N48" s="294">
        <f t="shared" si="4"/>
        <v>3300</v>
      </c>
      <c r="P48" s="92"/>
    </row>
    <row r="49" spans="1:16" x14ac:dyDescent="0.25">
      <c r="A49" s="566">
        <v>39</v>
      </c>
      <c r="B49" s="229" t="s">
        <v>91</v>
      </c>
      <c r="C49" s="620" t="s">
        <v>92</v>
      </c>
      <c r="D49" s="296">
        <v>727</v>
      </c>
      <c r="E49" s="93">
        <v>45</v>
      </c>
      <c r="F49" s="93">
        <v>726</v>
      </c>
      <c r="G49" s="93">
        <v>45</v>
      </c>
      <c r="H49" s="94">
        <f t="shared" si="2"/>
        <v>1453</v>
      </c>
      <c r="I49" s="94">
        <f t="shared" si="2"/>
        <v>90</v>
      </c>
      <c r="J49" s="294">
        <f t="shared" si="3"/>
        <v>1543</v>
      </c>
      <c r="K49" s="703">
        <v>550</v>
      </c>
      <c r="L49" s="703">
        <v>1100</v>
      </c>
      <c r="M49" s="360">
        <v>1650</v>
      </c>
      <c r="N49" s="294">
        <f t="shared" si="4"/>
        <v>3300</v>
      </c>
      <c r="P49" s="92"/>
    </row>
    <row r="50" spans="1:16" x14ac:dyDescent="0.25">
      <c r="A50" s="566">
        <v>40</v>
      </c>
      <c r="B50" s="89" t="s">
        <v>93</v>
      </c>
      <c r="C50" s="537" t="s">
        <v>94</v>
      </c>
      <c r="D50" s="296"/>
      <c r="E50" s="93"/>
      <c r="F50" s="93"/>
      <c r="G50" s="93"/>
      <c r="H50" s="94"/>
      <c r="I50" s="94"/>
      <c r="J50" s="294"/>
      <c r="K50" s="703">
        <v>550</v>
      </c>
      <c r="L50" s="703">
        <v>1100</v>
      </c>
      <c r="M50" s="360">
        <f>1650+240+40</f>
        <v>1930</v>
      </c>
      <c r="N50" s="294">
        <f t="shared" si="4"/>
        <v>3580</v>
      </c>
      <c r="P50" s="92"/>
    </row>
    <row r="51" spans="1:16" x14ac:dyDescent="0.25">
      <c r="A51" s="566">
        <v>41</v>
      </c>
      <c r="B51" s="229" t="s">
        <v>95</v>
      </c>
      <c r="C51" s="620" t="s">
        <v>96</v>
      </c>
      <c r="D51" s="296"/>
      <c r="E51" s="93"/>
      <c r="F51" s="93"/>
      <c r="G51" s="93"/>
      <c r="H51" s="94"/>
      <c r="I51" s="94"/>
      <c r="J51" s="294"/>
      <c r="K51" s="703">
        <v>550</v>
      </c>
      <c r="L51" s="703">
        <v>1100</v>
      </c>
      <c r="M51" s="360">
        <v>1650</v>
      </c>
      <c r="N51" s="294">
        <f t="shared" si="4"/>
        <v>3300</v>
      </c>
      <c r="P51" s="92"/>
    </row>
    <row r="52" spans="1:16" x14ac:dyDescent="0.25">
      <c r="A52" s="566">
        <v>42</v>
      </c>
      <c r="B52" s="358" t="s">
        <v>97</v>
      </c>
      <c r="C52" s="231" t="s">
        <v>98</v>
      </c>
      <c r="D52" s="296"/>
      <c r="E52" s="93"/>
      <c r="F52" s="93"/>
      <c r="G52" s="93"/>
      <c r="H52" s="94"/>
      <c r="I52" s="94"/>
      <c r="J52" s="294"/>
      <c r="K52" s="703"/>
      <c r="L52" s="703"/>
      <c r="M52" s="360"/>
      <c r="N52" s="294"/>
      <c r="P52" s="92"/>
    </row>
    <row r="53" spans="1:16" x14ac:dyDescent="0.25">
      <c r="A53" s="566">
        <v>43</v>
      </c>
      <c r="B53" s="230" t="s">
        <v>99</v>
      </c>
      <c r="C53" s="619" t="s">
        <v>100</v>
      </c>
      <c r="D53" s="296">
        <v>2118</v>
      </c>
      <c r="E53" s="93">
        <v>353</v>
      </c>
      <c r="F53" s="93">
        <v>2117</v>
      </c>
      <c r="G53" s="93">
        <v>352</v>
      </c>
      <c r="H53" s="94">
        <f t="shared" si="2"/>
        <v>4235</v>
      </c>
      <c r="I53" s="94">
        <f t="shared" si="2"/>
        <v>705</v>
      </c>
      <c r="J53" s="294">
        <f t="shared" si="3"/>
        <v>4940</v>
      </c>
      <c r="K53" s="703">
        <v>880</v>
      </c>
      <c r="L53" s="703">
        <v>1760</v>
      </c>
      <c r="M53" s="360">
        <v>2640</v>
      </c>
      <c r="N53" s="294">
        <f t="shared" si="4"/>
        <v>5280</v>
      </c>
      <c r="P53" s="92"/>
    </row>
    <row r="54" spans="1:16" x14ac:dyDescent="0.25">
      <c r="A54" s="566">
        <v>44</v>
      </c>
      <c r="B54" s="229" t="s">
        <v>101</v>
      </c>
      <c r="C54" s="620" t="s">
        <v>102</v>
      </c>
      <c r="D54" s="296">
        <v>874</v>
      </c>
      <c r="E54" s="93">
        <v>144</v>
      </c>
      <c r="F54" s="93">
        <v>873</v>
      </c>
      <c r="G54" s="93">
        <v>144</v>
      </c>
      <c r="H54" s="94">
        <f t="shared" si="2"/>
        <v>1747</v>
      </c>
      <c r="I54" s="94">
        <f t="shared" si="2"/>
        <v>288</v>
      </c>
      <c r="J54" s="294">
        <f t="shared" si="3"/>
        <v>2035</v>
      </c>
      <c r="K54" s="703">
        <v>550</v>
      </c>
      <c r="L54" s="703">
        <v>1100</v>
      </c>
      <c r="M54" s="360">
        <v>1650</v>
      </c>
      <c r="N54" s="294">
        <f t="shared" si="4"/>
        <v>3300</v>
      </c>
      <c r="P54" s="92"/>
    </row>
    <row r="55" spans="1:16" x14ac:dyDescent="0.25">
      <c r="A55" s="566">
        <v>45</v>
      </c>
      <c r="B55" s="230" t="s">
        <v>103</v>
      </c>
      <c r="C55" s="619" t="s">
        <v>104</v>
      </c>
      <c r="D55" s="296">
        <v>2385</v>
      </c>
      <c r="E55" s="93">
        <v>339</v>
      </c>
      <c r="F55" s="93">
        <v>2384</v>
      </c>
      <c r="G55" s="93">
        <v>339</v>
      </c>
      <c r="H55" s="94">
        <f t="shared" si="2"/>
        <v>4769</v>
      </c>
      <c r="I55" s="94">
        <f t="shared" si="2"/>
        <v>678</v>
      </c>
      <c r="J55" s="294">
        <f t="shared" si="3"/>
        <v>5447</v>
      </c>
      <c r="K55" s="703">
        <v>1100</v>
      </c>
      <c r="L55" s="703">
        <v>2200</v>
      </c>
      <c r="M55" s="360">
        <f>3300+60</f>
        <v>3360</v>
      </c>
      <c r="N55" s="294">
        <f t="shared" si="4"/>
        <v>6660</v>
      </c>
      <c r="P55" s="92"/>
    </row>
    <row r="56" spans="1:16" x14ac:dyDescent="0.25">
      <c r="A56" s="566">
        <v>46</v>
      </c>
      <c r="B56" s="229" t="s">
        <v>105</v>
      </c>
      <c r="C56" s="620" t="s">
        <v>106</v>
      </c>
      <c r="D56" s="296"/>
      <c r="E56" s="93"/>
      <c r="F56" s="93"/>
      <c r="G56" s="93"/>
      <c r="H56" s="94"/>
      <c r="I56" s="94"/>
      <c r="J56" s="294"/>
      <c r="K56" s="703">
        <v>550</v>
      </c>
      <c r="L56" s="703">
        <v>1100</v>
      </c>
      <c r="M56" s="360">
        <f>1650+50</f>
        <v>1700</v>
      </c>
      <c r="N56" s="294">
        <f t="shared" si="4"/>
        <v>3350</v>
      </c>
      <c r="P56" s="92"/>
    </row>
    <row r="57" spans="1:16" x14ac:dyDescent="0.25">
      <c r="A57" s="566">
        <v>47</v>
      </c>
      <c r="B57" s="229" t="s">
        <v>107</v>
      </c>
      <c r="C57" s="620" t="s">
        <v>108</v>
      </c>
      <c r="D57" s="296"/>
      <c r="E57" s="93"/>
      <c r="F57" s="93"/>
      <c r="G57" s="93"/>
      <c r="H57" s="94"/>
      <c r="I57" s="94"/>
      <c r="J57" s="294"/>
      <c r="K57" s="703">
        <v>550</v>
      </c>
      <c r="L57" s="703">
        <v>1100</v>
      </c>
      <c r="M57" s="360">
        <v>1650</v>
      </c>
      <c r="N57" s="294">
        <f t="shared" si="4"/>
        <v>3300</v>
      </c>
      <c r="P57" s="92"/>
    </row>
    <row r="58" spans="1:16" x14ac:dyDescent="0.25">
      <c r="A58" s="566">
        <v>48</v>
      </c>
      <c r="B58" s="230" t="s">
        <v>109</v>
      </c>
      <c r="C58" s="619" t="s">
        <v>110</v>
      </c>
      <c r="D58" s="296">
        <v>930</v>
      </c>
      <c r="E58" s="93">
        <v>236</v>
      </c>
      <c r="F58" s="93">
        <v>929</v>
      </c>
      <c r="G58" s="93">
        <v>236</v>
      </c>
      <c r="H58" s="94">
        <f t="shared" si="2"/>
        <v>1859</v>
      </c>
      <c r="I58" s="94">
        <f t="shared" si="2"/>
        <v>472</v>
      </c>
      <c r="J58" s="294">
        <f t="shared" si="3"/>
        <v>2331</v>
      </c>
      <c r="K58" s="703">
        <v>550</v>
      </c>
      <c r="L58" s="703">
        <v>1100</v>
      </c>
      <c r="M58" s="360">
        <f>1650-240</f>
        <v>1410</v>
      </c>
      <c r="N58" s="294">
        <f t="shared" si="4"/>
        <v>3060</v>
      </c>
      <c r="P58" s="92"/>
    </row>
    <row r="59" spans="1:16" ht="12" customHeight="1" x14ac:dyDescent="0.25">
      <c r="A59" s="566">
        <v>49</v>
      </c>
      <c r="B59" s="230" t="s">
        <v>111</v>
      </c>
      <c r="C59" s="619" t="s">
        <v>112</v>
      </c>
      <c r="D59" s="296">
        <v>574</v>
      </c>
      <c r="E59" s="93"/>
      <c r="F59" s="93">
        <v>573</v>
      </c>
      <c r="G59" s="93"/>
      <c r="H59" s="94">
        <f t="shared" si="2"/>
        <v>1147</v>
      </c>
      <c r="I59" s="94"/>
      <c r="J59" s="294">
        <f t="shared" si="3"/>
        <v>1147</v>
      </c>
      <c r="K59" s="703">
        <v>550</v>
      </c>
      <c r="L59" s="703">
        <v>1100</v>
      </c>
      <c r="M59" s="360">
        <f>1650+40</f>
        <v>1690</v>
      </c>
      <c r="N59" s="294">
        <f t="shared" si="4"/>
        <v>3340</v>
      </c>
      <c r="P59" s="92"/>
    </row>
    <row r="60" spans="1:16" x14ac:dyDescent="0.25">
      <c r="A60" s="566">
        <v>50</v>
      </c>
      <c r="B60" s="229" t="s">
        <v>113</v>
      </c>
      <c r="C60" s="620" t="s">
        <v>114</v>
      </c>
      <c r="D60" s="296">
        <v>910</v>
      </c>
      <c r="E60" s="93">
        <v>61</v>
      </c>
      <c r="F60" s="93">
        <v>909</v>
      </c>
      <c r="G60" s="93">
        <v>60</v>
      </c>
      <c r="H60" s="94">
        <f t="shared" si="2"/>
        <v>1819</v>
      </c>
      <c r="I60" s="94">
        <f t="shared" si="2"/>
        <v>121</v>
      </c>
      <c r="J60" s="294">
        <f t="shared" si="3"/>
        <v>1940</v>
      </c>
      <c r="K60" s="703">
        <v>550</v>
      </c>
      <c r="L60" s="703">
        <v>1100</v>
      </c>
      <c r="M60" s="360">
        <f>1650+50</f>
        <v>1700</v>
      </c>
      <c r="N60" s="294">
        <f t="shared" si="4"/>
        <v>3350</v>
      </c>
      <c r="P60" s="92"/>
    </row>
    <row r="61" spans="1:16" x14ac:dyDescent="0.25">
      <c r="A61" s="566">
        <v>51</v>
      </c>
      <c r="B61" s="230" t="s">
        <v>115</v>
      </c>
      <c r="C61" s="619" t="s">
        <v>116</v>
      </c>
      <c r="D61" s="296">
        <v>975</v>
      </c>
      <c r="E61" s="93"/>
      <c r="F61" s="93">
        <f>975+65</f>
        <v>1040</v>
      </c>
      <c r="G61" s="93"/>
      <c r="H61" s="94">
        <f t="shared" si="2"/>
        <v>2015</v>
      </c>
      <c r="I61" s="94"/>
      <c r="J61" s="294">
        <f t="shared" si="3"/>
        <v>2015</v>
      </c>
      <c r="K61" s="703">
        <v>550</v>
      </c>
      <c r="L61" s="703">
        <v>1100</v>
      </c>
      <c r="M61" s="360">
        <v>1650</v>
      </c>
      <c r="N61" s="294">
        <f t="shared" si="4"/>
        <v>3300</v>
      </c>
      <c r="P61" s="92"/>
    </row>
    <row r="62" spans="1:16" x14ac:dyDescent="0.25">
      <c r="A62" s="566">
        <v>52</v>
      </c>
      <c r="B62" s="229" t="s">
        <v>117</v>
      </c>
      <c r="C62" s="620" t="s">
        <v>118</v>
      </c>
      <c r="D62" s="296">
        <v>1687</v>
      </c>
      <c r="E62" s="93">
        <f>450-43</f>
        <v>407</v>
      </c>
      <c r="F62" s="93">
        <v>1686</v>
      </c>
      <c r="G62" s="93">
        <f>450-157</f>
        <v>293</v>
      </c>
      <c r="H62" s="94">
        <f t="shared" si="2"/>
        <v>3373</v>
      </c>
      <c r="I62" s="94">
        <f t="shared" si="2"/>
        <v>700</v>
      </c>
      <c r="J62" s="294">
        <f t="shared" si="3"/>
        <v>4073</v>
      </c>
      <c r="K62" s="703">
        <v>1100</v>
      </c>
      <c r="L62" s="703">
        <f>2200-1187</f>
        <v>1013</v>
      </c>
      <c r="M62" s="360">
        <f>2475+825-400</f>
        <v>2900</v>
      </c>
      <c r="N62" s="294">
        <f t="shared" si="4"/>
        <v>5013</v>
      </c>
      <c r="P62" s="92"/>
    </row>
    <row r="63" spans="1:16" x14ac:dyDescent="0.25">
      <c r="A63" s="566">
        <v>53</v>
      </c>
      <c r="B63" s="230" t="s">
        <v>119</v>
      </c>
      <c r="C63" s="619" t="s">
        <v>120</v>
      </c>
      <c r="D63" s="296">
        <v>765</v>
      </c>
      <c r="E63" s="93"/>
      <c r="F63" s="93">
        <f>764-331</f>
        <v>433</v>
      </c>
      <c r="G63" s="93"/>
      <c r="H63" s="94">
        <f t="shared" si="2"/>
        <v>1198</v>
      </c>
      <c r="I63" s="94"/>
      <c r="J63" s="294">
        <f t="shared" si="3"/>
        <v>1198</v>
      </c>
      <c r="K63" s="703">
        <v>550</v>
      </c>
      <c r="L63" s="703">
        <v>1100</v>
      </c>
      <c r="M63" s="360">
        <v>1650</v>
      </c>
      <c r="N63" s="294">
        <f t="shared" si="4"/>
        <v>3300</v>
      </c>
      <c r="P63" s="92"/>
    </row>
    <row r="64" spans="1:16" x14ac:dyDescent="0.25">
      <c r="A64" s="566">
        <v>54</v>
      </c>
      <c r="B64" s="230" t="s">
        <v>121</v>
      </c>
      <c r="C64" s="619" t="s">
        <v>122</v>
      </c>
      <c r="D64" s="296"/>
      <c r="E64" s="93"/>
      <c r="F64" s="93"/>
      <c r="G64" s="93"/>
      <c r="H64" s="94"/>
      <c r="I64" s="94"/>
      <c r="J64" s="294"/>
      <c r="K64" s="703"/>
      <c r="L64" s="703"/>
      <c r="M64" s="360"/>
      <c r="N64" s="294"/>
      <c r="P64" s="92"/>
    </row>
    <row r="65" spans="1:16" x14ac:dyDescent="0.25">
      <c r="A65" s="566">
        <v>55</v>
      </c>
      <c r="B65" s="230" t="s">
        <v>123</v>
      </c>
      <c r="C65" s="619" t="s">
        <v>124</v>
      </c>
      <c r="D65" s="296"/>
      <c r="E65" s="93"/>
      <c r="F65" s="93"/>
      <c r="G65" s="93"/>
      <c r="H65" s="94"/>
      <c r="I65" s="94"/>
      <c r="J65" s="294"/>
      <c r="K65" s="703"/>
      <c r="L65" s="703"/>
      <c r="M65" s="360"/>
      <c r="N65" s="294"/>
      <c r="P65" s="92"/>
    </row>
    <row r="66" spans="1:16" x14ac:dyDescent="0.25">
      <c r="A66" s="566">
        <v>56</v>
      </c>
      <c r="B66" s="567" t="s">
        <v>125</v>
      </c>
      <c r="C66" s="234" t="s">
        <v>126</v>
      </c>
      <c r="D66" s="296"/>
      <c r="E66" s="93"/>
      <c r="F66" s="93"/>
      <c r="G66" s="93"/>
      <c r="H66" s="94"/>
      <c r="I66" s="94"/>
      <c r="J66" s="294"/>
      <c r="K66" s="703"/>
      <c r="L66" s="703"/>
      <c r="M66" s="360"/>
      <c r="N66" s="294"/>
      <c r="P66" s="92"/>
    </row>
    <row r="67" spans="1:16" ht="24" x14ac:dyDescent="0.25">
      <c r="A67" s="566">
        <v>57</v>
      </c>
      <c r="B67" s="230" t="s">
        <v>127</v>
      </c>
      <c r="C67" s="619" t="s">
        <v>128</v>
      </c>
      <c r="D67" s="296"/>
      <c r="E67" s="93"/>
      <c r="F67" s="93"/>
      <c r="G67" s="93"/>
      <c r="H67" s="94"/>
      <c r="I67" s="94"/>
      <c r="J67" s="294"/>
      <c r="K67" s="703"/>
      <c r="L67" s="703"/>
      <c r="M67" s="360"/>
      <c r="N67" s="294"/>
      <c r="P67" s="92"/>
    </row>
    <row r="68" spans="1:16" ht="24" x14ac:dyDescent="0.25">
      <c r="A68" s="566">
        <v>58</v>
      </c>
      <c r="B68" s="230" t="s">
        <v>129</v>
      </c>
      <c r="C68" s="619" t="s">
        <v>457</v>
      </c>
      <c r="D68" s="296"/>
      <c r="E68" s="93"/>
      <c r="F68" s="93"/>
      <c r="G68" s="93"/>
      <c r="H68" s="94"/>
      <c r="I68" s="94"/>
      <c r="J68" s="294"/>
      <c r="K68" s="703"/>
      <c r="L68" s="703"/>
      <c r="M68" s="360"/>
      <c r="N68" s="294"/>
      <c r="P68" s="92"/>
    </row>
    <row r="69" spans="1:16" ht="24" customHeight="1" x14ac:dyDescent="0.25">
      <c r="A69" s="566">
        <v>59</v>
      </c>
      <c r="B69" s="230" t="s">
        <v>131</v>
      </c>
      <c r="C69" s="619" t="s">
        <v>132</v>
      </c>
      <c r="D69" s="296"/>
      <c r="E69" s="93"/>
      <c r="F69" s="93"/>
      <c r="G69" s="93"/>
      <c r="H69" s="94"/>
      <c r="I69" s="94"/>
      <c r="J69" s="294"/>
      <c r="K69" s="703"/>
      <c r="L69" s="703"/>
      <c r="M69" s="360"/>
      <c r="N69" s="294"/>
      <c r="P69" s="92"/>
    </row>
    <row r="70" spans="1:16" ht="24" x14ac:dyDescent="0.25">
      <c r="A70" s="566">
        <v>60</v>
      </c>
      <c r="B70" s="229" t="s">
        <v>133</v>
      </c>
      <c r="C70" s="619" t="s">
        <v>299</v>
      </c>
      <c r="D70" s="296"/>
      <c r="E70" s="93">
        <f>288-90</f>
        <v>198</v>
      </c>
      <c r="F70" s="93"/>
      <c r="G70" s="93">
        <v>287</v>
      </c>
      <c r="H70" s="94"/>
      <c r="I70" s="94">
        <f t="shared" si="2"/>
        <v>485</v>
      </c>
      <c r="J70" s="294">
        <f t="shared" si="3"/>
        <v>485</v>
      </c>
      <c r="K70" s="703"/>
      <c r="L70" s="703"/>
      <c r="M70" s="360"/>
      <c r="N70" s="294"/>
      <c r="P70" s="92"/>
    </row>
    <row r="71" spans="1:16" ht="24" x14ac:dyDescent="0.25">
      <c r="A71" s="566">
        <v>61</v>
      </c>
      <c r="B71" s="358" t="s">
        <v>135</v>
      </c>
      <c r="C71" s="619" t="s">
        <v>459</v>
      </c>
      <c r="D71" s="296"/>
      <c r="E71" s="93"/>
      <c r="F71" s="93"/>
      <c r="G71" s="93"/>
      <c r="H71" s="94"/>
      <c r="I71" s="94"/>
      <c r="J71" s="294"/>
      <c r="K71" s="703"/>
      <c r="L71" s="703"/>
      <c r="M71" s="360"/>
      <c r="N71" s="294"/>
      <c r="P71" s="92"/>
    </row>
    <row r="72" spans="1:16" ht="24" x14ac:dyDescent="0.25">
      <c r="A72" s="566">
        <v>62</v>
      </c>
      <c r="B72" s="229" t="s">
        <v>137</v>
      </c>
      <c r="C72" s="619" t="s">
        <v>635</v>
      </c>
      <c r="D72" s="296"/>
      <c r="E72" s="93"/>
      <c r="F72" s="93"/>
      <c r="G72" s="93"/>
      <c r="H72" s="94"/>
      <c r="I72" s="94"/>
      <c r="J72" s="294"/>
      <c r="K72" s="703"/>
      <c r="L72" s="703"/>
      <c r="M72" s="360"/>
      <c r="N72" s="294"/>
      <c r="P72" s="92"/>
    </row>
    <row r="73" spans="1:16" ht="24" x14ac:dyDescent="0.25">
      <c r="A73" s="566">
        <v>63</v>
      </c>
      <c r="B73" s="230" t="s">
        <v>139</v>
      </c>
      <c r="C73" s="619" t="s">
        <v>636</v>
      </c>
      <c r="D73" s="296"/>
      <c r="E73" s="93"/>
      <c r="F73" s="93"/>
      <c r="G73" s="93"/>
      <c r="H73" s="94"/>
      <c r="I73" s="94"/>
      <c r="J73" s="294"/>
      <c r="K73" s="703"/>
      <c r="L73" s="703"/>
      <c r="M73" s="360"/>
      <c r="N73" s="294"/>
      <c r="P73" s="92"/>
    </row>
    <row r="74" spans="1:16" ht="12" customHeight="1" x14ac:dyDescent="0.25">
      <c r="A74" s="566">
        <v>64</v>
      </c>
      <c r="B74" s="229" t="s">
        <v>141</v>
      </c>
      <c r="C74" s="619" t="s">
        <v>454</v>
      </c>
      <c r="D74" s="296">
        <f>2783-47</f>
        <v>2736</v>
      </c>
      <c r="E74" s="93">
        <v>552</v>
      </c>
      <c r="F74" s="93">
        <f>2783-172+150</f>
        <v>2761</v>
      </c>
      <c r="G74" s="93">
        <f>0+314</f>
        <v>314</v>
      </c>
      <c r="H74" s="94">
        <f t="shared" si="2"/>
        <v>5497</v>
      </c>
      <c r="I74" s="94">
        <f t="shared" si="2"/>
        <v>866</v>
      </c>
      <c r="J74" s="294">
        <f t="shared" si="3"/>
        <v>6363</v>
      </c>
      <c r="K74" s="703"/>
      <c r="L74" s="703"/>
      <c r="M74" s="360"/>
      <c r="N74" s="294"/>
      <c r="P74" s="92"/>
    </row>
    <row r="75" spans="1:16" x14ac:dyDescent="0.25">
      <c r="A75" s="566">
        <v>65</v>
      </c>
      <c r="B75" s="229" t="s">
        <v>143</v>
      </c>
      <c r="C75" s="619" t="s">
        <v>144</v>
      </c>
      <c r="D75" s="296">
        <f>2191-29</f>
        <v>2162</v>
      </c>
      <c r="E75" s="93">
        <v>545</v>
      </c>
      <c r="F75" s="93">
        <f>2191-108</f>
        <v>2083</v>
      </c>
      <c r="G75" s="93">
        <f>0+440</f>
        <v>440</v>
      </c>
      <c r="H75" s="94">
        <f t="shared" si="2"/>
        <v>4245</v>
      </c>
      <c r="I75" s="94">
        <f t="shared" si="2"/>
        <v>985</v>
      </c>
      <c r="J75" s="294">
        <f t="shared" si="3"/>
        <v>5230</v>
      </c>
      <c r="K75" s="703"/>
      <c r="L75" s="703"/>
      <c r="M75" s="360"/>
      <c r="N75" s="294"/>
      <c r="P75" s="92"/>
    </row>
    <row r="76" spans="1:16" x14ac:dyDescent="0.25">
      <c r="A76" s="566">
        <v>66</v>
      </c>
      <c r="B76" s="229" t="s">
        <v>145</v>
      </c>
      <c r="C76" s="619" t="s">
        <v>455</v>
      </c>
      <c r="D76" s="296">
        <f>3429-67</f>
        <v>3362</v>
      </c>
      <c r="E76" s="93"/>
      <c r="F76" s="93">
        <f>3427-245</f>
        <v>3182</v>
      </c>
      <c r="G76" s="93"/>
      <c r="H76" s="94">
        <f t="shared" ref="H76:I139" si="5">D76+F76</f>
        <v>6544</v>
      </c>
      <c r="I76" s="94"/>
      <c r="J76" s="294">
        <f t="shared" ref="J76:J139" si="6">H76+I76</f>
        <v>6544</v>
      </c>
      <c r="K76" s="703"/>
      <c r="L76" s="703"/>
      <c r="M76" s="360"/>
      <c r="N76" s="294"/>
      <c r="P76" s="92"/>
    </row>
    <row r="77" spans="1:16" ht="24" x14ac:dyDescent="0.25">
      <c r="A77" s="566">
        <v>67</v>
      </c>
      <c r="B77" s="229" t="s">
        <v>147</v>
      </c>
      <c r="C77" s="619" t="s">
        <v>637</v>
      </c>
      <c r="D77" s="296"/>
      <c r="E77" s="93"/>
      <c r="F77" s="93"/>
      <c r="G77" s="93"/>
      <c r="H77" s="94"/>
      <c r="I77" s="94"/>
      <c r="J77" s="294"/>
      <c r="K77" s="703"/>
      <c r="L77" s="703"/>
      <c r="M77" s="360"/>
      <c r="N77" s="294"/>
      <c r="P77" s="92"/>
    </row>
    <row r="78" spans="1:16" ht="24" x14ac:dyDescent="0.25">
      <c r="A78" s="566">
        <v>68</v>
      </c>
      <c r="B78" s="229" t="s">
        <v>149</v>
      </c>
      <c r="C78" s="619" t="s">
        <v>461</v>
      </c>
      <c r="D78" s="296"/>
      <c r="E78" s="93"/>
      <c r="F78" s="93"/>
      <c r="G78" s="93"/>
      <c r="H78" s="94"/>
      <c r="I78" s="94"/>
      <c r="J78" s="294"/>
      <c r="K78" s="703"/>
      <c r="L78" s="703"/>
      <c r="M78" s="360"/>
      <c r="N78" s="294"/>
      <c r="P78" s="92"/>
    </row>
    <row r="79" spans="1:16" ht="24" x14ac:dyDescent="0.25">
      <c r="A79" s="566">
        <v>69</v>
      </c>
      <c r="B79" s="229" t="s">
        <v>151</v>
      </c>
      <c r="C79" s="619" t="s">
        <v>638</v>
      </c>
      <c r="D79" s="296"/>
      <c r="E79" s="93"/>
      <c r="F79" s="93"/>
      <c r="G79" s="93"/>
      <c r="H79" s="94"/>
      <c r="I79" s="94"/>
      <c r="J79" s="294"/>
      <c r="K79" s="703"/>
      <c r="L79" s="703"/>
      <c r="M79" s="360"/>
      <c r="N79" s="294"/>
      <c r="P79" s="92"/>
    </row>
    <row r="80" spans="1:16" ht="24" x14ac:dyDescent="0.25">
      <c r="A80" s="566">
        <v>70</v>
      </c>
      <c r="B80" s="229" t="s">
        <v>153</v>
      </c>
      <c r="C80" s="619" t="s">
        <v>639</v>
      </c>
      <c r="D80" s="296"/>
      <c r="E80" s="93"/>
      <c r="F80" s="93"/>
      <c r="G80" s="93"/>
      <c r="H80" s="94"/>
      <c r="I80" s="94"/>
      <c r="J80" s="294"/>
      <c r="K80" s="703"/>
      <c r="L80" s="703"/>
      <c r="M80" s="360"/>
      <c r="N80" s="294"/>
      <c r="P80" s="92"/>
    </row>
    <row r="81" spans="1:16" ht="24" x14ac:dyDescent="0.25">
      <c r="A81" s="566">
        <v>71</v>
      </c>
      <c r="B81" s="230" t="s">
        <v>155</v>
      </c>
      <c r="C81" s="619" t="s">
        <v>640</v>
      </c>
      <c r="D81" s="296"/>
      <c r="E81" s="93"/>
      <c r="F81" s="93"/>
      <c r="G81" s="93"/>
      <c r="H81" s="94"/>
      <c r="I81" s="94"/>
      <c r="J81" s="294"/>
      <c r="K81" s="703"/>
      <c r="L81" s="703"/>
      <c r="M81" s="360"/>
      <c r="N81" s="294"/>
      <c r="P81" s="92"/>
    </row>
    <row r="82" spans="1:16" ht="24" x14ac:dyDescent="0.25">
      <c r="A82" s="566">
        <v>72</v>
      </c>
      <c r="B82" s="229" t="s">
        <v>157</v>
      </c>
      <c r="C82" s="620" t="s">
        <v>641</v>
      </c>
      <c r="D82" s="296"/>
      <c r="E82" s="93"/>
      <c r="F82" s="93"/>
      <c r="G82" s="93"/>
      <c r="H82" s="94"/>
      <c r="I82" s="94"/>
      <c r="J82" s="294"/>
      <c r="K82" s="703"/>
      <c r="L82" s="703"/>
      <c r="M82" s="360"/>
      <c r="N82" s="294"/>
      <c r="P82" s="92"/>
    </row>
    <row r="83" spans="1:16" ht="24" x14ac:dyDescent="0.25">
      <c r="A83" s="566">
        <v>73</v>
      </c>
      <c r="B83" s="230" t="s">
        <v>159</v>
      </c>
      <c r="C83" s="619" t="s">
        <v>642</v>
      </c>
      <c r="D83" s="296"/>
      <c r="E83" s="93"/>
      <c r="F83" s="93"/>
      <c r="G83" s="93"/>
      <c r="H83" s="94"/>
      <c r="I83" s="94"/>
      <c r="J83" s="294"/>
      <c r="K83" s="703"/>
      <c r="L83" s="703"/>
      <c r="M83" s="360"/>
      <c r="N83" s="294"/>
      <c r="P83" s="92"/>
    </row>
    <row r="84" spans="1:16" ht="18" customHeight="1" x14ac:dyDescent="0.25">
      <c r="A84" s="566">
        <v>74</v>
      </c>
      <c r="B84" s="229" t="s">
        <v>161</v>
      </c>
      <c r="C84" s="619" t="s">
        <v>162</v>
      </c>
      <c r="D84" s="296">
        <f>1143-49</f>
        <v>1094</v>
      </c>
      <c r="E84" s="93"/>
      <c r="F84" s="93">
        <f>1142-182</f>
        <v>960</v>
      </c>
      <c r="G84" s="93"/>
      <c r="H84" s="94">
        <f t="shared" si="5"/>
        <v>2054</v>
      </c>
      <c r="I84" s="94"/>
      <c r="J84" s="294">
        <f t="shared" si="6"/>
        <v>2054</v>
      </c>
      <c r="K84" s="703"/>
      <c r="L84" s="703">
        <v>1650</v>
      </c>
      <c r="M84" s="360">
        <v>2475</v>
      </c>
      <c r="N84" s="294">
        <f t="shared" ref="N84:N139" si="7">K84+L84+M84</f>
        <v>4125</v>
      </c>
      <c r="P84" s="92"/>
    </row>
    <row r="85" spans="1:16" x14ac:dyDescent="0.25">
      <c r="A85" s="566">
        <v>75</v>
      </c>
      <c r="B85" s="230" t="s">
        <v>163</v>
      </c>
      <c r="C85" s="619" t="s">
        <v>456</v>
      </c>
      <c r="D85" s="296">
        <f>4113-135</f>
        <v>3978</v>
      </c>
      <c r="E85" s="93">
        <f>543-90+90</f>
        <v>543</v>
      </c>
      <c r="F85" s="93">
        <f>4112-499+500</f>
        <v>4113</v>
      </c>
      <c r="G85" s="93">
        <f>0+550</f>
        <v>550</v>
      </c>
      <c r="H85" s="94">
        <f t="shared" si="5"/>
        <v>8091</v>
      </c>
      <c r="I85" s="94">
        <f t="shared" si="5"/>
        <v>1093</v>
      </c>
      <c r="J85" s="294">
        <f t="shared" si="6"/>
        <v>9184</v>
      </c>
      <c r="K85" s="703">
        <v>1650</v>
      </c>
      <c r="L85" s="703">
        <v>3300</v>
      </c>
      <c r="M85" s="360">
        <f>4950+745</f>
        <v>5695</v>
      </c>
      <c r="N85" s="294">
        <f t="shared" si="7"/>
        <v>10645</v>
      </c>
      <c r="P85" s="92"/>
    </row>
    <row r="86" spans="1:16" x14ac:dyDescent="0.25">
      <c r="A86" s="566">
        <v>76</v>
      </c>
      <c r="B86" s="230" t="s">
        <v>165</v>
      </c>
      <c r="C86" s="619" t="s">
        <v>166</v>
      </c>
      <c r="D86" s="296">
        <f>2243-50</f>
        <v>2193</v>
      </c>
      <c r="E86" s="93">
        <v>323</v>
      </c>
      <c r="F86" s="93">
        <f>2242-185+50</f>
        <v>2107</v>
      </c>
      <c r="G86" s="93">
        <f>323-131+80</f>
        <v>272</v>
      </c>
      <c r="H86" s="94">
        <f t="shared" si="5"/>
        <v>4300</v>
      </c>
      <c r="I86" s="94">
        <f t="shared" si="5"/>
        <v>595</v>
      </c>
      <c r="J86" s="294">
        <f t="shared" si="6"/>
        <v>4895</v>
      </c>
      <c r="K86" s="703">
        <v>1925</v>
      </c>
      <c r="L86" s="703">
        <v>3190</v>
      </c>
      <c r="M86" s="360">
        <f>3135-1485+1130</f>
        <v>2780</v>
      </c>
      <c r="N86" s="294">
        <f t="shared" si="7"/>
        <v>7895</v>
      </c>
      <c r="P86" s="92"/>
    </row>
    <row r="87" spans="1:16" s="297" customFormat="1" x14ac:dyDescent="0.25">
      <c r="A87" s="566">
        <v>77</v>
      </c>
      <c r="B87" s="229" t="s">
        <v>167</v>
      </c>
      <c r="C87" s="619" t="s">
        <v>168</v>
      </c>
      <c r="D87" s="227">
        <f>483-15</f>
        <v>468</v>
      </c>
      <c r="E87" s="228">
        <f>383-80</f>
        <v>303</v>
      </c>
      <c r="F87" s="228">
        <f>482-54+30</f>
        <v>458</v>
      </c>
      <c r="G87" s="228"/>
      <c r="H87" s="94">
        <f t="shared" si="5"/>
        <v>926</v>
      </c>
      <c r="I87" s="94">
        <f t="shared" si="5"/>
        <v>303</v>
      </c>
      <c r="J87" s="294">
        <f t="shared" si="6"/>
        <v>1229</v>
      </c>
      <c r="K87" s="703">
        <v>825</v>
      </c>
      <c r="L87" s="703">
        <v>1650</v>
      </c>
      <c r="M87" s="360">
        <v>2475</v>
      </c>
      <c r="N87" s="294">
        <f t="shared" si="7"/>
        <v>4950</v>
      </c>
      <c r="P87" s="92"/>
    </row>
    <row r="88" spans="1:16" s="297" customFormat="1" x14ac:dyDescent="0.25">
      <c r="A88" s="566">
        <v>78</v>
      </c>
      <c r="B88" s="229" t="s">
        <v>169</v>
      </c>
      <c r="C88" s="619" t="s">
        <v>170</v>
      </c>
      <c r="D88" s="227">
        <f>840-39</f>
        <v>801</v>
      </c>
      <c r="E88" s="228">
        <v>500</v>
      </c>
      <c r="F88" s="228">
        <f>840-145</f>
        <v>695</v>
      </c>
      <c r="G88" s="93">
        <f>0+224</f>
        <v>224</v>
      </c>
      <c r="H88" s="94">
        <f t="shared" si="5"/>
        <v>1496</v>
      </c>
      <c r="I88" s="94">
        <f t="shared" si="5"/>
        <v>724</v>
      </c>
      <c r="J88" s="294">
        <f t="shared" si="6"/>
        <v>2220</v>
      </c>
      <c r="K88" s="703">
        <v>825</v>
      </c>
      <c r="L88" s="703">
        <v>1650</v>
      </c>
      <c r="M88" s="360">
        <f>2475+40</f>
        <v>2515</v>
      </c>
      <c r="N88" s="294">
        <f t="shared" si="7"/>
        <v>4990</v>
      </c>
      <c r="P88" s="92"/>
    </row>
    <row r="89" spans="1:16" s="297" customFormat="1" x14ac:dyDescent="0.25">
      <c r="A89" s="566">
        <v>79</v>
      </c>
      <c r="B89" s="229" t="s">
        <v>171</v>
      </c>
      <c r="C89" s="619" t="s">
        <v>172</v>
      </c>
      <c r="D89" s="227"/>
      <c r="E89" s="228">
        <f>263-90</f>
        <v>173</v>
      </c>
      <c r="F89" s="228"/>
      <c r="G89" s="228">
        <v>263</v>
      </c>
      <c r="H89" s="94"/>
      <c r="I89" s="94">
        <f t="shared" si="5"/>
        <v>436</v>
      </c>
      <c r="J89" s="294">
        <f t="shared" si="6"/>
        <v>436</v>
      </c>
      <c r="K89" s="703">
        <v>550</v>
      </c>
      <c r="L89" s="703">
        <v>1540</v>
      </c>
      <c r="M89" s="360">
        <f>2310-660-380</f>
        <v>1270</v>
      </c>
      <c r="N89" s="294">
        <f t="shared" si="7"/>
        <v>3360</v>
      </c>
      <c r="P89" s="92"/>
    </row>
    <row r="90" spans="1:16" x14ac:dyDescent="0.25">
      <c r="A90" s="566">
        <v>80</v>
      </c>
      <c r="B90" s="229" t="s">
        <v>173</v>
      </c>
      <c r="C90" s="619" t="s">
        <v>613</v>
      </c>
      <c r="D90" s="296">
        <f>2667-67</f>
        <v>2600</v>
      </c>
      <c r="E90" s="93"/>
      <c r="F90" s="93">
        <f>2665-247</f>
        <v>2418</v>
      </c>
      <c r="G90" s="93"/>
      <c r="H90" s="94">
        <f t="shared" si="5"/>
        <v>5018</v>
      </c>
      <c r="I90" s="94"/>
      <c r="J90" s="294">
        <f t="shared" si="6"/>
        <v>5018</v>
      </c>
      <c r="K90" s="703">
        <f>1815-10</f>
        <v>1805</v>
      </c>
      <c r="L90" s="703">
        <v>3080</v>
      </c>
      <c r="M90" s="360">
        <f>1650+990</f>
        <v>2640</v>
      </c>
      <c r="N90" s="294">
        <f t="shared" si="7"/>
        <v>7525</v>
      </c>
      <c r="P90" s="92"/>
    </row>
    <row r="91" spans="1:16" x14ac:dyDescent="0.25">
      <c r="A91" s="566">
        <v>81</v>
      </c>
      <c r="B91" s="229" t="s">
        <v>175</v>
      </c>
      <c r="C91" s="619" t="s">
        <v>176</v>
      </c>
      <c r="D91" s="296"/>
      <c r="E91" s="93"/>
      <c r="F91" s="93"/>
      <c r="G91" s="93"/>
      <c r="H91" s="94"/>
      <c r="I91" s="94"/>
      <c r="J91" s="294"/>
      <c r="K91" s="703"/>
      <c r="L91" s="703"/>
      <c r="M91" s="360"/>
      <c r="N91" s="294"/>
      <c r="P91" s="92"/>
    </row>
    <row r="92" spans="1:16" x14ac:dyDescent="0.25">
      <c r="A92" s="566">
        <v>82</v>
      </c>
      <c r="B92" s="235" t="s">
        <v>177</v>
      </c>
      <c r="C92" s="234" t="s">
        <v>745</v>
      </c>
      <c r="D92" s="296"/>
      <c r="E92" s="93"/>
      <c r="F92" s="93"/>
      <c r="G92" s="93"/>
      <c r="H92" s="94"/>
      <c r="I92" s="94"/>
      <c r="J92" s="294"/>
      <c r="K92" s="703"/>
      <c r="L92" s="703"/>
      <c r="M92" s="360"/>
      <c r="N92" s="294"/>
      <c r="P92" s="92"/>
    </row>
    <row r="93" spans="1:16" ht="24" x14ac:dyDescent="0.25">
      <c r="A93" s="1257">
        <v>83</v>
      </c>
      <c r="B93" s="1260" t="s">
        <v>178</v>
      </c>
      <c r="C93" s="236" t="s">
        <v>746</v>
      </c>
      <c r="D93" s="296"/>
      <c r="E93" s="93"/>
      <c r="F93" s="93"/>
      <c r="G93" s="93"/>
      <c r="H93" s="94"/>
      <c r="I93" s="94"/>
      <c r="J93" s="294"/>
      <c r="K93" s="703"/>
      <c r="L93" s="703"/>
      <c r="M93" s="360"/>
      <c r="N93" s="294"/>
      <c r="P93" s="92"/>
    </row>
    <row r="94" spans="1:16" ht="24" x14ac:dyDescent="0.25">
      <c r="A94" s="1258"/>
      <c r="B94" s="1261"/>
      <c r="C94" s="234" t="s">
        <v>179</v>
      </c>
      <c r="D94" s="296"/>
      <c r="E94" s="93"/>
      <c r="F94" s="93"/>
      <c r="G94" s="93"/>
      <c r="H94" s="94"/>
      <c r="I94" s="94"/>
      <c r="J94" s="294"/>
      <c r="K94" s="703"/>
      <c r="L94" s="703"/>
      <c r="M94" s="360"/>
      <c r="N94" s="294"/>
      <c r="P94" s="92"/>
    </row>
    <row r="95" spans="1:16" ht="24" x14ac:dyDescent="0.25">
      <c r="A95" s="1258"/>
      <c r="B95" s="1261"/>
      <c r="C95" s="234" t="s">
        <v>180</v>
      </c>
      <c r="D95" s="296"/>
      <c r="E95" s="93"/>
      <c r="F95" s="93"/>
      <c r="G95" s="93"/>
      <c r="H95" s="94"/>
      <c r="I95" s="94"/>
      <c r="J95" s="294"/>
      <c r="K95" s="703"/>
      <c r="L95" s="703"/>
      <c r="M95" s="360"/>
      <c r="N95" s="294"/>
      <c r="P95" s="92"/>
    </row>
    <row r="96" spans="1:16" ht="48" x14ac:dyDescent="0.25">
      <c r="A96" s="1259"/>
      <c r="B96" s="1262"/>
      <c r="C96" s="237" t="s">
        <v>507</v>
      </c>
      <c r="D96" s="296"/>
      <c r="E96" s="93"/>
      <c r="F96" s="93"/>
      <c r="G96" s="93"/>
      <c r="H96" s="94"/>
      <c r="I96" s="94"/>
      <c r="J96" s="294"/>
      <c r="K96" s="703"/>
      <c r="L96" s="703"/>
      <c r="M96" s="360"/>
      <c r="N96" s="294"/>
      <c r="P96" s="92"/>
    </row>
    <row r="97" spans="1:16" ht="24" x14ac:dyDescent="0.25">
      <c r="A97" s="566">
        <v>84</v>
      </c>
      <c r="B97" s="230" t="s">
        <v>181</v>
      </c>
      <c r="C97" s="619" t="s">
        <v>182</v>
      </c>
      <c r="D97" s="296"/>
      <c r="E97" s="93"/>
      <c r="F97" s="93"/>
      <c r="G97" s="93"/>
      <c r="H97" s="94"/>
      <c r="I97" s="94"/>
      <c r="J97" s="294"/>
      <c r="K97" s="703"/>
      <c r="L97" s="703"/>
      <c r="M97" s="360"/>
      <c r="N97" s="294"/>
      <c r="P97" s="92"/>
    </row>
    <row r="98" spans="1:16" x14ac:dyDescent="0.25">
      <c r="A98" s="566">
        <v>85</v>
      </c>
      <c r="B98" s="229" t="s">
        <v>183</v>
      </c>
      <c r="C98" s="619" t="s">
        <v>184</v>
      </c>
      <c r="D98" s="296"/>
      <c r="E98" s="93"/>
      <c r="F98" s="93"/>
      <c r="G98" s="93"/>
      <c r="H98" s="94"/>
      <c r="I98" s="94"/>
      <c r="J98" s="294"/>
      <c r="K98" s="703"/>
      <c r="L98" s="703"/>
      <c r="M98" s="360"/>
      <c r="N98" s="294"/>
      <c r="P98" s="92"/>
    </row>
    <row r="99" spans="1:16" x14ac:dyDescent="0.25">
      <c r="A99" s="566">
        <v>86</v>
      </c>
      <c r="B99" s="230" t="s">
        <v>185</v>
      </c>
      <c r="C99" s="619" t="s">
        <v>186</v>
      </c>
      <c r="D99" s="296"/>
      <c r="E99" s="93"/>
      <c r="F99" s="93"/>
      <c r="G99" s="93"/>
      <c r="H99" s="94"/>
      <c r="I99" s="94"/>
      <c r="J99" s="294"/>
      <c r="K99" s="703"/>
      <c r="L99" s="703"/>
      <c r="M99" s="360"/>
      <c r="N99" s="294"/>
      <c r="P99" s="92"/>
    </row>
    <row r="100" spans="1:16" x14ac:dyDescent="0.25">
      <c r="A100" s="566">
        <v>87</v>
      </c>
      <c r="B100" s="358" t="s">
        <v>187</v>
      </c>
      <c r="C100" s="231" t="s">
        <v>188</v>
      </c>
      <c r="D100" s="296"/>
      <c r="E100" s="93"/>
      <c r="F100" s="93"/>
      <c r="G100" s="93"/>
      <c r="H100" s="94"/>
      <c r="I100" s="94"/>
      <c r="J100" s="294"/>
      <c r="K100" s="703">
        <v>550</v>
      </c>
      <c r="L100" s="703">
        <v>1100</v>
      </c>
      <c r="M100" s="360">
        <v>1650</v>
      </c>
      <c r="N100" s="294">
        <f t="shared" si="7"/>
        <v>3300</v>
      </c>
      <c r="P100" s="92"/>
    </row>
    <row r="101" spans="1:16" x14ac:dyDescent="0.25">
      <c r="A101" s="566">
        <v>88</v>
      </c>
      <c r="B101" s="229" t="s">
        <v>189</v>
      </c>
      <c r="C101" s="619" t="s">
        <v>190</v>
      </c>
      <c r="D101" s="296"/>
      <c r="E101" s="93"/>
      <c r="F101" s="93"/>
      <c r="G101" s="93"/>
      <c r="H101" s="94"/>
      <c r="I101" s="94"/>
      <c r="J101" s="294"/>
      <c r="K101" s="703">
        <v>550</v>
      </c>
      <c r="L101" s="703">
        <v>1100</v>
      </c>
      <c r="M101" s="360">
        <v>1650</v>
      </c>
      <c r="N101" s="294">
        <f t="shared" si="7"/>
        <v>3300</v>
      </c>
      <c r="P101" s="92"/>
    </row>
    <row r="102" spans="1:16" x14ac:dyDescent="0.25">
      <c r="A102" s="566">
        <v>89</v>
      </c>
      <c r="B102" s="229" t="s">
        <v>191</v>
      </c>
      <c r="C102" s="619" t="s">
        <v>192</v>
      </c>
      <c r="D102" s="296">
        <v>942</v>
      </c>
      <c r="E102" s="93">
        <v>115</v>
      </c>
      <c r="F102" s="93">
        <v>942</v>
      </c>
      <c r="G102" s="93">
        <v>114</v>
      </c>
      <c r="H102" s="94">
        <f t="shared" si="5"/>
        <v>1884</v>
      </c>
      <c r="I102" s="94">
        <f t="shared" si="5"/>
        <v>229</v>
      </c>
      <c r="J102" s="294">
        <f t="shared" si="6"/>
        <v>2113</v>
      </c>
      <c r="K102" s="703">
        <v>550</v>
      </c>
      <c r="L102" s="703">
        <v>1100</v>
      </c>
      <c r="M102" s="360">
        <v>1650</v>
      </c>
      <c r="N102" s="294">
        <f t="shared" si="7"/>
        <v>3300</v>
      </c>
      <c r="P102" s="92"/>
    </row>
    <row r="103" spans="1:16" x14ac:dyDescent="0.25">
      <c r="A103" s="566">
        <v>90</v>
      </c>
      <c r="B103" s="358" t="s">
        <v>193</v>
      </c>
      <c r="C103" s="231" t="s">
        <v>194</v>
      </c>
      <c r="D103" s="296">
        <v>620</v>
      </c>
      <c r="E103" s="93">
        <v>65</v>
      </c>
      <c r="F103" s="93">
        <v>620</v>
      </c>
      <c r="G103" s="93">
        <v>65</v>
      </c>
      <c r="H103" s="94">
        <f t="shared" si="5"/>
        <v>1240</v>
      </c>
      <c r="I103" s="94">
        <f t="shared" si="5"/>
        <v>130</v>
      </c>
      <c r="J103" s="294">
        <f t="shared" si="6"/>
        <v>1370</v>
      </c>
      <c r="K103" s="703">
        <v>275</v>
      </c>
      <c r="L103" s="703">
        <v>550</v>
      </c>
      <c r="M103" s="360">
        <v>825</v>
      </c>
      <c r="N103" s="294">
        <f t="shared" si="7"/>
        <v>1650</v>
      </c>
      <c r="P103" s="92"/>
    </row>
    <row r="104" spans="1:16" x14ac:dyDescent="0.25">
      <c r="A104" s="566">
        <v>91</v>
      </c>
      <c r="B104" s="229" t="s">
        <v>195</v>
      </c>
      <c r="C104" s="619" t="s">
        <v>196</v>
      </c>
      <c r="D104" s="296">
        <v>574</v>
      </c>
      <c r="E104" s="93"/>
      <c r="F104" s="93">
        <f>573+30</f>
        <v>603</v>
      </c>
      <c r="G104" s="93"/>
      <c r="H104" s="94">
        <f t="shared" si="5"/>
        <v>1177</v>
      </c>
      <c r="I104" s="94"/>
      <c r="J104" s="294">
        <f t="shared" si="6"/>
        <v>1177</v>
      </c>
      <c r="K104" s="703">
        <v>550</v>
      </c>
      <c r="L104" s="703">
        <v>1100</v>
      </c>
      <c r="M104" s="360">
        <v>1650</v>
      </c>
      <c r="N104" s="294">
        <f t="shared" si="7"/>
        <v>3300</v>
      </c>
      <c r="P104" s="92"/>
    </row>
    <row r="105" spans="1:16" x14ac:dyDescent="0.25">
      <c r="A105" s="566">
        <v>92</v>
      </c>
      <c r="B105" s="358" t="s">
        <v>197</v>
      </c>
      <c r="C105" s="231" t="s">
        <v>198</v>
      </c>
      <c r="D105" s="296">
        <v>774</v>
      </c>
      <c r="E105" s="93">
        <v>153</v>
      </c>
      <c r="F105" s="93">
        <v>773</v>
      </c>
      <c r="G105" s="93">
        <v>153</v>
      </c>
      <c r="H105" s="94">
        <f t="shared" si="5"/>
        <v>1547</v>
      </c>
      <c r="I105" s="94">
        <f t="shared" si="5"/>
        <v>306</v>
      </c>
      <c r="J105" s="294">
        <f t="shared" si="6"/>
        <v>1853</v>
      </c>
      <c r="K105" s="703">
        <v>550</v>
      </c>
      <c r="L105" s="703">
        <v>1100</v>
      </c>
      <c r="M105" s="360">
        <v>1650</v>
      </c>
      <c r="N105" s="294">
        <f t="shared" si="7"/>
        <v>3300</v>
      </c>
      <c r="P105" s="92"/>
    </row>
    <row r="106" spans="1:16" x14ac:dyDescent="0.25">
      <c r="A106" s="566">
        <v>93</v>
      </c>
      <c r="B106" s="229" t="s">
        <v>199</v>
      </c>
      <c r="C106" s="619" t="s">
        <v>200</v>
      </c>
      <c r="D106" s="296">
        <v>946</v>
      </c>
      <c r="E106" s="93">
        <v>188</v>
      </c>
      <c r="F106" s="93">
        <f>946+37</f>
        <v>983</v>
      </c>
      <c r="G106" s="93">
        <v>187</v>
      </c>
      <c r="H106" s="94">
        <f t="shared" si="5"/>
        <v>1929</v>
      </c>
      <c r="I106" s="94">
        <f t="shared" si="5"/>
        <v>375</v>
      </c>
      <c r="J106" s="294">
        <f t="shared" si="6"/>
        <v>2304</v>
      </c>
      <c r="K106" s="703">
        <v>550</v>
      </c>
      <c r="L106" s="703">
        <v>1100</v>
      </c>
      <c r="M106" s="360">
        <v>1650</v>
      </c>
      <c r="N106" s="294">
        <f t="shared" si="7"/>
        <v>3300</v>
      </c>
      <c r="P106" s="92"/>
    </row>
    <row r="107" spans="1:16" x14ac:dyDescent="0.25">
      <c r="A107" s="566">
        <v>94</v>
      </c>
      <c r="B107" s="230" t="s">
        <v>201</v>
      </c>
      <c r="C107" s="619" t="s">
        <v>202</v>
      </c>
      <c r="D107" s="296"/>
      <c r="E107" s="93"/>
      <c r="F107" s="93"/>
      <c r="G107" s="93"/>
      <c r="H107" s="94"/>
      <c r="I107" s="94"/>
      <c r="J107" s="294"/>
      <c r="K107" s="703">
        <v>275</v>
      </c>
      <c r="L107" s="703">
        <v>550</v>
      </c>
      <c r="M107" s="360">
        <v>825</v>
      </c>
      <c r="N107" s="294">
        <f t="shared" si="7"/>
        <v>1650</v>
      </c>
      <c r="P107" s="92"/>
    </row>
    <row r="108" spans="1:16" x14ac:dyDescent="0.25">
      <c r="A108" s="566">
        <v>95</v>
      </c>
      <c r="B108" s="229" t="s">
        <v>203</v>
      </c>
      <c r="C108" s="620" t="s">
        <v>204</v>
      </c>
      <c r="D108" s="296">
        <v>881</v>
      </c>
      <c r="E108" s="93"/>
      <c r="F108" s="93">
        <f>880+60</f>
        <v>940</v>
      </c>
      <c r="G108" s="93"/>
      <c r="H108" s="94">
        <f t="shared" si="5"/>
        <v>1821</v>
      </c>
      <c r="I108" s="94"/>
      <c r="J108" s="294">
        <f t="shared" si="6"/>
        <v>1821</v>
      </c>
      <c r="K108" s="703">
        <v>550</v>
      </c>
      <c r="L108" s="703">
        <v>1100</v>
      </c>
      <c r="M108" s="360">
        <v>1650</v>
      </c>
      <c r="N108" s="294">
        <f t="shared" si="7"/>
        <v>3300</v>
      </c>
      <c r="P108" s="92"/>
    </row>
    <row r="109" spans="1:16" x14ac:dyDescent="0.25">
      <c r="A109" s="566">
        <v>96</v>
      </c>
      <c r="B109" s="229" t="s">
        <v>205</v>
      </c>
      <c r="C109" s="231" t="s">
        <v>206</v>
      </c>
      <c r="D109" s="296"/>
      <c r="E109" s="93"/>
      <c r="F109" s="93"/>
      <c r="G109" s="93"/>
      <c r="H109" s="94"/>
      <c r="I109" s="94"/>
      <c r="J109" s="294"/>
      <c r="K109" s="703">
        <v>550</v>
      </c>
      <c r="L109" s="703">
        <v>1100</v>
      </c>
      <c r="M109" s="360">
        <v>1650</v>
      </c>
      <c r="N109" s="294">
        <f t="shared" si="7"/>
        <v>3300</v>
      </c>
      <c r="P109" s="92"/>
    </row>
    <row r="110" spans="1:16" x14ac:dyDescent="0.25">
      <c r="A110" s="566">
        <v>97</v>
      </c>
      <c r="B110" s="230" t="s">
        <v>207</v>
      </c>
      <c r="C110" s="619" t="s">
        <v>208</v>
      </c>
      <c r="D110" s="296">
        <v>1930</v>
      </c>
      <c r="E110" s="93">
        <v>265</v>
      </c>
      <c r="F110" s="93">
        <f>1929+50</f>
        <v>1979</v>
      </c>
      <c r="G110" s="93">
        <v>265</v>
      </c>
      <c r="H110" s="94">
        <f t="shared" si="5"/>
        <v>3909</v>
      </c>
      <c r="I110" s="94">
        <f t="shared" si="5"/>
        <v>530</v>
      </c>
      <c r="J110" s="294">
        <f t="shared" si="6"/>
        <v>4439</v>
      </c>
      <c r="K110" s="703">
        <v>605</v>
      </c>
      <c r="L110" s="703">
        <v>1210</v>
      </c>
      <c r="M110" s="360">
        <f>1815</f>
        <v>1815</v>
      </c>
      <c r="N110" s="294">
        <f t="shared" si="7"/>
        <v>3630</v>
      </c>
      <c r="P110" s="92"/>
    </row>
    <row r="111" spans="1:16" x14ac:dyDescent="0.25">
      <c r="A111" s="566">
        <v>98</v>
      </c>
      <c r="B111" s="229" t="s">
        <v>209</v>
      </c>
      <c r="C111" s="620" t="s">
        <v>210</v>
      </c>
      <c r="D111" s="296">
        <v>478</v>
      </c>
      <c r="E111" s="93"/>
      <c r="F111" s="93">
        <v>478</v>
      </c>
      <c r="G111" s="93"/>
      <c r="H111" s="94">
        <f t="shared" si="5"/>
        <v>956</v>
      </c>
      <c r="I111" s="94"/>
      <c r="J111" s="294">
        <f t="shared" si="6"/>
        <v>956</v>
      </c>
      <c r="K111" s="703">
        <v>550</v>
      </c>
      <c r="L111" s="703">
        <v>1100</v>
      </c>
      <c r="M111" s="360">
        <v>1650</v>
      </c>
      <c r="N111" s="294">
        <f t="shared" si="7"/>
        <v>3300</v>
      </c>
      <c r="P111" s="92"/>
    </row>
    <row r="112" spans="1:16" x14ac:dyDescent="0.25">
      <c r="A112" s="566">
        <v>99</v>
      </c>
      <c r="B112" s="230" t="s">
        <v>211</v>
      </c>
      <c r="C112" s="619" t="s">
        <v>212</v>
      </c>
      <c r="D112" s="296">
        <v>1353</v>
      </c>
      <c r="E112" s="93">
        <v>198</v>
      </c>
      <c r="F112" s="93">
        <v>1353</v>
      </c>
      <c r="G112" s="93">
        <f>197-24</f>
        <v>173</v>
      </c>
      <c r="H112" s="94">
        <f t="shared" si="5"/>
        <v>2706</v>
      </c>
      <c r="I112" s="94">
        <f t="shared" si="5"/>
        <v>371</v>
      </c>
      <c r="J112" s="294">
        <f t="shared" si="6"/>
        <v>3077</v>
      </c>
      <c r="K112" s="703">
        <v>550</v>
      </c>
      <c r="L112" s="703">
        <v>1100</v>
      </c>
      <c r="M112" s="360">
        <v>1650</v>
      </c>
      <c r="N112" s="294">
        <f t="shared" si="7"/>
        <v>3300</v>
      </c>
      <c r="P112" s="92"/>
    </row>
    <row r="113" spans="1:16" x14ac:dyDescent="0.25">
      <c r="A113" s="566">
        <v>100</v>
      </c>
      <c r="B113" s="230" t="s">
        <v>213</v>
      </c>
      <c r="C113" s="619" t="s">
        <v>214</v>
      </c>
      <c r="D113" s="296">
        <v>1213</v>
      </c>
      <c r="E113" s="93">
        <v>208</v>
      </c>
      <c r="F113" s="93">
        <v>1213</v>
      </c>
      <c r="G113" s="93">
        <v>208</v>
      </c>
      <c r="H113" s="94">
        <f t="shared" si="5"/>
        <v>2426</v>
      </c>
      <c r="I113" s="94">
        <f t="shared" si="5"/>
        <v>416</v>
      </c>
      <c r="J113" s="294">
        <f t="shared" si="6"/>
        <v>2842</v>
      </c>
      <c r="K113" s="703">
        <v>550</v>
      </c>
      <c r="L113" s="703">
        <v>1100</v>
      </c>
      <c r="M113" s="360">
        <v>1650</v>
      </c>
      <c r="N113" s="294">
        <f t="shared" si="7"/>
        <v>3300</v>
      </c>
      <c r="P113" s="92"/>
    </row>
    <row r="114" spans="1:16" x14ac:dyDescent="0.25">
      <c r="A114" s="566">
        <v>101</v>
      </c>
      <c r="B114" s="229" t="s">
        <v>215</v>
      </c>
      <c r="C114" s="231" t="s">
        <v>216</v>
      </c>
      <c r="D114" s="296"/>
      <c r="E114" s="93"/>
      <c r="F114" s="93"/>
      <c r="G114" s="93"/>
      <c r="H114" s="94"/>
      <c r="I114" s="94"/>
      <c r="J114" s="294"/>
      <c r="K114" s="703">
        <v>550</v>
      </c>
      <c r="L114" s="703">
        <v>1100</v>
      </c>
      <c r="M114" s="360">
        <v>1650</v>
      </c>
      <c r="N114" s="294">
        <f t="shared" si="7"/>
        <v>3300</v>
      </c>
      <c r="P114" s="92"/>
    </row>
    <row r="115" spans="1:16" x14ac:dyDescent="0.25">
      <c r="A115" s="566">
        <v>102</v>
      </c>
      <c r="B115" s="229" t="s">
        <v>217</v>
      </c>
      <c r="C115" s="620" t="s">
        <v>218</v>
      </c>
      <c r="D115" s="296"/>
      <c r="E115" s="93"/>
      <c r="F115" s="93"/>
      <c r="G115" s="93"/>
      <c r="H115" s="94"/>
      <c r="I115" s="94"/>
      <c r="J115" s="294"/>
      <c r="K115" s="703"/>
      <c r="L115" s="703"/>
      <c r="M115" s="360"/>
      <c r="N115" s="294"/>
      <c r="P115" s="92"/>
    </row>
    <row r="116" spans="1:16" x14ac:dyDescent="0.25">
      <c r="A116" s="566">
        <v>103</v>
      </c>
      <c r="B116" s="229" t="s">
        <v>219</v>
      </c>
      <c r="C116" s="620" t="s">
        <v>220</v>
      </c>
      <c r="D116" s="296"/>
      <c r="E116" s="93"/>
      <c r="F116" s="93"/>
      <c r="G116" s="93"/>
      <c r="H116" s="94"/>
      <c r="I116" s="94"/>
      <c r="J116" s="294"/>
      <c r="K116" s="703"/>
      <c r="L116" s="703"/>
      <c r="M116" s="360"/>
      <c r="N116" s="294"/>
      <c r="P116" s="92"/>
    </row>
    <row r="117" spans="1:16" x14ac:dyDescent="0.25">
      <c r="A117" s="566">
        <v>104</v>
      </c>
      <c r="B117" s="229" t="s">
        <v>221</v>
      </c>
      <c r="C117" s="620" t="s">
        <v>222</v>
      </c>
      <c r="D117" s="296"/>
      <c r="E117" s="93"/>
      <c r="F117" s="93"/>
      <c r="G117" s="93"/>
      <c r="H117" s="94"/>
      <c r="I117" s="94"/>
      <c r="J117" s="294"/>
      <c r="K117" s="703"/>
      <c r="L117" s="703"/>
      <c r="M117" s="360"/>
      <c r="N117" s="294"/>
      <c r="P117" s="92"/>
    </row>
    <row r="118" spans="1:16" x14ac:dyDescent="0.25">
      <c r="A118" s="566">
        <v>105</v>
      </c>
      <c r="B118" s="230" t="s">
        <v>223</v>
      </c>
      <c r="C118" s="619" t="s">
        <v>224</v>
      </c>
      <c r="D118" s="296"/>
      <c r="E118" s="93"/>
      <c r="F118" s="93"/>
      <c r="G118" s="93"/>
      <c r="H118" s="94"/>
      <c r="I118" s="94"/>
      <c r="J118" s="294"/>
      <c r="K118" s="703"/>
      <c r="L118" s="703"/>
      <c r="M118" s="360"/>
      <c r="N118" s="294"/>
      <c r="P118" s="92"/>
    </row>
    <row r="119" spans="1:16" x14ac:dyDescent="0.25">
      <c r="A119" s="566">
        <v>106</v>
      </c>
      <c r="B119" s="358" t="s">
        <v>225</v>
      </c>
      <c r="C119" s="231" t="s">
        <v>226</v>
      </c>
      <c r="D119" s="296"/>
      <c r="E119" s="93"/>
      <c r="F119" s="93"/>
      <c r="G119" s="93"/>
      <c r="H119" s="94"/>
      <c r="I119" s="94"/>
      <c r="J119" s="294"/>
      <c r="K119" s="703"/>
      <c r="L119" s="703"/>
      <c r="M119" s="360"/>
      <c r="N119" s="294"/>
      <c r="P119" s="92"/>
    </row>
    <row r="120" spans="1:16" ht="24" x14ac:dyDescent="0.25">
      <c r="A120" s="566">
        <v>107</v>
      </c>
      <c r="B120" s="229" t="s">
        <v>227</v>
      </c>
      <c r="C120" s="620" t="s">
        <v>228</v>
      </c>
      <c r="D120" s="296"/>
      <c r="E120" s="93"/>
      <c r="F120" s="93"/>
      <c r="G120" s="93"/>
      <c r="H120" s="94"/>
      <c r="I120" s="94"/>
      <c r="J120" s="294"/>
      <c r="K120" s="703"/>
      <c r="L120" s="703"/>
      <c r="M120" s="360"/>
      <c r="N120" s="294"/>
      <c r="P120" s="92"/>
    </row>
    <row r="121" spans="1:16" x14ac:dyDescent="0.25">
      <c r="A121" s="566">
        <v>108</v>
      </c>
      <c r="B121" s="229" t="s">
        <v>229</v>
      </c>
      <c r="C121" s="620" t="s">
        <v>230</v>
      </c>
      <c r="D121" s="296"/>
      <c r="E121" s="93"/>
      <c r="F121" s="93"/>
      <c r="G121" s="93"/>
      <c r="H121" s="94"/>
      <c r="I121" s="94"/>
      <c r="J121" s="294"/>
      <c r="K121" s="703"/>
      <c r="L121" s="703"/>
      <c r="M121" s="360"/>
      <c r="N121" s="294"/>
      <c r="P121" s="92"/>
    </row>
    <row r="122" spans="1:16" x14ac:dyDescent="0.25">
      <c r="A122" s="566">
        <v>109</v>
      </c>
      <c r="B122" s="230" t="s">
        <v>231</v>
      </c>
      <c r="C122" s="619" t="s">
        <v>232</v>
      </c>
      <c r="D122" s="296"/>
      <c r="E122" s="93"/>
      <c r="F122" s="93"/>
      <c r="G122" s="93"/>
      <c r="H122" s="94"/>
      <c r="I122" s="94"/>
      <c r="J122" s="294"/>
      <c r="K122" s="703"/>
      <c r="L122" s="703"/>
      <c r="M122" s="360"/>
      <c r="N122" s="294"/>
      <c r="P122" s="92"/>
    </row>
    <row r="123" spans="1:16" x14ac:dyDescent="0.25">
      <c r="A123" s="566">
        <v>110</v>
      </c>
      <c r="B123" s="230" t="s">
        <v>233</v>
      </c>
      <c r="C123" s="619" t="s">
        <v>234</v>
      </c>
      <c r="D123" s="296"/>
      <c r="E123" s="93"/>
      <c r="F123" s="93"/>
      <c r="G123" s="93"/>
      <c r="H123" s="94"/>
      <c r="I123" s="94"/>
      <c r="J123" s="294"/>
      <c r="K123" s="703"/>
      <c r="L123" s="703"/>
      <c r="M123" s="360"/>
      <c r="N123" s="294"/>
      <c r="P123" s="92"/>
    </row>
    <row r="124" spans="1:16" x14ac:dyDescent="0.25">
      <c r="A124" s="566">
        <v>111</v>
      </c>
      <c r="B124" s="2" t="s">
        <v>235</v>
      </c>
      <c r="C124" s="620" t="s">
        <v>236</v>
      </c>
      <c r="D124" s="296"/>
      <c r="E124" s="93"/>
      <c r="F124" s="93"/>
      <c r="G124" s="93"/>
      <c r="H124" s="94"/>
      <c r="I124" s="94"/>
      <c r="J124" s="294"/>
      <c r="K124" s="703"/>
      <c r="L124" s="703"/>
      <c r="M124" s="360"/>
      <c r="N124" s="294"/>
      <c r="P124" s="92"/>
    </row>
    <row r="125" spans="1:16" x14ac:dyDescent="0.25">
      <c r="A125" s="566">
        <v>112</v>
      </c>
      <c r="B125" s="229" t="s">
        <v>237</v>
      </c>
      <c r="C125" s="620" t="s">
        <v>238</v>
      </c>
      <c r="D125" s="296"/>
      <c r="E125" s="93"/>
      <c r="F125" s="93"/>
      <c r="G125" s="93"/>
      <c r="H125" s="94"/>
      <c r="I125" s="94"/>
      <c r="J125" s="294"/>
      <c r="K125" s="703"/>
      <c r="L125" s="703"/>
      <c r="M125" s="360"/>
      <c r="N125" s="294"/>
      <c r="P125" s="92"/>
    </row>
    <row r="126" spans="1:16" x14ac:dyDescent="0.25">
      <c r="A126" s="566">
        <v>113</v>
      </c>
      <c r="B126" s="229" t="s">
        <v>239</v>
      </c>
      <c r="C126" s="619" t="s">
        <v>240</v>
      </c>
      <c r="D126" s="296"/>
      <c r="E126" s="93"/>
      <c r="F126" s="93"/>
      <c r="G126" s="93"/>
      <c r="H126" s="94"/>
      <c r="I126" s="94"/>
      <c r="J126" s="294"/>
      <c r="K126" s="703"/>
      <c r="L126" s="703"/>
      <c r="M126" s="360"/>
      <c r="N126" s="294"/>
      <c r="P126" s="92"/>
    </row>
    <row r="127" spans="1:16" ht="13.5" customHeight="1" x14ac:dyDescent="0.25">
      <c r="A127" s="566">
        <v>114</v>
      </c>
      <c r="B127" s="229" t="s">
        <v>241</v>
      </c>
      <c r="C127" s="620" t="s">
        <v>242</v>
      </c>
      <c r="D127" s="296"/>
      <c r="E127" s="93"/>
      <c r="F127" s="93"/>
      <c r="G127" s="93"/>
      <c r="H127" s="94"/>
      <c r="I127" s="94"/>
      <c r="J127" s="294"/>
      <c r="K127" s="703"/>
      <c r="L127" s="703"/>
      <c r="M127" s="360"/>
      <c r="N127" s="294"/>
      <c r="P127" s="92"/>
    </row>
    <row r="128" spans="1:16" x14ac:dyDescent="0.25">
      <c r="A128" s="566">
        <v>115</v>
      </c>
      <c r="B128" s="567" t="s">
        <v>243</v>
      </c>
      <c r="C128" s="234" t="s">
        <v>385</v>
      </c>
      <c r="D128" s="296"/>
      <c r="E128" s="93"/>
      <c r="F128" s="93"/>
      <c r="G128" s="93"/>
      <c r="H128" s="94"/>
      <c r="I128" s="94"/>
      <c r="J128" s="294"/>
      <c r="K128" s="703"/>
      <c r="L128" s="703"/>
      <c r="M128" s="360"/>
      <c r="N128" s="294"/>
      <c r="P128" s="92"/>
    </row>
    <row r="129" spans="1:16" x14ac:dyDescent="0.25">
      <c r="A129" s="566">
        <v>116</v>
      </c>
      <c r="B129" s="230" t="s">
        <v>244</v>
      </c>
      <c r="C129" s="619" t="s">
        <v>644</v>
      </c>
      <c r="D129" s="296"/>
      <c r="E129" s="93"/>
      <c r="F129" s="93"/>
      <c r="G129" s="93"/>
      <c r="H129" s="94"/>
      <c r="I129" s="94"/>
      <c r="J129" s="294"/>
      <c r="K129" s="703"/>
      <c r="L129" s="703"/>
      <c r="M129" s="360"/>
      <c r="N129" s="294"/>
      <c r="P129" s="92"/>
    </row>
    <row r="130" spans="1:16" x14ac:dyDescent="0.25">
      <c r="A130" s="566">
        <v>117</v>
      </c>
      <c r="B130" s="230" t="s">
        <v>246</v>
      </c>
      <c r="C130" s="619" t="s">
        <v>247</v>
      </c>
      <c r="D130" s="296"/>
      <c r="E130" s="93"/>
      <c r="F130" s="93"/>
      <c r="G130" s="93"/>
      <c r="H130" s="94"/>
      <c r="I130" s="94"/>
      <c r="J130" s="294"/>
      <c r="K130" s="703"/>
      <c r="L130" s="703"/>
      <c r="M130" s="360"/>
      <c r="N130" s="294"/>
      <c r="P130" s="92"/>
    </row>
    <row r="131" spans="1:16" x14ac:dyDescent="0.25">
      <c r="A131" s="566">
        <v>118</v>
      </c>
      <c r="B131" s="230" t="s">
        <v>248</v>
      </c>
      <c r="C131" s="619" t="s">
        <v>249</v>
      </c>
      <c r="D131" s="296"/>
      <c r="E131" s="93"/>
      <c r="F131" s="93"/>
      <c r="G131" s="93"/>
      <c r="H131" s="94"/>
      <c r="I131" s="94"/>
      <c r="J131" s="294"/>
      <c r="K131" s="703"/>
      <c r="L131" s="703"/>
      <c r="M131" s="360"/>
      <c r="N131" s="294"/>
      <c r="P131" s="92"/>
    </row>
    <row r="132" spans="1:16" x14ac:dyDescent="0.25">
      <c r="A132" s="566">
        <v>119</v>
      </c>
      <c r="B132" s="230" t="s">
        <v>250</v>
      </c>
      <c r="C132" s="619" t="s">
        <v>251</v>
      </c>
      <c r="D132" s="296"/>
      <c r="E132" s="93"/>
      <c r="F132" s="93"/>
      <c r="G132" s="93"/>
      <c r="H132" s="94"/>
      <c r="I132" s="94"/>
      <c r="J132" s="294"/>
      <c r="K132" s="703"/>
      <c r="L132" s="703"/>
      <c r="M132" s="360"/>
      <c r="N132" s="294"/>
      <c r="P132" s="92"/>
    </row>
    <row r="133" spans="1:16" x14ac:dyDescent="0.25">
      <c r="A133" s="566">
        <v>120</v>
      </c>
      <c r="B133" s="93" t="s">
        <v>252</v>
      </c>
      <c r="C133" s="623" t="s">
        <v>253</v>
      </c>
      <c r="D133" s="296"/>
      <c r="E133" s="93"/>
      <c r="F133" s="93"/>
      <c r="G133" s="93"/>
      <c r="H133" s="94"/>
      <c r="I133" s="94"/>
      <c r="J133" s="294"/>
      <c r="K133" s="703"/>
      <c r="L133" s="703"/>
      <c r="M133" s="360"/>
      <c r="N133" s="294"/>
      <c r="P133" s="92"/>
    </row>
    <row r="134" spans="1:16" x14ac:dyDescent="0.25">
      <c r="A134" s="566">
        <v>121</v>
      </c>
      <c r="B134" s="229" t="s">
        <v>254</v>
      </c>
      <c r="C134" s="620" t="s">
        <v>255</v>
      </c>
      <c r="D134" s="296"/>
      <c r="E134" s="93"/>
      <c r="F134" s="93"/>
      <c r="G134" s="93"/>
      <c r="H134" s="94"/>
      <c r="I134" s="94"/>
      <c r="J134" s="294"/>
      <c r="K134" s="703"/>
      <c r="L134" s="703"/>
      <c r="M134" s="360"/>
      <c r="N134" s="294"/>
      <c r="P134" s="92"/>
    </row>
    <row r="135" spans="1:16" x14ac:dyDescent="0.25">
      <c r="A135" s="566">
        <v>122</v>
      </c>
      <c r="B135" s="230" t="s">
        <v>256</v>
      </c>
      <c r="C135" s="619" t="s">
        <v>257</v>
      </c>
      <c r="D135" s="296"/>
      <c r="E135" s="93"/>
      <c r="F135" s="93"/>
      <c r="G135" s="93"/>
      <c r="H135" s="94"/>
      <c r="I135" s="94"/>
      <c r="J135" s="294"/>
      <c r="K135" s="703"/>
      <c r="L135" s="703"/>
      <c r="M135" s="360"/>
      <c r="N135" s="294"/>
      <c r="P135" s="92"/>
    </row>
    <row r="136" spans="1:16" x14ac:dyDescent="0.25">
      <c r="A136" s="566">
        <v>123</v>
      </c>
      <c r="B136" s="229" t="s">
        <v>258</v>
      </c>
      <c r="C136" s="619" t="s">
        <v>259</v>
      </c>
      <c r="D136" s="296"/>
      <c r="E136" s="93"/>
      <c r="F136" s="93"/>
      <c r="G136" s="93"/>
      <c r="H136" s="94"/>
      <c r="I136" s="94"/>
      <c r="J136" s="294"/>
      <c r="K136" s="703"/>
      <c r="L136" s="703"/>
      <c r="M136" s="360"/>
      <c r="N136" s="294"/>
      <c r="P136" s="92"/>
    </row>
    <row r="137" spans="1:16" x14ac:dyDescent="0.25">
      <c r="A137" s="566">
        <v>124</v>
      </c>
      <c r="B137" s="230" t="s">
        <v>260</v>
      </c>
      <c r="C137" s="619" t="s">
        <v>261</v>
      </c>
      <c r="D137" s="296">
        <f>0+604</f>
        <v>604</v>
      </c>
      <c r="E137" s="93">
        <f>0+300</f>
        <v>300</v>
      </c>
      <c r="F137" s="93">
        <f>0+2229</f>
        <v>2229</v>
      </c>
      <c r="G137" s="93">
        <f>0+1100-500+120</f>
        <v>720</v>
      </c>
      <c r="H137" s="94">
        <f t="shared" si="5"/>
        <v>2833</v>
      </c>
      <c r="I137" s="94">
        <f t="shared" si="5"/>
        <v>1020</v>
      </c>
      <c r="J137" s="294">
        <f t="shared" si="6"/>
        <v>3853</v>
      </c>
      <c r="K137" s="703">
        <v>1100</v>
      </c>
      <c r="L137" s="703">
        <f>2200+4749</f>
        <v>6949</v>
      </c>
      <c r="M137" s="360">
        <f>3300-700</f>
        <v>2600</v>
      </c>
      <c r="N137" s="294">
        <f t="shared" si="7"/>
        <v>10649</v>
      </c>
      <c r="P137" s="92"/>
    </row>
    <row r="138" spans="1:16" x14ac:dyDescent="0.25">
      <c r="A138" s="566">
        <v>125</v>
      </c>
      <c r="B138" s="230" t="s">
        <v>262</v>
      </c>
      <c r="C138" s="619" t="s">
        <v>263</v>
      </c>
      <c r="D138" s="296"/>
      <c r="E138" s="93"/>
      <c r="F138" s="93"/>
      <c r="G138" s="93"/>
      <c r="H138" s="94"/>
      <c r="I138" s="94"/>
      <c r="J138" s="294"/>
      <c r="K138" s="703"/>
      <c r="L138" s="703"/>
      <c r="M138" s="360"/>
      <c r="N138" s="294"/>
      <c r="P138" s="92"/>
    </row>
    <row r="139" spans="1:16" x14ac:dyDescent="0.25">
      <c r="A139" s="566">
        <v>126</v>
      </c>
      <c r="B139" s="229" t="s">
        <v>264</v>
      </c>
      <c r="C139" s="619" t="s">
        <v>265</v>
      </c>
      <c r="D139" s="296"/>
      <c r="E139" s="93">
        <v>173</v>
      </c>
      <c r="F139" s="93"/>
      <c r="G139" s="93">
        <v>172</v>
      </c>
      <c r="H139" s="94"/>
      <c r="I139" s="94">
        <f t="shared" si="5"/>
        <v>345</v>
      </c>
      <c r="J139" s="294">
        <f t="shared" si="6"/>
        <v>345</v>
      </c>
      <c r="K139" s="703">
        <v>165</v>
      </c>
      <c r="L139" s="703">
        <v>330</v>
      </c>
      <c r="M139" s="360">
        <f>495+130</f>
        <v>625</v>
      </c>
      <c r="N139" s="294">
        <f t="shared" si="7"/>
        <v>1120</v>
      </c>
      <c r="P139" s="92"/>
    </row>
    <row r="140" spans="1:16" x14ac:dyDescent="0.25">
      <c r="A140" s="566">
        <v>127</v>
      </c>
      <c r="B140" s="230" t="s">
        <v>266</v>
      </c>
      <c r="C140" s="619" t="s">
        <v>267</v>
      </c>
      <c r="D140" s="296"/>
      <c r="E140" s="93"/>
      <c r="F140" s="93"/>
      <c r="G140" s="93"/>
      <c r="H140" s="94"/>
      <c r="I140" s="94"/>
      <c r="J140" s="294"/>
      <c r="K140" s="703"/>
      <c r="L140" s="703"/>
      <c r="M140" s="360"/>
      <c r="N140" s="294"/>
      <c r="P140" s="92"/>
    </row>
    <row r="141" spans="1:16" x14ac:dyDescent="0.25">
      <c r="A141" s="566">
        <v>128</v>
      </c>
      <c r="B141" s="229" t="s">
        <v>268</v>
      </c>
      <c r="C141" s="620" t="s">
        <v>269</v>
      </c>
      <c r="D141" s="296"/>
      <c r="E141" s="93"/>
      <c r="F141" s="93"/>
      <c r="G141" s="93"/>
      <c r="H141" s="94"/>
      <c r="I141" s="94"/>
      <c r="J141" s="294"/>
      <c r="K141" s="703"/>
      <c r="L141" s="703"/>
      <c r="M141" s="360"/>
      <c r="N141" s="294"/>
      <c r="P141" s="92"/>
    </row>
    <row r="142" spans="1:16" x14ac:dyDescent="0.25">
      <c r="A142" s="566">
        <v>129</v>
      </c>
      <c r="B142" s="229" t="s">
        <v>270</v>
      </c>
      <c r="C142" s="620" t="s">
        <v>271</v>
      </c>
      <c r="D142" s="296"/>
      <c r="E142" s="93"/>
      <c r="F142" s="93"/>
      <c r="G142" s="93"/>
      <c r="H142" s="94"/>
      <c r="I142" s="94"/>
      <c r="J142" s="294"/>
      <c r="K142" s="703"/>
      <c r="L142" s="703"/>
      <c r="M142" s="360"/>
      <c r="N142" s="294"/>
      <c r="P142" s="92"/>
    </row>
    <row r="143" spans="1:16" x14ac:dyDescent="0.25">
      <c r="A143" s="566">
        <v>130</v>
      </c>
      <c r="B143" s="230" t="s">
        <v>272</v>
      </c>
      <c r="C143" s="619" t="s">
        <v>273</v>
      </c>
      <c r="D143" s="296"/>
      <c r="E143" s="93"/>
      <c r="F143" s="93"/>
      <c r="G143" s="93"/>
      <c r="H143" s="94"/>
      <c r="I143" s="94"/>
      <c r="J143" s="294"/>
      <c r="K143" s="703"/>
      <c r="L143" s="703"/>
      <c r="M143" s="228"/>
      <c r="N143" s="294"/>
      <c r="P143" s="92"/>
    </row>
    <row r="144" spans="1:16" x14ac:dyDescent="0.25">
      <c r="A144" s="566">
        <v>131</v>
      </c>
      <c r="B144" s="230" t="s">
        <v>274</v>
      </c>
      <c r="C144" s="619" t="s">
        <v>275</v>
      </c>
      <c r="D144" s="296">
        <v>1336</v>
      </c>
      <c r="E144" s="93"/>
      <c r="F144" s="93">
        <f>1335+119</f>
        <v>1454</v>
      </c>
      <c r="G144" s="93"/>
      <c r="H144" s="94">
        <f t="shared" ref="H144:I154" si="8">D144+F144</f>
        <v>2790</v>
      </c>
      <c r="I144" s="94"/>
      <c r="J144" s="294">
        <f t="shared" ref="J144:J154" si="9">H144+I144</f>
        <v>2790</v>
      </c>
      <c r="K144" s="703">
        <v>3850</v>
      </c>
      <c r="L144" s="703">
        <v>7700</v>
      </c>
      <c r="M144" s="360">
        <f>9570+1980</f>
        <v>11550</v>
      </c>
      <c r="N144" s="294">
        <f t="shared" ref="N144:N155" si="10">K144+L144+M144</f>
        <v>23100</v>
      </c>
      <c r="P144" s="92"/>
    </row>
    <row r="145" spans="1:16" x14ac:dyDescent="0.25">
      <c r="A145" s="566">
        <v>132</v>
      </c>
      <c r="B145" s="230" t="s">
        <v>276</v>
      </c>
      <c r="C145" s="619" t="s">
        <v>277</v>
      </c>
      <c r="D145" s="296">
        <f>1524-36</f>
        <v>1488</v>
      </c>
      <c r="E145" s="93"/>
      <c r="F145" s="93">
        <f>1523-134</f>
        <v>1389</v>
      </c>
      <c r="G145" s="93"/>
      <c r="H145" s="94">
        <f t="shared" si="8"/>
        <v>2877</v>
      </c>
      <c r="I145" s="94"/>
      <c r="J145" s="294">
        <f t="shared" si="9"/>
        <v>2877</v>
      </c>
      <c r="K145" s="703"/>
      <c r="L145" s="703"/>
      <c r="M145" s="360"/>
      <c r="N145" s="294"/>
      <c r="P145" s="92"/>
    </row>
    <row r="146" spans="1:16" x14ac:dyDescent="0.25">
      <c r="A146" s="566">
        <v>133</v>
      </c>
      <c r="B146" s="230" t="s">
        <v>278</v>
      </c>
      <c r="C146" s="619" t="s">
        <v>279</v>
      </c>
      <c r="D146" s="296">
        <f>1793-70</f>
        <v>1723</v>
      </c>
      <c r="E146" s="93">
        <v>355</v>
      </c>
      <c r="F146" s="93">
        <f>1792-258+35</f>
        <v>1569</v>
      </c>
      <c r="G146" s="93">
        <f>0+150</f>
        <v>150</v>
      </c>
      <c r="H146" s="94">
        <f t="shared" si="8"/>
        <v>3292</v>
      </c>
      <c r="I146" s="94">
        <f t="shared" si="8"/>
        <v>505</v>
      </c>
      <c r="J146" s="294">
        <f t="shared" si="9"/>
        <v>3797</v>
      </c>
      <c r="K146" s="703">
        <f>550+10</f>
        <v>560</v>
      </c>
      <c r="L146" s="703"/>
      <c r="M146" s="360"/>
      <c r="N146" s="294">
        <f t="shared" si="10"/>
        <v>560</v>
      </c>
      <c r="P146" s="92"/>
    </row>
    <row r="147" spans="1:16" x14ac:dyDescent="0.25">
      <c r="A147" s="566">
        <v>134</v>
      </c>
      <c r="B147" s="230" t="s">
        <v>280</v>
      </c>
      <c r="C147" s="619" t="s">
        <v>281</v>
      </c>
      <c r="D147" s="296"/>
      <c r="E147" s="93"/>
      <c r="F147" s="93"/>
      <c r="G147" s="93"/>
      <c r="H147" s="94"/>
      <c r="I147" s="94"/>
      <c r="J147" s="294"/>
      <c r="K147" s="703"/>
      <c r="L147" s="703"/>
      <c r="M147" s="360"/>
      <c r="N147" s="294"/>
      <c r="P147" s="92"/>
    </row>
    <row r="148" spans="1:16" x14ac:dyDescent="0.25">
      <c r="A148" s="566">
        <v>135</v>
      </c>
      <c r="B148" s="229" t="s">
        <v>282</v>
      </c>
      <c r="C148" s="620" t="s">
        <v>283</v>
      </c>
      <c r="D148" s="296"/>
      <c r="E148" s="93"/>
      <c r="F148" s="93"/>
      <c r="G148" s="93"/>
      <c r="H148" s="94"/>
      <c r="I148" s="94"/>
      <c r="J148" s="294"/>
      <c r="K148" s="703"/>
      <c r="L148" s="703"/>
      <c r="M148" s="228"/>
      <c r="N148" s="294"/>
      <c r="P148" s="92"/>
    </row>
    <row r="149" spans="1:16" x14ac:dyDescent="0.25">
      <c r="A149" s="566">
        <v>136</v>
      </c>
      <c r="B149" s="538" t="s">
        <v>284</v>
      </c>
      <c r="C149" s="624" t="s">
        <v>285</v>
      </c>
      <c r="D149" s="296"/>
      <c r="E149" s="93"/>
      <c r="F149" s="93"/>
      <c r="G149" s="93"/>
      <c r="H149" s="94"/>
      <c r="I149" s="94"/>
      <c r="J149" s="294"/>
      <c r="K149" s="703"/>
      <c r="L149" s="703"/>
      <c r="M149" s="504"/>
      <c r="N149" s="294"/>
      <c r="P149" s="92"/>
    </row>
    <row r="150" spans="1:16" x14ac:dyDescent="0.25">
      <c r="A150" s="566">
        <v>137</v>
      </c>
      <c r="B150" s="238" t="s">
        <v>387</v>
      </c>
      <c r="C150" s="537" t="s">
        <v>388</v>
      </c>
      <c r="D150" s="296"/>
      <c r="E150" s="93"/>
      <c r="F150" s="93"/>
      <c r="G150" s="93"/>
      <c r="H150" s="94"/>
      <c r="I150" s="94"/>
      <c r="J150" s="294"/>
      <c r="K150" s="703"/>
      <c r="L150" s="703"/>
      <c r="M150" s="228"/>
      <c r="N150" s="294"/>
      <c r="P150" s="92"/>
    </row>
    <row r="151" spans="1:16" x14ac:dyDescent="0.25">
      <c r="A151" s="566">
        <v>138</v>
      </c>
      <c r="B151" s="239" t="s">
        <v>389</v>
      </c>
      <c r="C151" s="240" t="s">
        <v>390</v>
      </c>
      <c r="D151" s="296"/>
      <c r="E151" s="93"/>
      <c r="F151" s="93"/>
      <c r="G151" s="93"/>
      <c r="H151" s="94"/>
      <c r="I151" s="94"/>
      <c r="J151" s="294"/>
      <c r="K151" s="703"/>
      <c r="L151" s="703"/>
      <c r="M151" s="228"/>
      <c r="N151" s="294"/>
      <c r="P151" s="92"/>
    </row>
    <row r="152" spans="1:16" x14ac:dyDescent="0.25">
      <c r="A152" s="566">
        <v>139</v>
      </c>
      <c r="B152" s="241" t="s">
        <v>391</v>
      </c>
      <c r="C152" s="625" t="s">
        <v>392</v>
      </c>
      <c r="D152" s="296"/>
      <c r="E152" s="93"/>
      <c r="F152" s="93"/>
      <c r="G152" s="93"/>
      <c r="H152" s="94"/>
      <c r="I152" s="94"/>
      <c r="J152" s="294"/>
      <c r="K152" s="703"/>
      <c r="L152" s="703">
        <v>660</v>
      </c>
      <c r="M152" s="504">
        <v>990</v>
      </c>
      <c r="N152" s="294">
        <f t="shared" si="10"/>
        <v>1650</v>
      </c>
      <c r="P152" s="92"/>
    </row>
    <row r="153" spans="1:16" x14ac:dyDescent="0.25">
      <c r="A153" s="566">
        <v>140</v>
      </c>
      <c r="B153" s="626" t="s">
        <v>393</v>
      </c>
      <c r="C153" s="627" t="s">
        <v>394</v>
      </c>
      <c r="D153" s="296"/>
      <c r="E153" s="93"/>
      <c r="F153" s="93"/>
      <c r="G153" s="539"/>
      <c r="H153" s="94"/>
      <c r="I153" s="94"/>
      <c r="J153" s="294"/>
      <c r="K153" s="703"/>
      <c r="L153" s="93"/>
      <c r="M153" s="228"/>
      <c r="N153" s="294"/>
      <c r="P153" s="92"/>
    </row>
    <row r="154" spans="1:16" x14ac:dyDescent="0.25">
      <c r="A154" s="566">
        <v>141</v>
      </c>
      <c r="B154" s="542" t="s">
        <v>791</v>
      </c>
      <c r="C154" s="627" t="s">
        <v>790</v>
      </c>
      <c r="D154" s="296"/>
      <c r="E154" s="93">
        <f>0+260</f>
        <v>260</v>
      </c>
      <c r="F154" s="93"/>
      <c r="G154" s="93">
        <f>0+2877-1047</f>
        <v>1830</v>
      </c>
      <c r="H154" s="94"/>
      <c r="I154" s="94">
        <f t="shared" si="8"/>
        <v>2090</v>
      </c>
      <c r="J154" s="294">
        <f t="shared" si="9"/>
        <v>2090</v>
      </c>
      <c r="K154" s="703"/>
      <c r="L154" s="93"/>
      <c r="M154" s="228"/>
      <c r="N154" s="294"/>
      <c r="P154" s="92"/>
    </row>
    <row r="155" spans="1:16" ht="12.75" thickBot="1" x14ac:dyDescent="0.3">
      <c r="A155" s="242">
        <v>142</v>
      </c>
      <c r="B155" s="441" t="s">
        <v>800</v>
      </c>
      <c r="C155" s="243" t="s">
        <v>801</v>
      </c>
      <c r="D155" s="540"/>
      <c r="E155" s="298"/>
      <c r="F155" s="298"/>
      <c r="G155" s="298"/>
      <c r="H155" s="541"/>
      <c r="I155" s="541"/>
      <c r="J155" s="628"/>
      <c r="K155" s="299"/>
      <c r="L155" s="298"/>
      <c r="M155" s="543">
        <f>0+8525-500</f>
        <v>8025</v>
      </c>
      <c r="N155" s="628">
        <f t="shared" si="10"/>
        <v>8025</v>
      </c>
      <c r="P155" s="92"/>
    </row>
  </sheetData>
  <mergeCells count="16">
    <mergeCell ref="A93:A96"/>
    <mergeCell ref="B93:B96"/>
    <mergeCell ref="A1:N1"/>
    <mergeCell ref="A3:A5"/>
    <mergeCell ref="B3:B5"/>
    <mergeCell ref="C3:C5"/>
    <mergeCell ref="D3:J3"/>
    <mergeCell ref="K3:N3"/>
    <mergeCell ref="D4:E4"/>
    <mergeCell ref="F4:G4"/>
    <mergeCell ref="H4:J4"/>
    <mergeCell ref="K5:N5"/>
    <mergeCell ref="A9:C9"/>
    <mergeCell ref="A10:C10"/>
    <mergeCell ref="A7:C7"/>
    <mergeCell ref="A8:C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6"/>
  <sheetViews>
    <sheetView zoomScale="90" zoomScaleNormal="90" workbookViewId="0">
      <pane xSplit="3" ySplit="7" topLeftCell="D136" activePane="bottomRight" state="frozen"/>
      <selection pane="topRight" activeCell="D1" sqref="D1"/>
      <selection pane="bottomLeft" activeCell="A8" sqref="A8"/>
      <selection pane="bottomRight" activeCell="P71" sqref="P71"/>
    </sheetView>
  </sheetViews>
  <sheetFormatPr defaultRowHeight="12" x14ac:dyDescent="0.25"/>
  <cols>
    <col min="1" max="1" width="4.7109375" style="297" customWidth="1"/>
    <col min="2" max="2" width="8" style="297" customWidth="1"/>
    <col min="3" max="3" width="34" style="345" customWidth="1"/>
    <col min="4" max="5" width="14.7109375" style="95" customWidth="1"/>
    <col min="6" max="6" width="14" style="95" customWidth="1"/>
    <col min="7" max="7" width="11.28515625" style="297" customWidth="1"/>
    <col min="8" max="8" width="10.7109375" style="297" customWidth="1"/>
    <col min="9" max="9" width="11.140625" style="297" customWidth="1"/>
    <col min="10" max="16384" width="9.140625" style="297"/>
  </cols>
  <sheetData>
    <row r="1" spans="1:9" ht="15.75" x14ac:dyDescent="0.25">
      <c r="A1" s="1300" t="s">
        <v>619</v>
      </c>
      <c r="B1" s="1301"/>
      <c r="C1" s="1301"/>
      <c r="D1" s="1301"/>
      <c r="E1" s="1301"/>
      <c r="F1" s="1301"/>
      <c r="G1" s="1301"/>
      <c r="H1" s="1301"/>
      <c r="I1" s="1301"/>
    </row>
    <row r="2" spans="1:9" ht="12.75" thickBot="1" x14ac:dyDescent="0.3"/>
    <row r="3" spans="1:9" s="348" customFormat="1" ht="27" customHeight="1" x14ac:dyDescent="0.25">
      <c r="A3" s="1247" t="s">
        <v>0</v>
      </c>
      <c r="B3" s="1249" t="s">
        <v>597</v>
      </c>
      <c r="C3" s="1251" t="s">
        <v>292</v>
      </c>
      <c r="D3" s="1305" t="s">
        <v>786</v>
      </c>
      <c r="E3" s="1306"/>
      <c r="F3" s="1305" t="s">
        <v>614</v>
      </c>
      <c r="G3" s="1307"/>
      <c r="H3" s="1255" t="s">
        <v>615</v>
      </c>
      <c r="I3" s="1307"/>
    </row>
    <row r="4" spans="1:9" s="348" customFormat="1" ht="52.5" customHeight="1" thickBot="1" x14ac:dyDescent="0.3">
      <c r="A4" s="1302"/>
      <c r="B4" s="1303"/>
      <c r="C4" s="1304"/>
      <c r="D4" s="370" t="s">
        <v>289</v>
      </c>
      <c r="E4" s="684" t="s">
        <v>601</v>
      </c>
      <c r="F4" s="685" t="s">
        <v>616</v>
      </c>
      <c r="G4" s="373" t="s">
        <v>603</v>
      </c>
      <c r="H4" s="374" t="s">
        <v>604</v>
      </c>
      <c r="I4" s="373" t="s">
        <v>605</v>
      </c>
    </row>
    <row r="5" spans="1:9" s="348" customFormat="1" x14ac:dyDescent="0.25">
      <c r="A5" s="1294" t="s">
        <v>6</v>
      </c>
      <c r="B5" s="1295"/>
      <c r="C5" s="1296"/>
      <c r="D5" s="341">
        <f>SUM(D6:D8)</f>
        <v>50318</v>
      </c>
      <c r="E5" s="346">
        <f t="shared" ref="E5:I5" si="0">SUM(E6:E8)</f>
        <v>6273</v>
      </c>
      <c r="F5" s="341">
        <f t="shared" si="0"/>
        <v>4364</v>
      </c>
      <c r="G5" s="342">
        <f t="shared" si="0"/>
        <v>135036</v>
      </c>
      <c r="H5" s="347">
        <f t="shared" si="0"/>
        <v>4075</v>
      </c>
      <c r="I5" s="342">
        <f t="shared" si="0"/>
        <v>85560</v>
      </c>
    </row>
    <row r="6" spans="1:9" s="348" customFormat="1" x14ac:dyDescent="0.25">
      <c r="A6" s="1297" t="s">
        <v>14</v>
      </c>
      <c r="B6" s="1298"/>
      <c r="C6" s="1299"/>
      <c r="D6" s="227"/>
      <c r="E6" s="349"/>
      <c r="F6" s="566"/>
      <c r="G6" s="343"/>
      <c r="H6" s="686"/>
      <c r="I6" s="343"/>
    </row>
    <row r="7" spans="1:9" s="348" customFormat="1" x14ac:dyDescent="0.25">
      <c r="A7" s="1297" t="s">
        <v>442</v>
      </c>
      <c r="B7" s="1298"/>
      <c r="C7" s="1299"/>
      <c r="D7" s="227"/>
      <c r="E7" s="349"/>
      <c r="F7" s="566"/>
      <c r="G7" s="343"/>
      <c r="H7" s="686"/>
      <c r="I7" s="343"/>
    </row>
    <row r="8" spans="1:9" x14ac:dyDescent="0.25">
      <c r="A8" s="1297" t="s">
        <v>15</v>
      </c>
      <c r="B8" s="1298"/>
      <c r="C8" s="1299"/>
      <c r="D8" s="344">
        <f>SUM(D9:D151)</f>
        <v>50318</v>
      </c>
      <c r="E8" s="687">
        <f t="shared" ref="E8:I8" si="1">SUM(E9:E151)</f>
        <v>6273</v>
      </c>
      <c r="F8" s="344">
        <f t="shared" si="1"/>
        <v>4364</v>
      </c>
      <c r="G8" s="350">
        <f t="shared" si="1"/>
        <v>135036</v>
      </c>
      <c r="H8" s="688">
        <f t="shared" si="1"/>
        <v>4075</v>
      </c>
      <c r="I8" s="350">
        <f t="shared" si="1"/>
        <v>85560</v>
      </c>
    </row>
    <row r="9" spans="1:9" x14ac:dyDescent="0.2">
      <c r="A9" s="566">
        <v>1</v>
      </c>
      <c r="B9" s="358" t="s">
        <v>16</v>
      </c>
      <c r="C9" s="231" t="s">
        <v>17</v>
      </c>
      <c r="D9" s="689"/>
      <c r="E9" s="690"/>
      <c r="F9" s="227"/>
      <c r="G9" s="343"/>
      <c r="H9" s="686"/>
      <c r="I9" s="343"/>
    </row>
    <row r="10" spans="1:9" x14ac:dyDescent="0.2">
      <c r="A10" s="566">
        <v>2</v>
      </c>
      <c r="B10" s="358" t="s">
        <v>18</v>
      </c>
      <c r="C10" s="231" t="s">
        <v>19</v>
      </c>
      <c r="D10" s="689"/>
      <c r="E10" s="690"/>
      <c r="F10" s="227"/>
      <c r="G10" s="343"/>
      <c r="H10" s="686"/>
      <c r="I10" s="343"/>
    </row>
    <row r="11" spans="1:9" x14ac:dyDescent="0.2">
      <c r="A11" s="566">
        <v>3</v>
      </c>
      <c r="B11" s="238" t="s">
        <v>20</v>
      </c>
      <c r="C11" s="231" t="s">
        <v>21</v>
      </c>
      <c r="D11" s="689">
        <f>1125+335</f>
        <v>1460</v>
      </c>
      <c r="E11" s="690">
        <v>88</v>
      </c>
      <c r="F11" s="227"/>
      <c r="G11" s="343"/>
      <c r="H11" s="686">
        <v>221</v>
      </c>
      <c r="I11" s="343">
        <v>4650</v>
      </c>
    </row>
    <row r="12" spans="1:9" x14ac:dyDescent="0.2">
      <c r="A12" s="566">
        <v>4</v>
      </c>
      <c r="B12" s="358" t="s">
        <v>22</v>
      </c>
      <c r="C12" s="231" t="s">
        <v>23</v>
      </c>
      <c r="D12" s="689"/>
      <c r="E12" s="690"/>
      <c r="F12" s="227"/>
      <c r="G12" s="343"/>
      <c r="H12" s="686"/>
      <c r="I12" s="343"/>
    </row>
    <row r="13" spans="1:9" x14ac:dyDescent="0.2">
      <c r="A13" s="566">
        <v>5</v>
      </c>
      <c r="B13" s="358" t="s">
        <v>24</v>
      </c>
      <c r="C13" s="231" t="s">
        <v>25</v>
      </c>
      <c r="D13" s="689"/>
      <c r="E13" s="690"/>
      <c r="F13" s="227"/>
      <c r="G13" s="343"/>
      <c r="H13" s="686"/>
      <c r="I13" s="343"/>
    </row>
    <row r="14" spans="1:9" x14ac:dyDescent="0.2">
      <c r="A14" s="566">
        <v>6</v>
      </c>
      <c r="B14" s="238" t="s">
        <v>26</v>
      </c>
      <c r="C14" s="231" t="s">
        <v>27</v>
      </c>
      <c r="D14" s="689"/>
      <c r="E14" s="690"/>
      <c r="F14" s="227"/>
      <c r="G14" s="343"/>
      <c r="H14" s="686"/>
      <c r="I14" s="343"/>
    </row>
    <row r="15" spans="1:9" x14ac:dyDescent="0.2">
      <c r="A15" s="566">
        <v>7</v>
      </c>
      <c r="B15" s="358" t="s">
        <v>28</v>
      </c>
      <c r="C15" s="231" t="s">
        <v>29</v>
      </c>
      <c r="D15" s="689"/>
      <c r="E15" s="690"/>
      <c r="F15" s="227"/>
      <c r="G15" s="343"/>
      <c r="H15" s="686"/>
      <c r="I15" s="343"/>
    </row>
    <row r="16" spans="1:9" x14ac:dyDescent="0.2">
      <c r="A16" s="566">
        <v>8</v>
      </c>
      <c r="B16" s="238" t="s">
        <v>30</v>
      </c>
      <c r="C16" s="231" t="s">
        <v>31</v>
      </c>
      <c r="D16" s="689"/>
      <c r="E16" s="690"/>
      <c r="F16" s="227"/>
      <c r="G16" s="343"/>
      <c r="H16" s="686"/>
      <c r="I16" s="343"/>
    </row>
    <row r="17" spans="1:9" x14ac:dyDescent="0.2">
      <c r="A17" s="566">
        <v>9</v>
      </c>
      <c r="B17" s="238" t="s">
        <v>32</v>
      </c>
      <c r="C17" s="231" t="s">
        <v>33</v>
      </c>
      <c r="D17" s="689"/>
      <c r="E17" s="690"/>
      <c r="F17" s="227"/>
      <c r="G17" s="343"/>
      <c r="H17" s="686"/>
      <c r="I17" s="343"/>
    </row>
    <row r="18" spans="1:9" x14ac:dyDescent="0.2">
      <c r="A18" s="566">
        <v>10</v>
      </c>
      <c r="B18" s="238" t="s">
        <v>34</v>
      </c>
      <c r="C18" s="231" t="s">
        <v>35</v>
      </c>
      <c r="D18" s="689">
        <f>1125+335-200</f>
        <v>1260</v>
      </c>
      <c r="E18" s="690">
        <f>125-20</f>
        <v>105</v>
      </c>
      <c r="F18" s="227">
        <v>330</v>
      </c>
      <c r="G18" s="343">
        <v>9900</v>
      </c>
      <c r="H18" s="686"/>
      <c r="I18" s="343"/>
    </row>
    <row r="19" spans="1:9" x14ac:dyDescent="0.2">
      <c r="A19" s="566">
        <v>11</v>
      </c>
      <c r="B19" s="238" t="s">
        <v>36</v>
      </c>
      <c r="C19" s="231" t="s">
        <v>37</v>
      </c>
      <c r="D19" s="689"/>
      <c r="E19" s="690"/>
      <c r="F19" s="227"/>
      <c r="G19" s="343"/>
      <c r="H19" s="686"/>
      <c r="I19" s="343"/>
    </row>
    <row r="20" spans="1:9" x14ac:dyDescent="0.2">
      <c r="A20" s="566">
        <v>12</v>
      </c>
      <c r="B20" s="238" t="s">
        <v>38</v>
      </c>
      <c r="C20" s="231" t="s">
        <v>39</v>
      </c>
      <c r="D20" s="689"/>
      <c r="E20" s="690"/>
      <c r="F20" s="227"/>
      <c r="G20" s="343"/>
      <c r="H20" s="686"/>
      <c r="I20" s="343"/>
    </row>
    <row r="21" spans="1:9" x14ac:dyDescent="0.2">
      <c r="A21" s="566">
        <v>13</v>
      </c>
      <c r="B21" s="567" t="s">
        <v>40</v>
      </c>
      <c r="C21" s="234" t="s">
        <v>41</v>
      </c>
      <c r="D21" s="689"/>
      <c r="E21" s="690"/>
      <c r="F21" s="227"/>
      <c r="G21" s="343"/>
      <c r="H21" s="686"/>
      <c r="I21" s="343"/>
    </row>
    <row r="22" spans="1:9" x14ac:dyDescent="0.2">
      <c r="A22" s="566">
        <v>14</v>
      </c>
      <c r="B22" s="244" t="s">
        <v>42</v>
      </c>
      <c r="C22" s="234" t="s">
        <v>43</v>
      </c>
      <c r="D22" s="689"/>
      <c r="E22" s="690"/>
      <c r="F22" s="227"/>
      <c r="G22" s="343"/>
      <c r="H22" s="686"/>
      <c r="I22" s="343"/>
    </row>
    <row r="23" spans="1:9" x14ac:dyDescent="0.2">
      <c r="A23" s="566">
        <v>15</v>
      </c>
      <c r="B23" s="238" t="s">
        <v>44</v>
      </c>
      <c r="C23" s="231" t="s">
        <v>45</v>
      </c>
      <c r="D23" s="689"/>
      <c r="E23" s="690"/>
      <c r="F23" s="227"/>
      <c r="G23" s="343"/>
      <c r="H23" s="686"/>
      <c r="I23" s="343"/>
    </row>
    <row r="24" spans="1:9" x14ac:dyDescent="0.2">
      <c r="A24" s="566">
        <v>16</v>
      </c>
      <c r="B24" s="238" t="s">
        <v>46</v>
      </c>
      <c r="C24" s="231" t="s">
        <v>47</v>
      </c>
      <c r="D24" s="689"/>
      <c r="E24" s="690"/>
      <c r="F24" s="227"/>
      <c r="G24" s="343"/>
      <c r="H24" s="686"/>
      <c r="I24" s="343"/>
    </row>
    <row r="25" spans="1:9" x14ac:dyDescent="0.2">
      <c r="A25" s="566">
        <v>17</v>
      </c>
      <c r="B25" s="238" t="s">
        <v>48</v>
      </c>
      <c r="C25" s="231" t="s">
        <v>49</v>
      </c>
      <c r="D25" s="689"/>
      <c r="E25" s="690"/>
      <c r="F25" s="227"/>
      <c r="G25" s="343"/>
      <c r="H25" s="686"/>
      <c r="I25" s="343"/>
    </row>
    <row r="26" spans="1:9" x14ac:dyDescent="0.2">
      <c r="A26" s="566">
        <v>18</v>
      </c>
      <c r="B26" s="238" t="s">
        <v>50</v>
      </c>
      <c r="C26" s="231" t="s">
        <v>51</v>
      </c>
      <c r="D26" s="689">
        <f>3375+335+600</f>
        <v>4310</v>
      </c>
      <c r="E26" s="690">
        <f>447+60</f>
        <v>507</v>
      </c>
      <c r="F26" s="227"/>
      <c r="G26" s="343"/>
      <c r="H26" s="686"/>
      <c r="I26" s="343"/>
    </row>
    <row r="27" spans="1:9" x14ac:dyDescent="0.2">
      <c r="A27" s="566">
        <v>19</v>
      </c>
      <c r="B27" s="358" t="s">
        <v>52</v>
      </c>
      <c r="C27" s="231" t="s">
        <v>53</v>
      </c>
      <c r="D27" s="689"/>
      <c r="E27" s="690"/>
      <c r="F27" s="227"/>
      <c r="G27" s="343"/>
      <c r="H27" s="686"/>
      <c r="I27" s="343"/>
    </row>
    <row r="28" spans="1:9" x14ac:dyDescent="0.2">
      <c r="A28" s="566">
        <v>20</v>
      </c>
      <c r="B28" s="358" t="s">
        <v>54</v>
      </c>
      <c r="C28" s="231" t="s">
        <v>55</v>
      </c>
      <c r="D28" s="689"/>
      <c r="E28" s="690"/>
      <c r="F28" s="227"/>
      <c r="G28" s="343"/>
      <c r="H28" s="686"/>
      <c r="I28" s="343"/>
    </row>
    <row r="29" spans="1:9" x14ac:dyDescent="0.2">
      <c r="A29" s="566">
        <v>21</v>
      </c>
      <c r="B29" s="358" t="s">
        <v>56</v>
      </c>
      <c r="C29" s="231" t="s">
        <v>57</v>
      </c>
      <c r="D29" s="689">
        <f>1125+335</f>
        <v>1460</v>
      </c>
      <c r="E29" s="690">
        <v>125</v>
      </c>
      <c r="F29" s="227">
        <v>330</v>
      </c>
      <c r="G29" s="343">
        <v>9900</v>
      </c>
      <c r="H29" s="686"/>
      <c r="I29" s="343"/>
    </row>
    <row r="30" spans="1:9" x14ac:dyDescent="0.2">
      <c r="A30" s="566">
        <v>22</v>
      </c>
      <c r="B30" s="358" t="s">
        <v>58</v>
      </c>
      <c r="C30" s="231" t="s">
        <v>59</v>
      </c>
      <c r="D30" s="689">
        <f>1125+334</f>
        <v>1459</v>
      </c>
      <c r="E30" s="690">
        <v>88</v>
      </c>
      <c r="F30" s="227">
        <v>165</v>
      </c>
      <c r="G30" s="343">
        <v>4950</v>
      </c>
      <c r="H30" s="686"/>
      <c r="I30" s="343"/>
    </row>
    <row r="31" spans="1:9" x14ac:dyDescent="0.2">
      <c r="A31" s="566">
        <v>23</v>
      </c>
      <c r="B31" s="238" t="s">
        <v>60</v>
      </c>
      <c r="C31" s="231" t="s">
        <v>61</v>
      </c>
      <c r="D31" s="689"/>
      <c r="E31" s="690"/>
      <c r="F31" s="227"/>
      <c r="G31" s="343"/>
      <c r="H31" s="686"/>
      <c r="I31" s="343"/>
    </row>
    <row r="32" spans="1:9" x14ac:dyDescent="0.2">
      <c r="A32" s="566">
        <v>24</v>
      </c>
      <c r="B32" s="238" t="s">
        <v>62</v>
      </c>
      <c r="C32" s="231" t="s">
        <v>63</v>
      </c>
      <c r="D32" s="689"/>
      <c r="E32" s="690"/>
      <c r="F32" s="227"/>
      <c r="G32" s="343"/>
      <c r="H32" s="686"/>
      <c r="I32" s="343"/>
    </row>
    <row r="33" spans="1:9" ht="24" x14ac:dyDescent="0.2">
      <c r="A33" s="566">
        <v>25</v>
      </c>
      <c r="B33" s="238" t="s">
        <v>64</v>
      </c>
      <c r="C33" s="231" t="s">
        <v>65</v>
      </c>
      <c r="D33" s="689"/>
      <c r="E33" s="690"/>
      <c r="F33" s="227"/>
      <c r="G33" s="343"/>
      <c r="H33" s="686"/>
      <c r="I33" s="343"/>
    </row>
    <row r="34" spans="1:9" x14ac:dyDescent="0.2">
      <c r="A34" s="566">
        <v>26</v>
      </c>
      <c r="B34" s="358" t="s">
        <v>66</v>
      </c>
      <c r="C34" s="231" t="s">
        <v>67</v>
      </c>
      <c r="D34" s="689">
        <f>1125+334</f>
        <v>1459</v>
      </c>
      <c r="E34" s="690">
        <v>125</v>
      </c>
      <c r="F34" s="227">
        <v>330</v>
      </c>
      <c r="G34" s="343">
        <v>9900</v>
      </c>
      <c r="H34" s="686">
        <v>221</v>
      </c>
      <c r="I34" s="343">
        <v>4650</v>
      </c>
    </row>
    <row r="35" spans="1:9" x14ac:dyDescent="0.2">
      <c r="A35" s="566">
        <v>27</v>
      </c>
      <c r="B35" s="238" t="s">
        <v>68</v>
      </c>
      <c r="C35" s="231" t="s">
        <v>69</v>
      </c>
      <c r="D35" s="689"/>
      <c r="E35" s="690"/>
      <c r="F35" s="227"/>
      <c r="G35" s="343"/>
      <c r="H35" s="686"/>
      <c r="I35" s="343"/>
    </row>
    <row r="36" spans="1:9" x14ac:dyDescent="0.2">
      <c r="A36" s="566">
        <v>28</v>
      </c>
      <c r="B36" s="238" t="s">
        <v>70</v>
      </c>
      <c r="C36" s="231" t="s">
        <v>71</v>
      </c>
      <c r="D36" s="689"/>
      <c r="E36" s="690"/>
      <c r="F36" s="227"/>
      <c r="G36" s="343"/>
      <c r="H36" s="686"/>
      <c r="I36" s="343"/>
    </row>
    <row r="37" spans="1:9" x14ac:dyDescent="0.2">
      <c r="A37" s="566">
        <v>29</v>
      </c>
      <c r="B37" s="358" t="s">
        <v>72</v>
      </c>
      <c r="C37" s="231" t="s">
        <v>73</v>
      </c>
      <c r="D37" s="689"/>
      <c r="E37" s="690"/>
      <c r="F37" s="227"/>
      <c r="G37" s="343"/>
      <c r="H37" s="686"/>
      <c r="I37" s="343"/>
    </row>
    <row r="38" spans="1:9" ht="24" x14ac:dyDescent="0.2">
      <c r="A38" s="566">
        <v>30</v>
      </c>
      <c r="B38" s="358" t="s">
        <v>74</v>
      </c>
      <c r="C38" s="231" t="s">
        <v>377</v>
      </c>
      <c r="D38" s="689"/>
      <c r="E38" s="690"/>
      <c r="F38" s="227"/>
      <c r="G38" s="343"/>
      <c r="H38" s="686"/>
      <c r="I38" s="343"/>
    </row>
    <row r="39" spans="1:9" x14ac:dyDescent="0.2">
      <c r="A39" s="566">
        <v>31</v>
      </c>
      <c r="B39" s="358" t="s">
        <v>75</v>
      </c>
      <c r="C39" s="231" t="s">
        <v>76</v>
      </c>
      <c r="D39" s="689"/>
      <c r="E39" s="690"/>
      <c r="F39" s="227"/>
      <c r="G39" s="343"/>
      <c r="H39" s="686"/>
      <c r="I39" s="343"/>
    </row>
    <row r="40" spans="1:9" x14ac:dyDescent="0.2">
      <c r="A40" s="566">
        <v>32</v>
      </c>
      <c r="B40" s="238" t="s">
        <v>77</v>
      </c>
      <c r="C40" s="231" t="s">
        <v>78</v>
      </c>
      <c r="D40" s="689">
        <f>1125+335</f>
        <v>1460</v>
      </c>
      <c r="E40" s="690">
        <v>125</v>
      </c>
      <c r="F40" s="227"/>
      <c r="G40" s="343"/>
      <c r="H40" s="686">
        <v>221</v>
      </c>
      <c r="I40" s="343">
        <v>4650</v>
      </c>
    </row>
    <row r="41" spans="1:9" x14ac:dyDescent="0.2">
      <c r="A41" s="566">
        <v>33</v>
      </c>
      <c r="B41" s="358" t="s">
        <v>79</v>
      </c>
      <c r="C41" s="231" t="s">
        <v>80</v>
      </c>
      <c r="D41" s="689"/>
      <c r="E41" s="690"/>
      <c r="F41" s="227"/>
      <c r="G41" s="343"/>
      <c r="H41" s="686"/>
      <c r="I41" s="343"/>
    </row>
    <row r="42" spans="1:9" x14ac:dyDescent="0.2">
      <c r="A42" s="566">
        <v>34</v>
      </c>
      <c r="B42" s="358" t="s">
        <v>81</v>
      </c>
      <c r="C42" s="231" t="s">
        <v>82</v>
      </c>
      <c r="D42" s="689"/>
      <c r="E42" s="690"/>
      <c r="F42" s="227"/>
      <c r="G42" s="343"/>
      <c r="H42" s="686"/>
      <c r="I42" s="343"/>
    </row>
    <row r="43" spans="1:9" x14ac:dyDescent="0.2">
      <c r="A43" s="566">
        <v>35</v>
      </c>
      <c r="B43" s="358" t="s">
        <v>83</v>
      </c>
      <c r="C43" s="231" t="s">
        <v>84</v>
      </c>
      <c r="D43" s="689"/>
      <c r="E43" s="690"/>
      <c r="F43" s="227"/>
      <c r="G43" s="343"/>
      <c r="H43" s="686"/>
      <c r="I43" s="343"/>
    </row>
    <row r="44" spans="1:9" x14ac:dyDescent="0.2">
      <c r="A44" s="566">
        <v>36</v>
      </c>
      <c r="B44" s="358" t="s">
        <v>85</v>
      </c>
      <c r="C44" s="231" t="s">
        <v>86</v>
      </c>
      <c r="D44" s="689"/>
      <c r="E44" s="690"/>
      <c r="F44" s="227"/>
      <c r="G44" s="343"/>
      <c r="H44" s="686"/>
      <c r="I44" s="343"/>
    </row>
    <row r="45" spans="1:9" x14ac:dyDescent="0.2">
      <c r="A45" s="566">
        <v>37</v>
      </c>
      <c r="B45" s="238" t="s">
        <v>87</v>
      </c>
      <c r="C45" s="231" t="s">
        <v>88</v>
      </c>
      <c r="D45" s="689">
        <f>1125+335</f>
        <v>1460</v>
      </c>
      <c r="E45" s="690">
        <v>125</v>
      </c>
      <c r="F45" s="227">
        <v>330</v>
      </c>
      <c r="G45" s="343">
        <v>9900</v>
      </c>
      <c r="H45" s="686"/>
      <c r="I45" s="343"/>
    </row>
    <row r="46" spans="1:9" x14ac:dyDescent="0.2">
      <c r="A46" s="566">
        <v>38</v>
      </c>
      <c r="B46" s="358" t="s">
        <v>89</v>
      </c>
      <c r="C46" s="231" t="s">
        <v>90</v>
      </c>
      <c r="D46" s="689">
        <f>1125+334</f>
        <v>1459</v>
      </c>
      <c r="E46" s="690">
        <v>88</v>
      </c>
      <c r="F46" s="227"/>
      <c r="G46" s="343"/>
      <c r="H46" s="686">
        <v>148</v>
      </c>
      <c r="I46" s="343">
        <v>3100</v>
      </c>
    </row>
    <row r="47" spans="1:9" x14ac:dyDescent="0.2">
      <c r="A47" s="566">
        <v>39</v>
      </c>
      <c r="B47" s="358" t="s">
        <v>91</v>
      </c>
      <c r="C47" s="231" t="s">
        <v>92</v>
      </c>
      <c r="D47" s="689"/>
      <c r="E47" s="690"/>
      <c r="F47" s="227"/>
      <c r="G47" s="343"/>
      <c r="H47" s="686"/>
      <c r="I47" s="343"/>
    </row>
    <row r="48" spans="1:9" x14ac:dyDescent="0.2">
      <c r="A48" s="566">
        <v>40</v>
      </c>
      <c r="B48" s="359" t="s">
        <v>93</v>
      </c>
      <c r="C48" s="240" t="s">
        <v>94</v>
      </c>
      <c r="D48" s="689"/>
      <c r="E48" s="690"/>
      <c r="F48" s="227"/>
      <c r="G48" s="343"/>
      <c r="H48" s="686"/>
      <c r="I48" s="343"/>
    </row>
    <row r="49" spans="1:9" x14ac:dyDescent="0.2">
      <c r="A49" s="566">
        <v>41</v>
      </c>
      <c r="B49" s="358" t="s">
        <v>95</v>
      </c>
      <c r="C49" s="231" t="s">
        <v>96</v>
      </c>
      <c r="D49" s="689"/>
      <c r="E49" s="690"/>
      <c r="F49" s="227"/>
      <c r="G49" s="343"/>
      <c r="H49" s="686"/>
      <c r="I49" s="343"/>
    </row>
    <row r="50" spans="1:9" x14ac:dyDescent="0.2">
      <c r="A50" s="566">
        <v>42</v>
      </c>
      <c r="B50" s="358" t="s">
        <v>97</v>
      </c>
      <c r="C50" s="231" t="s">
        <v>98</v>
      </c>
      <c r="D50" s="689"/>
      <c r="E50" s="690"/>
      <c r="F50" s="227"/>
      <c r="G50" s="343"/>
      <c r="H50" s="686"/>
      <c r="I50" s="343"/>
    </row>
    <row r="51" spans="1:9" x14ac:dyDescent="0.2">
      <c r="A51" s="566">
        <v>43</v>
      </c>
      <c r="B51" s="238" t="s">
        <v>99</v>
      </c>
      <c r="C51" s="231" t="s">
        <v>100</v>
      </c>
      <c r="D51" s="689"/>
      <c r="E51" s="690"/>
      <c r="F51" s="227"/>
      <c r="G51" s="343"/>
      <c r="H51" s="686"/>
      <c r="I51" s="343"/>
    </row>
    <row r="52" spans="1:9" x14ac:dyDescent="0.2">
      <c r="A52" s="566">
        <v>44</v>
      </c>
      <c r="B52" s="358" t="s">
        <v>101</v>
      </c>
      <c r="C52" s="231" t="s">
        <v>102</v>
      </c>
      <c r="D52" s="689">
        <f>1125+334</f>
        <v>1459</v>
      </c>
      <c r="E52" s="690">
        <v>88</v>
      </c>
      <c r="F52" s="227"/>
      <c r="G52" s="343"/>
      <c r="H52" s="686">
        <v>148</v>
      </c>
      <c r="I52" s="343">
        <v>3100</v>
      </c>
    </row>
    <row r="53" spans="1:9" x14ac:dyDescent="0.2">
      <c r="A53" s="566">
        <v>45</v>
      </c>
      <c r="B53" s="238" t="s">
        <v>103</v>
      </c>
      <c r="C53" s="231" t="s">
        <v>104</v>
      </c>
      <c r="D53" s="689"/>
      <c r="E53" s="690"/>
      <c r="F53" s="227"/>
      <c r="G53" s="343"/>
      <c r="H53" s="686"/>
      <c r="I53" s="343"/>
    </row>
    <row r="54" spans="1:9" x14ac:dyDescent="0.2">
      <c r="A54" s="566">
        <v>46</v>
      </c>
      <c r="B54" s="358" t="s">
        <v>105</v>
      </c>
      <c r="C54" s="231" t="s">
        <v>106</v>
      </c>
      <c r="D54" s="689"/>
      <c r="E54" s="690"/>
      <c r="F54" s="227"/>
      <c r="G54" s="343"/>
      <c r="H54" s="686"/>
      <c r="I54" s="343"/>
    </row>
    <row r="55" spans="1:9" x14ac:dyDescent="0.2">
      <c r="A55" s="566">
        <v>47</v>
      </c>
      <c r="B55" s="358" t="s">
        <v>107</v>
      </c>
      <c r="C55" s="231" t="s">
        <v>108</v>
      </c>
      <c r="D55" s="689">
        <f>1125+335</f>
        <v>1460</v>
      </c>
      <c r="E55" s="690">
        <v>125</v>
      </c>
      <c r="F55" s="227">
        <v>330</v>
      </c>
      <c r="G55" s="343">
        <v>9900</v>
      </c>
      <c r="H55" s="686"/>
      <c r="I55" s="343"/>
    </row>
    <row r="56" spans="1:9" x14ac:dyDescent="0.2">
      <c r="A56" s="566">
        <v>48</v>
      </c>
      <c r="B56" s="238" t="s">
        <v>109</v>
      </c>
      <c r="C56" s="231" t="s">
        <v>110</v>
      </c>
      <c r="D56" s="689"/>
      <c r="E56" s="690"/>
      <c r="F56" s="227"/>
      <c r="G56" s="343"/>
      <c r="H56" s="686"/>
      <c r="I56" s="343"/>
    </row>
    <row r="57" spans="1:9" x14ac:dyDescent="0.2">
      <c r="A57" s="566">
        <v>49</v>
      </c>
      <c r="B57" s="238" t="s">
        <v>111</v>
      </c>
      <c r="C57" s="231" t="s">
        <v>112</v>
      </c>
      <c r="D57" s="689"/>
      <c r="E57" s="690"/>
      <c r="F57" s="227"/>
      <c r="G57" s="343"/>
      <c r="H57" s="686"/>
      <c r="I57" s="343"/>
    </row>
    <row r="58" spans="1:9" x14ac:dyDescent="0.2">
      <c r="A58" s="566">
        <v>50</v>
      </c>
      <c r="B58" s="358" t="s">
        <v>113</v>
      </c>
      <c r="C58" s="231" t="s">
        <v>114</v>
      </c>
      <c r="D58" s="689"/>
      <c r="E58" s="690"/>
      <c r="F58" s="227"/>
      <c r="G58" s="343"/>
      <c r="H58" s="686"/>
      <c r="I58" s="343"/>
    </row>
    <row r="59" spans="1:9" x14ac:dyDescent="0.2">
      <c r="A59" s="566">
        <v>51</v>
      </c>
      <c r="B59" s="238" t="s">
        <v>115</v>
      </c>
      <c r="C59" s="231" t="s">
        <v>116</v>
      </c>
      <c r="D59" s="689"/>
      <c r="E59" s="690"/>
      <c r="F59" s="227"/>
      <c r="G59" s="343"/>
      <c r="H59" s="686"/>
      <c r="I59" s="343"/>
    </row>
    <row r="60" spans="1:9" x14ac:dyDescent="0.2">
      <c r="A60" s="566">
        <v>52</v>
      </c>
      <c r="B60" s="358" t="s">
        <v>117</v>
      </c>
      <c r="C60" s="231" t="s">
        <v>118</v>
      </c>
      <c r="D60" s="689"/>
      <c r="E60" s="690"/>
      <c r="F60" s="227"/>
      <c r="G60" s="343"/>
      <c r="H60" s="686"/>
      <c r="I60" s="343"/>
    </row>
    <row r="61" spans="1:9" x14ac:dyDescent="0.2">
      <c r="A61" s="566">
        <v>53</v>
      </c>
      <c r="B61" s="238" t="s">
        <v>119</v>
      </c>
      <c r="C61" s="231" t="s">
        <v>120</v>
      </c>
      <c r="D61" s="689"/>
      <c r="E61" s="690"/>
      <c r="F61" s="227"/>
      <c r="G61" s="343"/>
      <c r="H61" s="686"/>
      <c r="I61" s="343"/>
    </row>
    <row r="62" spans="1:9" x14ac:dyDescent="0.2">
      <c r="A62" s="566">
        <v>54</v>
      </c>
      <c r="B62" s="238" t="s">
        <v>121</v>
      </c>
      <c r="C62" s="231" t="s">
        <v>122</v>
      </c>
      <c r="D62" s="689"/>
      <c r="E62" s="690"/>
      <c r="F62" s="227"/>
      <c r="G62" s="343"/>
      <c r="H62" s="686"/>
      <c r="I62" s="343"/>
    </row>
    <row r="63" spans="1:9" x14ac:dyDescent="0.2">
      <c r="A63" s="566">
        <v>55</v>
      </c>
      <c r="B63" s="238" t="s">
        <v>123</v>
      </c>
      <c r="C63" s="231" t="s">
        <v>124</v>
      </c>
      <c r="D63" s="689"/>
      <c r="E63" s="690"/>
      <c r="F63" s="227"/>
      <c r="G63" s="343"/>
      <c r="H63" s="686"/>
      <c r="I63" s="343"/>
    </row>
    <row r="64" spans="1:9" x14ac:dyDescent="0.2">
      <c r="A64" s="566">
        <v>56</v>
      </c>
      <c r="B64" s="567" t="s">
        <v>125</v>
      </c>
      <c r="C64" s="234" t="s">
        <v>126</v>
      </c>
      <c r="D64" s="689"/>
      <c r="E64" s="690"/>
      <c r="F64" s="227"/>
      <c r="G64" s="343"/>
      <c r="H64" s="686"/>
      <c r="I64" s="343"/>
    </row>
    <row r="65" spans="1:9" x14ac:dyDescent="0.2">
      <c r="A65" s="566">
        <v>57</v>
      </c>
      <c r="B65" s="238" t="s">
        <v>127</v>
      </c>
      <c r="C65" s="231" t="s">
        <v>128</v>
      </c>
      <c r="D65" s="689"/>
      <c r="E65" s="690"/>
      <c r="F65" s="227"/>
      <c r="G65" s="343"/>
      <c r="H65" s="686"/>
      <c r="I65" s="343"/>
    </row>
    <row r="66" spans="1:9" x14ac:dyDescent="0.2">
      <c r="A66" s="566">
        <v>58</v>
      </c>
      <c r="B66" s="238" t="s">
        <v>129</v>
      </c>
      <c r="C66" s="231" t="s">
        <v>457</v>
      </c>
      <c r="D66" s="689"/>
      <c r="E66" s="690"/>
      <c r="F66" s="227"/>
      <c r="G66" s="343"/>
      <c r="H66" s="686"/>
      <c r="I66" s="343"/>
    </row>
    <row r="67" spans="1:9" x14ac:dyDescent="0.2">
      <c r="A67" s="566">
        <v>59</v>
      </c>
      <c r="B67" s="238" t="s">
        <v>131</v>
      </c>
      <c r="C67" s="231" t="s">
        <v>132</v>
      </c>
      <c r="D67" s="689"/>
      <c r="E67" s="690"/>
      <c r="F67" s="227"/>
      <c r="G67" s="343"/>
      <c r="H67" s="686"/>
      <c r="I67" s="343"/>
    </row>
    <row r="68" spans="1:9" x14ac:dyDescent="0.2">
      <c r="A68" s="566">
        <v>60</v>
      </c>
      <c r="B68" s="358" t="s">
        <v>133</v>
      </c>
      <c r="C68" s="231" t="s">
        <v>299</v>
      </c>
      <c r="D68" s="689"/>
      <c r="E68" s="690"/>
      <c r="F68" s="227"/>
      <c r="G68" s="343"/>
      <c r="H68" s="686"/>
      <c r="I68" s="343"/>
    </row>
    <row r="69" spans="1:9" x14ac:dyDescent="0.2">
      <c r="A69" s="566">
        <v>61</v>
      </c>
      <c r="B69" s="358" t="s">
        <v>135</v>
      </c>
      <c r="C69" s="231" t="s">
        <v>459</v>
      </c>
      <c r="D69" s="689"/>
      <c r="E69" s="690"/>
      <c r="F69" s="227"/>
      <c r="G69" s="343"/>
      <c r="H69" s="686"/>
      <c r="I69" s="343"/>
    </row>
    <row r="70" spans="1:9" ht="24" x14ac:dyDescent="0.2">
      <c r="A70" s="566">
        <v>62</v>
      </c>
      <c r="B70" s="358" t="s">
        <v>137</v>
      </c>
      <c r="C70" s="231" t="s">
        <v>635</v>
      </c>
      <c r="D70" s="689"/>
      <c r="E70" s="690"/>
      <c r="F70" s="227"/>
      <c r="G70" s="343"/>
      <c r="H70" s="686"/>
      <c r="I70" s="343"/>
    </row>
    <row r="71" spans="1:9" ht="24" x14ac:dyDescent="0.2">
      <c r="A71" s="566">
        <v>63</v>
      </c>
      <c r="B71" s="238" t="s">
        <v>139</v>
      </c>
      <c r="C71" s="231" t="s">
        <v>636</v>
      </c>
      <c r="D71" s="689"/>
      <c r="E71" s="690"/>
      <c r="F71" s="227"/>
      <c r="G71" s="343"/>
      <c r="H71" s="686"/>
      <c r="I71" s="343"/>
    </row>
    <row r="72" spans="1:9" x14ac:dyDescent="0.2">
      <c r="A72" s="566">
        <v>64</v>
      </c>
      <c r="B72" s="358" t="s">
        <v>141</v>
      </c>
      <c r="C72" s="231" t="s">
        <v>454</v>
      </c>
      <c r="D72" s="689"/>
      <c r="E72" s="690"/>
      <c r="F72" s="227"/>
      <c r="G72" s="343"/>
      <c r="H72" s="686"/>
      <c r="I72" s="343"/>
    </row>
    <row r="73" spans="1:9" x14ac:dyDescent="0.2">
      <c r="A73" s="566">
        <v>65</v>
      </c>
      <c r="B73" s="358" t="s">
        <v>143</v>
      </c>
      <c r="C73" s="231" t="s">
        <v>144</v>
      </c>
      <c r="D73" s="689"/>
      <c r="E73" s="690"/>
      <c r="F73" s="227"/>
      <c r="G73" s="343"/>
      <c r="H73" s="686"/>
      <c r="I73" s="343"/>
    </row>
    <row r="74" spans="1:9" x14ac:dyDescent="0.2">
      <c r="A74" s="566">
        <v>66</v>
      </c>
      <c r="B74" s="358" t="s">
        <v>145</v>
      </c>
      <c r="C74" s="231" t="s">
        <v>455</v>
      </c>
      <c r="D74" s="689"/>
      <c r="E74" s="690"/>
      <c r="F74" s="227"/>
      <c r="G74" s="343"/>
      <c r="H74" s="686"/>
      <c r="I74" s="343"/>
    </row>
    <row r="75" spans="1:9" ht="24" x14ac:dyDescent="0.2">
      <c r="A75" s="566">
        <v>67</v>
      </c>
      <c r="B75" s="358" t="s">
        <v>147</v>
      </c>
      <c r="C75" s="231" t="s">
        <v>637</v>
      </c>
      <c r="D75" s="689"/>
      <c r="E75" s="690"/>
      <c r="F75" s="227"/>
      <c r="G75" s="343"/>
      <c r="H75" s="686"/>
      <c r="I75" s="343"/>
    </row>
    <row r="76" spans="1:9" ht="24" x14ac:dyDescent="0.2">
      <c r="A76" s="566">
        <v>68</v>
      </c>
      <c r="B76" s="358" t="s">
        <v>149</v>
      </c>
      <c r="C76" s="231" t="s">
        <v>461</v>
      </c>
      <c r="D76" s="689"/>
      <c r="E76" s="690"/>
      <c r="F76" s="227"/>
      <c r="G76" s="343"/>
      <c r="H76" s="686"/>
      <c r="I76" s="343"/>
    </row>
    <row r="77" spans="1:9" ht="24" x14ac:dyDescent="0.2">
      <c r="A77" s="566">
        <v>69</v>
      </c>
      <c r="B77" s="358" t="s">
        <v>151</v>
      </c>
      <c r="C77" s="231" t="s">
        <v>638</v>
      </c>
      <c r="D77" s="689"/>
      <c r="E77" s="690"/>
      <c r="F77" s="227"/>
      <c r="G77" s="343"/>
      <c r="H77" s="686"/>
      <c r="I77" s="343"/>
    </row>
    <row r="78" spans="1:9" ht="24" x14ac:dyDescent="0.2">
      <c r="A78" s="566">
        <v>70</v>
      </c>
      <c r="B78" s="358" t="s">
        <v>153</v>
      </c>
      <c r="C78" s="231" t="s">
        <v>639</v>
      </c>
      <c r="D78" s="689"/>
      <c r="E78" s="690"/>
      <c r="F78" s="227"/>
      <c r="G78" s="343"/>
      <c r="H78" s="686"/>
      <c r="I78" s="343"/>
    </row>
    <row r="79" spans="1:9" ht="24" x14ac:dyDescent="0.2">
      <c r="A79" s="566">
        <v>71</v>
      </c>
      <c r="B79" s="238" t="s">
        <v>155</v>
      </c>
      <c r="C79" s="231" t="s">
        <v>640</v>
      </c>
      <c r="D79" s="689"/>
      <c r="E79" s="690"/>
      <c r="F79" s="227"/>
      <c r="G79" s="343"/>
      <c r="H79" s="686"/>
      <c r="I79" s="343"/>
    </row>
    <row r="80" spans="1:9" ht="24" x14ac:dyDescent="0.2">
      <c r="A80" s="566">
        <v>72</v>
      </c>
      <c r="B80" s="358" t="s">
        <v>157</v>
      </c>
      <c r="C80" s="231" t="s">
        <v>641</v>
      </c>
      <c r="D80" s="689"/>
      <c r="E80" s="690"/>
      <c r="F80" s="227"/>
      <c r="G80" s="343"/>
      <c r="H80" s="686"/>
      <c r="I80" s="343"/>
    </row>
    <row r="81" spans="1:9" ht="24" x14ac:dyDescent="0.2">
      <c r="A81" s="566">
        <v>73</v>
      </c>
      <c r="B81" s="238" t="s">
        <v>159</v>
      </c>
      <c r="C81" s="231" t="s">
        <v>642</v>
      </c>
      <c r="D81" s="689"/>
      <c r="E81" s="690"/>
      <c r="F81" s="227"/>
      <c r="G81" s="343"/>
      <c r="H81" s="686"/>
      <c r="I81" s="343"/>
    </row>
    <row r="82" spans="1:9" x14ac:dyDescent="0.2">
      <c r="A82" s="566">
        <v>74</v>
      </c>
      <c r="B82" s="358" t="s">
        <v>161</v>
      </c>
      <c r="C82" s="231" t="s">
        <v>162</v>
      </c>
      <c r="D82" s="689"/>
      <c r="E82" s="690"/>
      <c r="F82" s="227"/>
      <c r="G82" s="343"/>
      <c r="H82" s="686"/>
      <c r="I82" s="343"/>
    </row>
    <row r="83" spans="1:9" x14ac:dyDescent="0.2">
      <c r="A83" s="566">
        <v>75</v>
      </c>
      <c r="B83" s="238" t="s">
        <v>163</v>
      </c>
      <c r="C83" s="231" t="s">
        <v>456</v>
      </c>
      <c r="D83" s="689">
        <f>5093-5018</f>
        <v>75</v>
      </c>
      <c r="E83" s="690"/>
      <c r="F83" s="227"/>
      <c r="G83" s="343"/>
      <c r="H83" s="686"/>
      <c r="I83" s="343"/>
    </row>
    <row r="84" spans="1:9" x14ac:dyDescent="0.2">
      <c r="A84" s="566">
        <v>76</v>
      </c>
      <c r="B84" s="238" t="s">
        <v>165</v>
      </c>
      <c r="C84" s="231" t="s">
        <v>166</v>
      </c>
      <c r="D84" s="689"/>
      <c r="E84" s="690"/>
      <c r="F84" s="227"/>
      <c r="G84" s="343"/>
      <c r="H84" s="686"/>
      <c r="I84" s="343"/>
    </row>
    <row r="85" spans="1:9" x14ac:dyDescent="0.2">
      <c r="A85" s="566">
        <v>77</v>
      </c>
      <c r="B85" s="358" t="s">
        <v>167</v>
      </c>
      <c r="C85" s="231" t="s">
        <v>168</v>
      </c>
      <c r="D85" s="689"/>
      <c r="E85" s="690"/>
      <c r="F85" s="227"/>
      <c r="G85" s="343"/>
      <c r="H85" s="686"/>
      <c r="I85" s="343"/>
    </row>
    <row r="86" spans="1:9" x14ac:dyDescent="0.2">
      <c r="A86" s="566">
        <v>78</v>
      </c>
      <c r="B86" s="358" t="s">
        <v>169</v>
      </c>
      <c r="C86" s="231" t="s">
        <v>170</v>
      </c>
      <c r="D86" s="689"/>
      <c r="E86" s="690"/>
      <c r="F86" s="227"/>
      <c r="G86" s="343"/>
      <c r="H86" s="686"/>
      <c r="I86" s="343"/>
    </row>
    <row r="87" spans="1:9" x14ac:dyDescent="0.2">
      <c r="A87" s="566">
        <v>79</v>
      </c>
      <c r="B87" s="358" t="s">
        <v>171</v>
      </c>
      <c r="C87" s="231" t="s">
        <v>172</v>
      </c>
      <c r="D87" s="689"/>
      <c r="E87" s="690"/>
      <c r="F87" s="227"/>
      <c r="G87" s="343"/>
      <c r="H87" s="686"/>
      <c r="I87" s="343"/>
    </row>
    <row r="88" spans="1:9" x14ac:dyDescent="0.2">
      <c r="A88" s="566">
        <v>80</v>
      </c>
      <c r="B88" s="358" t="s">
        <v>173</v>
      </c>
      <c r="C88" s="231" t="s">
        <v>613</v>
      </c>
      <c r="D88" s="689"/>
      <c r="E88" s="690"/>
      <c r="F88" s="227"/>
      <c r="G88" s="343"/>
      <c r="H88" s="686"/>
      <c r="I88" s="343"/>
    </row>
    <row r="89" spans="1:9" x14ac:dyDescent="0.2">
      <c r="A89" s="566">
        <v>81</v>
      </c>
      <c r="B89" s="358" t="s">
        <v>175</v>
      </c>
      <c r="C89" s="231" t="s">
        <v>176</v>
      </c>
      <c r="D89" s="689"/>
      <c r="E89" s="690"/>
      <c r="F89" s="227"/>
      <c r="G89" s="343"/>
      <c r="H89" s="686"/>
      <c r="I89" s="343"/>
    </row>
    <row r="90" spans="1:9" x14ac:dyDescent="0.2">
      <c r="A90" s="566">
        <v>82</v>
      </c>
      <c r="B90" s="235" t="s">
        <v>177</v>
      </c>
      <c r="C90" s="234" t="s">
        <v>745</v>
      </c>
      <c r="D90" s="689"/>
      <c r="E90" s="690"/>
      <c r="F90" s="227"/>
      <c r="G90" s="343"/>
      <c r="H90" s="686"/>
      <c r="I90" s="343"/>
    </row>
    <row r="91" spans="1:9" ht="24" x14ac:dyDescent="0.2">
      <c r="A91" s="1257">
        <v>83</v>
      </c>
      <c r="B91" s="1260" t="s">
        <v>178</v>
      </c>
      <c r="C91" s="236" t="s">
        <v>746</v>
      </c>
      <c r="D91" s="689"/>
      <c r="E91" s="690"/>
      <c r="F91" s="227"/>
      <c r="G91" s="343"/>
      <c r="H91" s="686"/>
      <c r="I91" s="343"/>
    </row>
    <row r="92" spans="1:9" ht="24" x14ac:dyDescent="0.2">
      <c r="A92" s="1258"/>
      <c r="B92" s="1261"/>
      <c r="C92" s="234" t="s">
        <v>179</v>
      </c>
      <c r="D92" s="689"/>
      <c r="E92" s="690"/>
      <c r="F92" s="227"/>
      <c r="G92" s="343"/>
      <c r="H92" s="686"/>
      <c r="I92" s="343"/>
    </row>
    <row r="93" spans="1:9" ht="24" x14ac:dyDescent="0.2">
      <c r="A93" s="1258"/>
      <c r="B93" s="1261"/>
      <c r="C93" s="234" t="s">
        <v>180</v>
      </c>
      <c r="D93" s="689"/>
      <c r="E93" s="690"/>
      <c r="F93" s="227"/>
      <c r="G93" s="343"/>
      <c r="H93" s="686"/>
      <c r="I93" s="343"/>
    </row>
    <row r="94" spans="1:9" ht="36" x14ac:dyDescent="0.2">
      <c r="A94" s="1259"/>
      <c r="B94" s="1262"/>
      <c r="C94" s="237" t="s">
        <v>507</v>
      </c>
      <c r="D94" s="689"/>
      <c r="E94" s="690"/>
      <c r="F94" s="227"/>
      <c r="G94" s="343"/>
      <c r="H94" s="686"/>
      <c r="I94" s="343"/>
    </row>
    <row r="95" spans="1:9" ht="24" x14ac:dyDescent="0.2">
      <c r="A95" s="566">
        <v>84</v>
      </c>
      <c r="B95" s="238" t="s">
        <v>181</v>
      </c>
      <c r="C95" s="231" t="s">
        <v>182</v>
      </c>
      <c r="D95" s="689"/>
      <c r="E95" s="690"/>
      <c r="F95" s="227"/>
      <c r="G95" s="343"/>
      <c r="H95" s="686"/>
      <c r="I95" s="343"/>
    </row>
    <row r="96" spans="1:9" x14ac:dyDescent="0.2">
      <c r="A96" s="566">
        <v>85</v>
      </c>
      <c r="B96" s="358" t="s">
        <v>183</v>
      </c>
      <c r="C96" s="231" t="s">
        <v>184</v>
      </c>
      <c r="D96" s="689"/>
      <c r="E96" s="690"/>
      <c r="F96" s="227"/>
      <c r="G96" s="343"/>
      <c r="H96" s="686"/>
      <c r="I96" s="343"/>
    </row>
    <row r="97" spans="1:9" x14ac:dyDescent="0.2">
      <c r="A97" s="566">
        <v>86</v>
      </c>
      <c r="B97" s="238" t="s">
        <v>185</v>
      </c>
      <c r="C97" s="231" t="s">
        <v>186</v>
      </c>
      <c r="D97" s="689"/>
      <c r="E97" s="690"/>
      <c r="F97" s="227"/>
      <c r="G97" s="343"/>
      <c r="H97" s="686"/>
      <c r="I97" s="343"/>
    </row>
    <row r="98" spans="1:9" x14ac:dyDescent="0.2">
      <c r="A98" s="566">
        <v>87</v>
      </c>
      <c r="B98" s="358" t="s">
        <v>187</v>
      </c>
      <c r="C98" s="231" t="s">
        <v>188</v>
      </c>
      <c r="D98" s="689">
        <f>1125+334-400</f>
        <v>1059</v>
      </c>
      <c r="E98" s="690">
        <f>88-40</f>
        <v>48</v>
      </c>
      <c r="F98" s="227">
        <v>165</v>
      </c>
      <c r="G98" s="343">
        <v>4950</v>
      </c>
      <c r="H98" s="686"/>
      <c r="I98" s="343"/>
    </row>
    <row r="99" spans="1:9" x14ac:dyDescent="0.2">
      <c r="A99" s="566">
        <v>88</v>
      </c>
      <c r="B99" s="358" t="s">
        <v>189</v>
      </c>
      <c r="C99" s="231" t="s">
        <v>190</v>
      </c>
      <c r="D99" s="689">
        <f>1125+334</f>
        <v>1459</v>
      </c>
      <c r="E99" s="690">
        <v>88</v>
      </c>
      <c r="F99" s="227"/>
      <c r="G99" s="343"/>
      <c r="H99" s="686"/>
      <c r="I99" s="343"/>
    </row>
    <row r="100" spans="1:9" x14ac:dyDescent="0.2">
      <c r="A100" s="566">
        <v>89</v>
      </c>
      <c r="B100" s="358" t="s">
        <v>191</v>
      </c>
      <c r="C100" s="231" t="s">
        <v>192</v>
      </c>
      <c r="D100" s="689"/>
      <c r="E100" s="690"/>
      <c r="F100" s="227"/>
      <c r="G100" s="343"/>
      <c r="H100" s="686"/>
      <c r="I100" s="343"/>
    </row>
    <row r="101" spans="1:9" x14ac:dyDescent="0.2">
      <c r="A101" s="566">
        <v>90</v>
      </c>
      <c r="B101" s="358" t="s">
        <v>193</v>
      </c>
      <c r="C101" s="231" t="s">
        <v>194</v>
      </c>
      <c r="D101" s="689"/>
      <c r="E101" s="690"/>
      <c r="F101" s="227"/>
      <c r="G101" s="343"/>
      <c r="H101" s="686"/>
      <c r="I101" s="343"/>
    </row>
    <row r="102" spans="1:9" x14ac:dyDescent="0.2">
      <c r="A102" s="566">
        <v>91</v>
      </c>
      <c r="B102" s="358" t="s">
        <v>195</v>
      </c>
      <c r="C102" s="231" t="s">
        <v>196</v>
      </c>
      <c r="D102" s="689"/>
      <c r="E102" s="690"/>
      <c r="F102" s="227"/>
      <c r="G102" s="343"/>
      <c r="H102" s="686"/>
      <c r="I102" s="343"/>
    </row>
    <row r="103" spans="1:9" x14ac:dyDescent="0.2">
      <c r="A103" s="566">
        <v>92</v>
      </c>
      <c r="B103" s="358" t="s">
        <v>197</v>
      </c>
      <c r="C103" s="231" t="s">
        <v>198</v>
      </c>
      <c r="D103" s="689"/>
      <c r="E103" s="690"/>
      <c r="F103" s="227"/>
      <c r="G103" s="343"/>
      <c r="H103" s="686"/>
      <c r="I103" s="343"/>
    </row>
    <row r="104" spans="1:9" x14ac:dyDescent="0.2">
      <c r="A104" s="566">
        <v>93</v>
      </c>
      <c r="B104" s="358" t="s">
        <v>199</v>
      </c>
      <c r="C104" s="231" t="s">
        <v>200</v>
      </c>
      <c r="D104" s="689"/>
      <c r="E104" s="690"/>
      <c r="F104" s="227"/>
      <c r="G104" s="343"/>
      <c r="H104" s="686"/>
      <c r="I104" s="343"/>
    </row>
    <row r="105" spans="1:9" x14ac:dyDescent="0.2">
      <c r="A105" s="566">
        <v>94</v>
      </c>
      <c r="B105" s="238" t="s">
        <v>201</v>
      </c>
      <c r="C105" s="231" t="s">
        <v>202</v>
      </c>
      <c r="D105" s="689">
        <f>1125+335</f>
        <v>1460</v>
      </c>
      <c r="E105" s="690">
        <v>110</v>
      </c>
      <c r="F105" s="227">
        <v>330</v>
      </c>
      <c r="G105" s="343">
        <v>9900</v>
      </c>
      <c r="H105" s="686"/>
      <c r="I105" s="343"/>
    </row>
    <row r="106" spans="1:9" x14ac:dyDescent="0.2">
      <c r="A106" s="566">
        <v>95</v>
      </c>
      <c r="B106" s="358" t="s">
        <v>203</v>
      </c>
      <c r="C106" s="231" t="s">
        <v>204</v>
      </c>
      <c r="D106" s="689"/>
      <c r="E106" s="690"/>
      <c r="F106" s="227"/>
      <c r="G106" s="343"/>
      <c r="H106" s="686"/>
      <c r="I106" s="343"/>
    </row>
    <row r="107" spans="1:9" x14ac:dyDescent="0.2">
      <c r="A107" s="566">
        <v>96</v>
      </c>
      <c r="B107" s="358" t="s">
        <v>205</v>
      </c>
      <c r="C107" s="231" t="s">
        <v>206</v>
      </c>
      <c r="D107" s="689"/>
      <c r="E107" s="690"/>
      <c r="F107" s="227"/>
      <c r="G107" s="343"/>
      <c r="H107" s="686"/>
      <c r="I107" s="343"/>
    </row>
    <row r="108" spans="1:9" x14ac:dyDescent="0.2">
      <c r="A108" s="566">
        <v>97</v>
      </c>
      <c r="B108" s="238" t="s">
        <v>207</v>
      </c>
      <c r="C108" s="231" t="s">
        <v>208</v>
      </c>
      <c r="D108" s="689"/>
      <c r="E108" s="690"/>
      <c r="F108" s="227"/>
      <c r="G108" s="343"/>
      <c r="H108" s="686"/>
      <c r="I108" s="343"/>
    </row>
    <row r="109" spans="1:9" x14ac:dyDescent="0.2">
      <c r="A109" s="566">
        <v>98</v>
      </c>
      <c r="B109" s="358" t="s">
        <v>209</v>
      </c>
      <c r="C109" s="231" t="s">
        <v>210</v>
      </c>
      <c r="D109" s="689"/>
      <c r="E109" s="690"/>
      <c r="F109" s="227"/>
      <c r="G109" s="343"/>
      <c r="H109" s="686"/>
      <c r="I109" s="343"/>
    </row>
    <row r="110" spans="1:9" x14ac:dyDescent="0.2">
      <c r="A110" s="566">
        <v>99</v>
      </c>
      <c r="B110" s="238" t="s">
        <v>211</v>
      </c>
      <c r="C110" s="231" t="s">
        <v>212</v>
      </c>
      <c r="D110" s="689">
        <f>1125+334</f>
        <v>1459</v>
      </c>
      <c r="E110" s="690">
        <v>88</v>
      </c>
      <c r="F110" s="227"/>
      <c r="G110" s="343"/>
      <c r="H110" s="686">
        <v>148</v>
      </c>
      <c r="I110" s="343">
        <v>3100</v>
      </c>
    </row>
    <row r="111" spans="1:9" x14ac:dyDescent="0.2">
      <c r="A111" s="566">
        <v>100</v>
      </c>
      <c r="B111" s="238" t="s">
        <v>213</v>
      </c>
      <c r="C111" s="231" t="s">
        <v>214</v>
      </c>
      <c r="D111" s="689"/>
      <c r="E111" s="690"/>
      <c r="F111" s="227"/>
      <c r="G111" s="343"/>
      <c r="H111" s="686"/>
      <c r="I111" s="343"/>
    </row>
    <row r="112" spans="1:9" x14ac:dyDescent="0.2">
      <c r="A112" s="566">
        <v>101</v>
      </c>
      <c r="B112" s="358" t="s">
        <v>215</v>
      </c>
      <c r="C112" s="231" t="s">
        <v>216</v>
      </c>
      <c r="D112" s="689"/>
      <c r="E112" s="690"/>
      <c r="F112" s="227"/>
      <c r="G112" s="343"/>
      <c r="H112" s="686"/>
      <c r="I112" s="343"/>
    </row>
    <row r="113" spans="1:9" x14ac:dyDescent="0.2">
      <c r="A113" s="566">
        <v>102</v>
      </c>
      <c r="B113" s="358" t="s">
        <v>217</v>
      </c>
      <c r="C113" s="231" t="s">
        <v>218</v>
      </c>
      <c r="D113" s="689"/>
      <c r="E113" s="690"/>
      <c r="F113" s="227"/>
      <c r="G113" s="343"/>
      <c r="H113" s="686"/>
      <c r="I113" s="343"/>
    </row>
    <row r="114" spans="1:9" x14ac:dyDescent="0.2">
      <c r="A114" s="566">
        <v>103</v>
      </c>
      <c r="B114" s="358" t="s">
        <v>219</v>
      </c>
      <c r="C114" s="231" t="s">
        <v>220</v>
      </c>
      <c r="D114" s="689"/>
      <c r="E114" s="690"/>
      <c r="F114" s="227"/>
      <c r="G114" s="343"/>
      <c r="H114" s="686"/>
      <c r="I114" s="343"/>
    </row>
    <row r="115" spans="1:9" x14ac:dyDescent="0.2">
      <c r="A115" s="566">
        <v>104</v>
      </c>
      <c r="B115" s="358" t="s">
        <v>221</v>
      </c>
      <c r="C115" s="231" t="s">
        <v>222</v>
      </c>
      <c r="D115" s="689"/>
      <c r="E115" s="690"/>
      <c r="F115" s="227"/>
      <c r="G115" s="343"/>
      <c r="H115" s="686"/>
      <c r="I115" s="343"/>
    </row>
    <row r="116" spans="1:9" x14ac:dyDescent="0.2">
      <c r="A116" s="566">
        <v>105</v>
      </c>
      <c r="B116" s="238" t="s">
        <v>223</v>
      </c>
      <c r="C116" s="231" t="s">
        <v>224</v>
      </c>
      <c r="D116" s="689"/>
      <c r="E116" s="690"/>
      <c r="F116" s="227"/>
      <c r="G116" s="343"/>
      <c r="H116" s="686"/>
      <c r="I116" s="343"/>
    </row>
    <row r="117" spans="1:9" x14ac:dyDescent="0.2">
      <c r="A117" s="566">
        <v>106</v>
      </c>
      <c r="B117" s="358" t="s">
        <v>225</v>
      </c>
      <c r="C117" s="231" t="s">
        <v>226</v>
      </c>
      <c r="D117" s="689"/>
      <c r="E117" s="690"/>
      <c r="F117" s="227"/>
      <c r="G117" s="343"/>
      <c r="H117" s="686"/>
      <c r="I117" s="343"/>
    </row>
    <row r="118" spans="1:9" ht="15.75" customHeight="1" x14ac:dyDescent="0.2">
      <c r="A118" s="566">
        <v>107</v>
      </c>
      <c r="B118" s="358" t="s">
        <v>227</v>
      </c>
      <c r="C118" s="231" t="s">
        <v>228</v>
      </c>
      <c r="D118" s="689"/>
      <c r="E118" s="690"/>
      <c r="F118" s="227"/>
      <c r="G118" s="343"/>
      <c r="H118" s="686"/>
      <c r="I118" s="343"/>
    </row>
    <row r="119" spans="1:9" x14ac:dyDescent="0.2">
      <c r="A119" s="566">
        <v>108</v>
      </c>
      <c r="B119" s="358" t="s">
        <v>229</v>
      </c>
      <c r="C119" s="231" t="s">
        <v>230</v>
      </c>
      <c r="D119" s="689"/>
      <c r="E119" s="690"/>
      <c r="F119" s="227"/>
      <c r="G119" s="343"/>
      <c r="H119" s="686"/>
      <c r="I119" s="343"/>
    </row>
    <row r="120" spans="1:9" x14ac:dyDescent="0.2">
      <c r="A120" s="566">
        <v>109</v>
      </c>
      <c r="B120" s="238" t="s">
        <v>231</v>
      </c>
      <c r="C120" s="231" t="s">
        <v>232</v>
      </c>
      <c r="D120" s="689"/>
      <c r="E120" s="690"/>
      <c r="F120" s="227"/>
      <c r="G120" s="343"/>
      <c r="H120" s="686"/>
      <c r="I120" s="343"/>
    </row>
    <row r="121" spans="1:9" x14ac:dyDescent="0.2">
      <c r="A121" s="566">
        <v>110</v>
      </c>
      <c r="B121" s="238" t="s">
        <v>233</v>
      </c>
      <c r="C121" s="231" t="s">
        <v>234</v>
      </c>
      <c r="D121" s="689"/>
      <c r="E121" s="690"/>
      <c r="F121" s="227"/>
      <c r="G121" s="343"/>
      <c r="H121" s="686"/>
      <c r="I121" s="343"/>
    </row>
    <row r="122" spans="1:9" x14ac:dyDescent="0.2">
      <c r="A122" s="566">
        <v>111</v>
      </c>
      <c r="B122" s="354" t="s">
        <v>235</v>
      </c>
      <c r="C122" s="231" t="s">
        <v>236</v>
      </c>
      <c r="D122" s="689"/>
      <c r="E122" s="690"/>
      <c r="F122" s="227"/>
      <c r="G122" s="343"/>
      <c r="H122" s="686"/>
      <c r="I122" s="343"/>
    </row>
    <row r="123" spans="1:9" x14ac:dyDescent="0.2">
      <c r="A123" s="566">
        <v>112</v>
      </c>
      <c r="B123" s="358" t="s">
        <v>237</v>
      </c>
      <c r="C123" s="231" t="s">
        <v>238</v>
      </c>
      <c r="D123" s="689"/>
      <c r="E123" s="690"/>
      <c r="F123" s="227"/>
      <c r="G123" s="343"/>
      <c r="H123" s="686"/>
      <c r="I123" s="343"/>
    </row>
    <row r="124" spans="1:9" x14ac:dyDescent="0.2">
      <c r="A124" s="566">
        <v>113</v>
      </c>
      <c r="B124" s="358" t="s">
        <v>239</v>
      </c>
      <c r="C124" s="231" t="s">
        <v>240</v>
      </c>
      <c r="D124" s="689"/>
      <c r="E124" s="690"/>
      <c r="F124" s="227"/>
      <c r="G124" s="343"/>
      <c r="H124" s="686"/>
      <c r="I124" s="343"/>
    </row>
    <row r="125" spans="1:9" x14ac:dyDescent="0.2">
      <c r="A125" s="566">
        <v>114</v>
      </c>
      <c r="B125" s="358" t="s">
        <v>241</v>
      </c>
      <c r="C125" s="231" t="s">
        <v>242</v>
      </c>
      <c r="D125" s="689"/>
      <c r="E125" s="690"/>
      <c r="F125" s="227"/>
      <c r="G125" s="343"/>
      <c r="H125" s="686"/>
      <c r="I125" s="343"/>
    </row>
    <row r="126" spans="1:9" x14ac:dyDescent="0.2">
      <c r="A126" s="566">
        <v>115</v>
      </c>
      <c r="B126" s="567" t="s">
        <v>243</v>
      </c>
      <c r="C126" s="234" t="s">
        <v>385</v>
      </c>
      <c r="D126" s="689"/>
      <c r="E126" s="690"/>
      <c r="F126" s="227"/>
      <c r="G126" s="343"/>
      <c r="H126" s="686"/>
      <c r="I126" s="343"/>
    </row>
    <row r="127" spans="1:9" x14ac:dyDescent="0.2">
      <c r="A127" s="566">
        <v>116</v>
      </c>
      <c r="B127" s="238" t="s">
        <v>244</v>
      </c>
      <c r="C127" s="231" t="s">
        <v>644</v>
      </c>
      <c r="D127" s="689"/>
      <c r="E127" s="690"/>
      <c r="F127" s="227"/>
      <c r="G127" s="343"/>
      <c r="H127" s="686"/>
      <c r="I127" s="343"/>
    </row>
    <row r="128" spans="1:9" x14ac:dyDescent="0.2">
      <c r="A128" s="566">
        <v>117</v>
      </c>
      <c r="B128" s="238" t="s">
        <v>246</v>
      </c>
      <c r="C128" s="231" t="s">
        <v>247</v>
      </c>
      <c r="D128" s="689"/>
      <c r="E128" s="690"/>
      <c r="F128" s="227"/>
      <c r="G128" s="343"/>
      <c r="H128" s="686"/>
      <c r="I128" s="343"/>
    </row>
    <row r="129" spans="1:9" x14ac:dyDescent="0.2">
      <c r="A129" s="566">
        <v>118</v>
      </c>
      <c r="B129" s="238" t="s">
        <v>248</v>
      </c>
      <c r="C129" s="231" t="s">
        <v>249</v>
      </c>
      <c r="D129" s="689"/>
      <c r="E129" s="690"/>
      <c r="F129" s="227"/>
      <c r="G129" s="343"/>
      <c r="H129" s="686"/>
      <c r="I129" s="343"/>
    </row>
    <row r="130" spans="1:9" x14ac:dyDescent="0.2">
      <c r="A130" s="566">
        <v>119</v>
      </c>
      <c r="B130" s="238" t="s">
        <v>250</v>
      </c>
      <c r="C130" s="231" t="s">
        <v>251</v>
      </c>
      <c r="D130" s="689"/>
      <c r="E130" s="690"/>
      <c r="F130" s="227"/>
      <c r="G130" s="343"/>
      <c r="H130" s="686"/>
      <c r="I130" s="343"/>
    </row>
    <row r="131" spans="1:9" x14ac:dyDescent="0.2">
      <c r="A131" s="566">
        <v>120</v>
      </c>
      <c r="B131" s="228" t="s">
        <v>252</v>
      </c>
      <c r="C131" s="240" t="s">
        <v>253</v>
      </c>
      <c r="D131" s="689"/>
      <c r="E131" s="690"/>
      <c r="F131" s="227"/>
      <c r="G131" s="343"/>
      <c r="H131" s="686"/>
      <c r="I131" s="343"/>
    </row>
    <row r="132" spans="1:9" x14ac:dyDescent="0.2">
      <c r="A132" s="566">
        <v>121</v>
      </c>
      <c r="B132" s="358" t="s">
        <v>254</v>
      </c>
      <c r="C132" s="231" t="s">
        <v>255</v>
      </c>
      <c r="D132" s="689"/>
      <c r="E132" s="690"/>
      <c r="F132" s="227"/>
      <c r="G132" s="343"/>
      <c r="H132" s="686"/>
      <c r="I132" s="343"/>
    </row>
    <row r="133" spans="1:9" x14ac:dyDescent="0.2">
      <c r="A133" s="566">
        <v>122</v>
      </c>
      <c r="B133" s="238" t="s">
        <v>256</v>
      </c>
      <c r="C133" s="231" t="s">
        <v>257</v>
      </c>
      <c r="D133" s="689"/>
      <c r="E133" s="690"/>
      <c r="F133" s="227"/>
      <c r="G133" s="343"/>
      <c r="H133" s="686"/>
      <c r="I133" s="343"/>
    </row>
    <row r="134" spans="1:9" x14ac:dyDescent="0.2">
      <c r="A134" s="566">
        <v>123</v>
      </c>
      <c r="B134" s="358" t="s">
        <v>258</v>
      </c>
      <c r="C134" s="231" t="s">
        <v>259</v>
      </c>
      <c r="D134" s="689"/>
      <c r="E134" s="690"/>
      <c r="F134" s="227"/>
      <c r="G134" s="343"/>
      <c r="H134" s="686"/>
      <c r="I134" s="343"/>
    </row>
    <row r="135" spans="1:9" x14ac:dyDescent="0.2">
      <c r="A135" s="566">
        <v>124</v>
      </c>
      <c r="B135" s="238" t="s">
        <v>260</v>
      </c>
      <c r="C135" s="231" t="s">
        <v>261</v>
      </c>
      <c r="D135" s="689"/>
      <c r="E135" s="690"/>
      <c r="F135" s="227"/>
      <c r="G135" s="343"/>
      <c r="H135" s="686"/>
      <c r="I135" s="343"/>
    </row>
    <row r="136" spans="1:9" x14ac:dyDescent="0.2">
      <c r="A136" s="566">
        <v>125</v>
      </c>
      <c r="B136" s="238" t="s">
        <v>262</v>
      </c>
      <c r="C136" s="231" t="s">
        <v>263</v>
      </c>
      <c r="D136" s="689"/>
      <c r="E136" s="690"/>
      <c r="F136" s="227"/>
      <c r="G136" s="343"/>
      <c r="H136" s="686"/>
      <c r="I136" s="343"/>
    </row>
    <row r="137" spans="1:9" x14ac:dyDescent="0.2">
      <c r="A137" s="566">
        <v>126</v>
      </c>
      <c r="B137" s="358" t="s">
        <v>264</v>
      </c>
      <c r="C137" s="231" t="s">
        <v>265</v>
      </c>
      <c r="D137" s="689"/>
      <c r="E137" s="690"/>
      <c r="F137" s="227"/>
      <c r="G137" s="343"/>
      <c r="H137" s="686"/>
      <c r="I137" s="343"/>
    </row>
    <row r="138" spans="1:9" x14ac:dyDescent="0.2">
      <c r="A138" s="566">
        <v>127</v>
      </c>
      <c r="B138" s="238" t="s">
        <v>266</v>
      </c>
      <c r="C138" s="231" t="s">
        <v>267</v>
      </c>
      <c r="D138" s="689"/>
      <c r="E138" s="690"/>
      <c r="F138" s="227"/>
      <c r="G138" s="343"/>
      <c r="H138" s="686"/>
      <c r="I138" s="343"/>
    </row>
    <row r="139" spans="1:9" x14ac:dyDescent="0.2">
      <c r="A139" s="566">
        <v>128</v>
      </c>
      <c r="B139" s="358" t="s">
        <v>268</v>
      </c>
      <c r="C139" s="231" t="s">
        <v>269</v>
      </c>
      <c r="D139" s="689"/>
      <c r="E139" s="690"/>
      <c r="F139" s="227"/>
      <c r="G139" s="343"/>
      <c r="H139" s="686"/>
      <c r="I139" s="343"/>
    </row>
    <row r="140" spans="1:9" x14ac:dyDescent="0.2">
      <c r="A140" s="566">
        <v>129</v>
      </c>
      <c r="B140" s="358" t="s">
        <v>270</v>
      </c>
      <c r="C140" s="231" t="s">
        <v>271</v>
      </c>
      <c r="D140" s="689"/>
      <c r="E140" s="690"/>
      <c r="F140" s="227"/>
      <c r="G140" s="343"/>
      <c r="H140" s="686"/>
      <c r="I140" s="343"/>
    </row>
    <row r="141" spans="1:9" x14ac:dyDescent="0.2">
      <c r="A141" s="566">
        <v>130</v>
      </c>
      <c r="B141" s="238" t="s">
        <v>272</v>
      </c>
      <c r="C141" s="231" t="s">
        <v>273</v>
      </c>
      <c r="D141" s="689"/>
      <c r="E141" s="690"/>
      <c r="F141" s="227"/>
      <c r="G141" s="343"/>
      <c r="H141" s="686"/>
      <c r="I141" s="343"/>
    </row>
    <row r="142" spans="1:9" x14ac:dyDescent="0.2">
      <c r="A142" s="566">
        <v>131</v>
      </c>
      <c r="B142" s="238" t="s">
        <v>274</v>
      </c>
      <c r="C142" s="231" t="s">
        <v>275</v>
      </c>
      <c r="D142" s="689"/>
      <c r="E142" s="690"/>
      <c r="F142" s="227"/>
      <c r="G142" s="343"/>
      <c r="H142" s="686"/>
      <c r="I142" s="343"/>
    </row>
    <row r="143" spans="1:9" x14ac:dyDescent="0.2">
      <c r="A143" s="566">
        <v>132</v>
      </c>
      <c r="B143" s="238" t="s">
        <v>276</v>
      </c>
      <c r="C143" s="231" t="s">
        <v>277</v>
      </c>
      <c r="D143" s="689"/>
      <c r="E143" s="690"/>
      <c r="F143" s="227"/>
      <c r="G143" s="343"/>
      <c r="H143" s="686"/>
      <c r="I143" s="343"/>
    </row>
    <row r="144" spans="1:9" x14ac:dyDescent="0.2">
      <c r="A144" s="566">
        <v>133</v>
      </c>
      <c r="B144" s="238" t="s">
        <v>278</v>
      </c>
      <c r="C144" s="231" t="s">
        <v>279</v>
      </c>
      <c r="D144" s="689"/>
      <c r="E144" s="690"/>
      <c r="F144" s="227"/>
      <c r="G144" s="343"/>
      <c r="H144" s="686"/>
      <c r="I144" s="343"/>
    </row>
    <row r="145" spans="1:9" x14ac:dyDescent="0.2">
      <c r="A145" s="566">
        <v>134</v>
      </c>
      <c r="B145" s="238" t="s">
        <v>280</v>
      </c>
      <c r="C145" s="231" t="s">
        <v>281</v>
      </c>
      <c r="D145" s="689"/>
      <c r="E145" s="690"/>
      <c r="F145" s="227"/>
      <c r="G145" s="343"/>
      <c r="H145" s="686"/>
      <c r="I145" s="343"/>
    </row>
    <row r="146" spans="1:9" x14ac:dyDescent="0.2">
      <c r="A146" s="566">
        <v>135</v>
      </c>
      <c r="B146" s="358" t="s">
        <v>282</v>
      </c>
      <c r="C146" s="231" t="s">
        <v>283</v>
      </c>
      <c r="D146" s="689"/>
      <c r="E146" s="691"/>
      <c r="F146" s="686"/>
      <c r="G146" s="343"/>
      <c r="H146" s="686"/>
      <c r="I146" s="343"/>
    </row>
    <row r="147" spans="1:9" x14ac:dyDescent="0.2">
      <c r="A147" s="566">
        <v>136</v>
      </c>
      <c r="B147" s="241" t="s">
        <v>284</v>
      </c>
      <c r="C147" s="355" t="s">
        <v>285</v>
      </c>
      <c r="D147" s="692"/>
      <c r="E147" s="691"/>
      <c r="F147" s="686"/>
      <c r="G147" s="343"/>
      <c r="H147" s="686"/>
      <c r="I147" s="343"/>
    </row>
    <row r="148" spans="1:9" x14ac:dyDescent="0.2">
      <c r="A148" s="566">
        <v>137</v>
      </c>
      <c r="B148" s="238" t="s">
        <v>387</v>
      </c>
      <c r="C148" s="240" t="s">
        <v>388</v>
      </c>
      <c r="D148" s="692"/>
      <c r="E148" s="691"/>
      <c r="F148" s="686"/>
      <c r="G148" s="343"/>
      <c r="H148" s="686"/>
      <c r="I148" s="343"/>
    </row>
    <row r="149" spans="1:9" x14ac:dyDescent="0.25">
      <c r="A149" s="566">
        <v>138</v>
      </c>
      <c r="B149" s="239" t="s">
        <v>389</v>
      </c>
      <c r="C149" s="240" t="s">
        <v>788</v>
      </c>
      <c r="D149" s="227">
        <v>26100</v>
      </c>
      <c r="E149" s="343">
        <v>4350</v>
      </c>
      <c r="F149" s="686">
        <v>2054</v>
      </c>
      <c r="G149" s="343">
        <v>65736</v>
      </c>
      <c r="H149" s="686">
        <v>2968</v>
      </c>
      <c r="I149" s="343">
        <v>62310</v>
      </c>
    </row>
    <row r="150" spans="1:9" x14ac:dyDescent="0.25">
      <c r="A150" s="566">
        <v>139</v>
      </c>
      <c r="B150" s="241" t="s">
        <v>391</v>
      </c>
      <c r="C150" s="356" t="s">
        <v>392</v>
      </c>
      <c r="D150" s="227"/>
      <c r="E150" s="343"/>
      <c r="F150" s="686"/>
      <c r="G150" s="343"/>
      <c r="H150" s="686"/>
      <c r="I150" s="343"/>
    </row>
    <row r="151" spans="1:9" x14ac:dyDescent="0.25">
      <c r="A151" s="566">
        <v>140</v>
      </c>
      <c r="B151" s="626" t="s">
        <v>393</v>
      </c>
      <c r="C151" s="627" t="s">
        <v>394</v>
      </c>
      <c r="D151" s="227"/>
      <c r="E151" s="343"/>
      <c r="F151" s="686"/>
      <c r="G151" s="343"/>
      <c r="H151" s="686"/>
      <c r="I151" s="343"/>
    </row>
    <row r="152" spans="1:9" x14ac:dyDescent="0.25">
      <c r="A152" s="227">
        <v>141</v>
      </c>
      <c r="B152" s="600" t="s">
        <v>791</v>
      </c>
      <c r="C152" s="693" t="s">
        <v>790</v>
      </c>
      <c r="D152" s="227"/>
      <c r="E152" s="343"/>
      <c r="F152" s="686"/>
      <c r="G152" s="343"/>
      <c r="H152" s="686"/>
      <c r="I152" s="343"/>
    </row>
    <row r="153" spans="1:9" ht="12.75" thickBot="1" x14ac:dyDescent="0.3">
      <c r="A153" s="340">
        <v>142</v>
      </c>
      <c r="B153" s="602" t="s">
        <v>800</v>
      </c>
      <c r="C153" s="694" t="s">
        <v>801</v>
      </c>
      <c r="D153" s="340"/>
      <c r="E153" s="351"/>
      <c r="F153" s="352"/>
      <c r="G153" s="351"/>
      <c r="H153" s="352"/>
      <c r="I153" s="351"/>
    </row>
    <row r="154" spans="1:9" s="95" customFormat="1" x14ac:dyDescent="0.25">
      <c r="A154" s="1291" t="s">
        <v>789</v>
      </c>
      <c r="B154" s="1292"/>
      <c r="C154" s="1292"/>
    </row>
    <row r="155" spans="1:9" s="95" customFormat="1" ht="19.5" customHeight="1" x14ac:dyDescent="0.25">
      <c r="A155" s="1293"/>
      <c r="B155" s="1293"/>
      <c r="C155" s="1293"/>
    </row>
    <row r="156" spans="1:9" s="95" customFormat="1" x14ac:dyDescent="0.25">
      <c r="C156" s="353"/>
    </row>
  </sheetData>
  <mergeCells count="14">
    <mergeCell ref="A1:I1"/>
    <mergeCell ref="A3:A4"/>
    <mergeCell ref="B3:B4"/>
    <mergeCell ref="C3:C4"/>
    <mergeCell ref="D3:E3"/>
    <mergeCell ref="F3:G3"/>
    <mergeCell ref="H3:I3"/>
    <mergeCell ref="A154:C155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57"/>
  <sheetViews>
    <sheetView zoomScale="90" zoomScaleNormal="90" workbookViewId="0">
      <pane xSplit="3" ySplit="8" topLeftCell="D126" activePane="bottomRight" state="frozen"/>
      <selection pane="topRight" activeCell="D1" sqref="D1"/>
      <selection pane="bottomLeft" activeCell="A9" sqref="A9"/>
      <selection pane="bottomRight" activeCell="O149" sqref="O149"/>
    </sheetView>
  </sheetViews>
  <sheetFormatPr defaultRowHeight="12.75" x14ac:dyDescent="0.25"/>
  <cols>
    <col min="1" max="1" width="4" style="506" customWidth="1"/>
    <col min="2" max="2" width="8.140625" style="506" customWidth="1"/>
    <col min="3" max="3" width="38.28515625" style="507" customWidth="1"/>
    <col min="4" max="4" width="17" style="507" customWidth="1"/>
    <col min="5" max="5" width="14.7109375" style="507" customWidth="1"/>
    <col min="6" max="6" width="11.85546875" style="577" customWidth="1"/>
    <col min="7" max="7" width="12.140625" style="577" customWidth="1"/>
    <col min="8" max="8" width="10.5703125" style="506" customWidth="1"/>
    <col min="9" max="9" width="9.85546875" style="506" customWidth="1"/>
    <col min="10" max="16384" width="9.140625" style="506"/>
  </cols>
  <sheetData>
    <row r="1" spans="1:9" ht="15.75" x14ac:dyDescent="0.25">
      <c r="A1" s="1245" t="s">
        <v>618</v>
      </c>
      <c r="B1" s="1245"/>
      <c r="C1" s="1245"/>
      <c r="D1" s="1245"/>
      <c r="E1" s="1245"/>
      <c r="F1" s="1245"/>
      <c r="G1" s="1311"/>
      <c r="H1" s="1311"/>
      <c r="I1" s="1311"/>
    </row>
    <row r="2" spans="1:9" ht="13.5" thickBot="1" x14ac:dyDescent="0.3"/>
    <row r="3" spans="1:9" s="96" customFormat="1" ht="30.75" customHeight="1" x14ac:dyDescent="0.25">
      <c r="A3" s="1247" t="s">
        <v>0</v>
      </c>
      <c r="B3" s="1249" t="s">
        <v>597</v>
      </c>
      <c r="C3" s="1312" t="s">
        <v>292</v>
      </c>
      <c r="D3" s="1314" t="s">
        <v>786</v>
      </c>
      <c r="E3" s="1315"/>
      <c r="F3" s="1316" t="s">
        <v>614</v>
      </c>
      <c r="G3" s="1317"/>
      <c r="H3" s="1318" t="s">
        <v>615</v>
      </c>
      <c r="I3" s="1319"/>
    </row>
    <row r="4" spans="1:9" s="96" customFormat="1" ht="40.5" customHeight="1" thickBot="1" x14ac:dyDescent="0.3">
      <c r="A4" s="1302"/>
      <c r="B4" s="1303"/>
      <c r="C4" s="1313"/>
      <c r="D4" s="372" t="s">
        <v>289</v>
      </c>
      <c r="E4" s="578" t="s">
        <v>617</v>
      </c>
      <c r="F4" s="370" t="s">
        <v>622</v>
      </c>
      <c r="G4" s="371" t="s">
        <v>603</v>
      </c>
      <c r="H4" s="370" t="s">
        <v>604</v>
      </c>
      <c r="I4" s="371" t="s">
        <v>605</v>
      </c>
    </row>
    <row r="5" spans="1:9" s="581" customFormat="1" x14ac:dyDescent="0.25">
      <c r="A5" s="1237" t="s">
        <v>6</v>
      </c>
      <c r="B5" s="1238"/>
      <c r="C5" s="1320"/>
      <c r="D5" s="579">
        <f>SUM(D6:D8)</f>
        <v>428173</v>
      </c>
      <c r="E5" s="710">
        <f t="shared" ref="E5:I5" si="0">SUM(E6:E8)</f>
        <v>94934</v>
      </c>
      <c r="F5" s="711">
        <f t="shared" si="0"/>
        <v>19515</v>
      </c>
      <c r="G5" s="712">
        <f t="shared" si="0"/>
        <v>267859</v>
      </c>
      <c r="H5" s="713">
        <f t="shared" si="0"/>
        <v>1525</v>
      </c>
      <c r="I5" s="580">
        <f t="shared" si="0"/>
        <v>18290</v>
      </c>
    </row>
    <row r="6" spans="1:9" s="581" customFormat="1" x14ac:dyDescent="0.25">
      <c r="A6" s="1240" t="s">
        <v>14</v>
      </c>
      <c r="B6" s="1241"/>
      <c r="C6" s="1321"/>
      <c r="D6" s="505"/>
      <c r="E6" s="523"/>
      <c r="F6" s="502"/>
      <c r="G6" s="503"/>
      <c r="H6" s="696"/>
      <c r="I6" s="420"/>
    </row>
    <row r="7" spans="1:9" s="581" customFormat="1" x14ac:dyDescent="0.25">
      <c r="A7" s="1240" t="s">
        <v>442</v>
      </c>
      <c r="B7" s="1241"/>
      <c r="C7" s="1321"/>
      <c r="D7" s="505"/>
      <c r="E7" s="523"/>
      <c r="F7" s="502"/>
      <c r="G7" s="503"/>
      <c r="H7" s="696"/>
      <c r="I7" s="420"/>
    </row>
    <row r="8" spans="1:9" x14ac:dyDescent="0.25">
      <c r="A8" s="1240" t="s">
        <v>15</v>
      </c>
      <c r="B8" s="1241"/>
      <c r="C8" s="1321"/>
      <c r="D8" s="524">
        <f>SUM(D9:D151)-D91</f>
        <v>428173</v>
      </c>
      <c r="E8" s="525">
        <f t="shared" ref="E8" si="1">SUM(E9:E151)-E91</f>
        <v>94934</v>
      </c>
      <c r="F8" s="714">
        <f t="shared" ref="F8:I8" si="2">SUM(F9:F151)-F91</f>
        <v>19515</v>
      </c>
      <c r="G8" s="582">
        <f t="shared" si="2"/>
        <v>267859</v>
      </c>
      <c r="H8" s="697">
        <f t="shared" si="2"/>
        <v>1525</v>
      </c>
      <c r="I8" s="522">
        <f t="shared" si="2"/>
        <v>18290</v>
      </c>
    </row>
    <row r="9" spans="1:9" x14ac:dyDescent="0.25">
      <c r="A9" s="700">
        <v>1</v>
      </c>
      <c r="B9" s="389" t="s">
        <v>16</v>
      </c>
      <c r="C9" s="583" t="s">
        <v>17</v>
      </c>
      <c r="D9" s="419">
        <f>2498+43+44</f>
        <v>2585</v>
      </c>
      <c r="E9" s="523">
        <f>367+3</f>
        <v>370</v>
      </c>
      <c r="F9" s="715"/>
      <c r="G9" s="503"/>
      <c r="H9" s="716"/>
      <c r="I9" s="420"/>
    </row>
    <row r="10" spans="1:9" x14ac:dyDescent="0.25">
      <c r="A10" s="700">
        <v>2</v>
      </c>
      <c r="B10" s="389" t="s">
        <v>18</v>
      </c>
      <c r="C10" s="583" t="s">
        <v>19</v>
      </c>
      <c r="D10" s="419">
        <f>2948+14+29</f>
        <v>2991</v>
      </c>
      <c r="E10" s="523">
        <f>374+8+2</f>
        <v>384</v>
      </c>
      <c r="F10" s="502"/>
      <c r="G10" s="503"/>
      <c r="H10" s="716"/>
      <c r="I10" s="420"/>
    </row>
    <row r="11" spans="1:9" x14ac:dyDescent="0.25">
      <c r="A11" s="700">
        <v>3</v>
      </c>
      <c r="B11" s="394" t="s">
        <v>20</v>
      </c>
      <c r="C11" s="584" t="s">
        <v>21</v>
      </c>
      <c r="D11" s="419">
        <f>4833+131-404</f>
        <v>4560</v>
      </c>
      <c r="E11" s="523">
        <v>2230</v>
      </c>
      <c r="F11" s="502">
        <f>323+13</f>
        <v>336</v>
      </c>
      <c r="G11" s="503">
        <f>3878+156</f>
        <v>4034</v>
      </c>
      <c r="H11" s="716">
        <f>155+13</f>
        <v>168</v>
      </c>
      <c r="I11" s="420">
        <f>1860+160</f>
        <v>2020</v>
      </c>
    </row>
    <row r="12" spans="1:9" x14ac:dyDescent="0.25">
      <c r="A12" s="700">
        <v>4</v>
      </c>
      <c r="B12" s="389" t="s">
        <v>22</v>
      </c>
      <c r="C12" s="583" t="s">
        <v>23</v>
      </c>
      <c r="D12" s="419">
        <f>3320+83+40</f>
        <v>3443</v>
      </c>
      <c r="E12" s="523">
        <f>73+13+5</f>
        <v>91</v>
      </c>
      <c r="F12" s="502"/>
      <c r="G12" s="503"/>
      <c r="H12" s="716"/>
      <c r="I12" s="420"/>
    </row>
    <row r="13" spans="1:9" ht="12.75" customHeight="1" x14ac:dyDescent="0.25">
      <c r="A13" s="700">
        <v>5</v>
      </c>
      <c r="B13" s="389" t="s">
        <v>24</v>
      </c>
      <c r="C13" s="583" t="s">
        <v>25</v>
      </c>
      <c r="D13" s="419">
        <f>3368-381+218</f>
        <v>3205</v>
      </c>
      <c r="E13" s="523">
        <v>73</v>
      </c>
      <c r="F13" s="502"/>
      <c r="G13" s="503"/>
      <c r="H13" s="716"/>
      <c r="I13" s="420"/>
    </row>
    <row r="14" spans="1:9" x14ac:dyDescent="0.25">
      <c r="A14" s="700">
        <v>6</v>
      </c>
      <c r="B14" s="394" t="s">
        <v>26</v>
      </c>
      <c r="C14" s="584" t="s">
        <v>27</v>
      </c>
      <c r="D14" s="419">
        <f>11007+466+92</f>
        <v>11565</v>
      </c>
      <c r="E14" s="523">
        <f>5559-220-924</f>
        <v>4415</v>
      </c>
      <c r="F14" s="502">
        <v>923</v>
      </c>
      <c r="G14" s="503">
        <v>11080</v>
      </c>
      <c r="H14" s="716">
        <f>103+10</f>
        <v>113</v>
      </c>
      <c r="I14" s="420">
        <f>1240+120</f>
        <v>1360</v>
      </c>
    </row>
    <row r="15" spans="1:9" x14ac:dyDescent="0.25">
      <c r="A15" s="700">
        <v>7</v>
      </c>
      <c r="B15" s="702" t="s">
        <v>28</v>
      </c>
      <c r="C15" s="585" t="s">
        <v>29</v>
      </c>
      <c r="D15" s="419">
        <f>7439+1621</f>
        <v>9060</v>
      </c>
      <c r="E15" s="523">
        <f>1143-350</f>
        <v>793</v>
      </c>
      <c r="F15" s="502"/>
      <c r="G15" s="503"/>
      <c r="H15" s="716"/>
      <c r="I15" s="420"/>
    </row>
    <row r="16" spans="1:9" x14ac:dyDescent="0.25">
      <c r="A16" s="700">
        <v>8</v>
      </c>
      <c r="B16" s="394" t="s">
        <v>30</v>
      </c>
      <c r="C16" s="584" t="s">
        <v>31</v>
      </c>
      <c r="D16" s="419">
        <f>7085-1534-42</f>
        <v>5509</v>
      </c>
      <c r="E16" s="523">
        <f>52+4+3</f>
        <v>59</v>
      </c>
      <c r="F16" s="502"/>
      <c r="G16" s="503"/>
      <c r="H16" s="716"/>
      <c r="I16" s="420"/>
    </row>
    <row r="17" spans="1:9" x14ac:dyDescent="0.25">
      <c r="A17" s="700">
        <v>9</v>
      </c>
      <c r="B17" s="394" t="s">
        <v>32</v>
      </c>
      <c r="C17" s="584" t="s">
        <v>33</v>
      </c>
      <c r="D17" s="419">
        <f>3184+91-102</f>
        <v>3173</v>
      </c>
      <c r="E17" s="523">
        <f>490+86+49</f>
        <v>625</v>
      </c>
      <c r="F17" s="502">
        <v>324</v>
      </c>
      <c r="G17" s="503">
        <v>2493</v>
      </c>
      <c r="H17" s="716"/>
      <c r="I17" s="420"/>
    </row>
    <row r="18" spans="1:9" x14ac:dyDescent="0.25">
      <c r="A18" s="700">
        <v>10</v>
      </c>
      <c r="B18" s="394" t="s">
        <v>34</v>
      </c>
      <c r="C18" s="584" t="s">
        <v>35</v>
      </c>
      <c r="D18" s="419"/>
      <c r="E18" s="523"/>
      <c r="F18" s="502"/>
      <c r="G18" s="503"/>
      <c r="H18" s="716"/>
      <c r="I18" s="420"/>
    </row>
    <row r="19" spans="1:9" x14ac:dyDescent="0.25">
      <c r="A19" s="700">
        <v>11</v>
      </c>
      <c r="B19" s="394" t="s">
        <v>36</v>
      </c>
      <c r="C19" s="584" t="s">
        <v>37</v>
      </c>
      <c r="D19" s="419">
        <f>3362-496+228</f>
        <v>3094</v>
      </c>
      <c r="E19" s="523">
        <f>73+1</f>
        <v>74</v>
      </c>
      <c r="F19" s="502"/>
      <c r="G19" s="503"/>
      <c r="H19" s="716"/>
      <c r="I19" s="420"/>
    </row>
    <row r="20" spans="1:9" x14ac:dyDescent="0.25">
      <c r="A20" s="700">
        <v>12</v>
      </c>
      <c r="B20" s="394" t="s">
        <v>38</v>
      </c>
      <c r="C20" s="584" t="s">
        <v>39</v>
      </c>
      <c r="D20" s="419">
        <f>5510+18+47</f>
        <v>5575</v>
      </c>
      <c r="E20" s="523">
        <v>850</v>
      </c>
      <c r="F20" s="502"/>
      <c r="G20" s="503"/>
      <c r="H20" s="716"/>
      <c r="I20" s="420"/>
    </row>
    <row r="21" spans="1:9" ht="13.5" customHeight="1" x14ac:dyDescent="0.25">
      <c r="A21" s="700">
        <v>13</v>
      </c>
      <c r="B21" s="398" t="s">
        <v>40</v>
      </c>
      <c r="C21" s="586" t="s">
        <v>41</v>
      </c>
      <c r="D21" s="419"/>
      <c r="E21" s="523"/>
      <c r="F21" s="502"/>
      <c r="G21" s="503"/>
      <c r="H21" s="716"/>
      <c r="I21" s="420"/>
    </row>
    <row r="22" spans="1:9" ht="13.5" customHeight="1" x14ac:dyDescent="0.25">
      <c r="A22" s="700">
        <v>14</v>
      </c>
      <c r="B22" s="400" t="s">
        <v>42</v>
      </c>
      <c r="C22" s="587" t="s">
        <v>43</v>
      </c>
      <c r="D22" s="419"/>
      <c r="E22" s="523"/>
      <c r="F22" s="502"/>
      <c r="G22" s="503"/>
      <c r="H22" s="716"/>
      <c r="I22" s="420"/>
    </row>
    <row r="23" spans="1:9" x14ac:dyDescent="0.25">
      <c r="A23" s="700">
        <v>15</v>
      </c>
      <c r="B23" s="394" t="s">
        <v>44</v>
      </c>
      <c r="C23" s="584" t="s">
        <v>45</v>
      </c>
      <c r="D23" s="419">
        <f>4477+790+313</f>
        <v>5580</v>
      </c>
      <c r="E23" s="523">
        <f>73+16</f>
        <v>89</v>
      </c>
      <c r="F23" s="502"/>
      <c r="G23" s="503"/>
      <c r="H23" s="716"/>
      <c r="I23" s="420"/>
    </row>
    <row r="24" spans="1:9" x14ac:dyDescent="0.25">
      <c r="A24" s="700">
        <v>16</v>
      </c>
      <c r="B24" s="394" t="s">
        <v>46</v>
      </c>
      <c r="C24" s="584" t="s">
        <v>47</v>
      </c>
      <c r="D24" s="419">
        <f>6176+119-84</f>
        <v>6211</v>
      </c>
      <c r="E24" s="523">
        <v>73</v>
      </c>
      <c r="F24" s="502">
        <f>684+5</f>
        <v>689</v>
      </c>
      <c r="G24" s="503">
        <f>5263+39</f>
        <v>5302</v>
      </c>
      <c r="H24" s="716"/>
      <c r="I24" s="420"/>
    </row>
    <row r="25" spans="1:9" x14ac:dyDescent="0.25">
      <c r="A25" s="700">
        <v>17</v>
      </c>
      <c r="B25" s="394" t="s">
        <v>48</v>
      </c>
      <c r="C25" s="584" t="s">
        <v>49</v>
      </c>
      <c r="D25" s="419">
        <f>6752-1775+32</f>
        <v>5009</v>
      </c>
      <c r="E25" s="523">
        <v>1138</v>
      </c>
      <c r="F25" s="502">
        <f>360+30</f>
        <v>390</v>
      </c>
      <c r="G25" s="503">
        <f>2770+231</f>
        <v>3001</v>
      </c>
      <c r="H25" s="716"/>
      <c r="I25" s="420"/>
    </row>
    <row r="26" spans="1:9" x14ac:dyDescent="0.25">
      <c r="A26" s="700">
        <v>18</v>
      </c>
      <c r="B26" s="394" t="s">
        <v>50</v>
      </c>
      <c r="C26" s="584" t="s">
        <v>51</v>
      </c>
      <c r="D26" s="419">
        <f>8192+269-228</f>
        <v>8233</v>
      </c>
      <c r="E26" s="523">
        <v>4059</v>
      </c>
      <c r="F26" s="502">
        <f>577+10</f>
        <v>587</v>
      </c>
      <c r="G26" s="503">
        <f>6925+120</f>
        <v>7045</v>
      </c>
      <c r="H26" s="716"/>
      <c r="I26" s="420"/>
    </row>
    <row r="27" spans="1:9" x14ac:dyDescent="0.25">
      <c r="A27" s="700">
        <v>19</v>
      </c>
      <c r="B27" s="389" t="s">
        <v>52</v>
      </c>
      <c r="C27" s="583" t="s">
        <v>53</v>
      </c>
      <c r="D27" s="419">
        <f>2484-960+163</f>
        <v>1687</v>
      </c>
      <c r="E27" s="523">
        <f>58+5</f>
        <v>63</v>
      </c>
      <c r="F27" s="502"/>
      <c r="G27" s="503"/>
      <c r="H27" s="716"/>
      <c r="I27" s="420"/>
    </row>
    <row r="28" spans="1:9" x14ac:dyDescent="0.25">
      <c r="A28" s="700">
        <v>20</v>
      </c>
      <c r="B28" s="389" t="s">
        <v>54</v>
      </c>
      <c r="C28" s="583" t="s">
        <v>55</v>
      </c>
      <c r="D28" s="419">
        <f>2202+57-11</f>
        <v>2248</v>
      </c>
      <c r="E28" s="523">
        <f>73+1</f>
        <v>74</v>
      </c>
      <c r="F28" s="502"/>
      <c r="G28" s="503"/>
      <c r="H28" s="716"/>
      <c r="I28" s="420"/>
    </row>
    <row r="29" spans="1:9" x14ac:dyDescent="0.25">
      <c r="A29" s="700">
        <v>21</v>
      </c>
      <c r="B29" s="389" t="s">
        <v>56</v>
      </c>
      <c r="C29" s="583" t="s">
        <v>57</v>
      </c>
      <c r="D29" s="419">
        <f>5681-241+319</f>
        <v>5759</v>
      </c>
      <c r="E29" s="523">
        <v>2750</v>
      </c>
      <c r="F29" s="502">
        <v>462</v>
      </c>
      <c r="G29" s="503">
        <v>5540</v>
      </c>
      <c r="H29" s="716"/>
      <c r="I29" s="420"/>
    </row>
    <row r="30" spans="1:9" x14ac:dyDescent="0.25">
      <c r="A30" s="700">
        <v>22</v>
      </c>
      <c r="B30" s="389" t="s">
        <v>58</v>
      </c>
      <c r="C30" s="583" t="s">
        <v>59</v>
      </c>
      <c r="D30" s="419">
        <f>3950-852+362</f>
        <v>3460</v>
      </c>
      <c r="E30" s="523">
        <v>1432</v>
      </c>
      <c r="F30" s="502">
        <f>1154+8</f>
        <v>1162</v>
      </c>
      <c r="G30" s="503">
        <f>13850+96</f>
        <v>13946</v>
      </c>
      <c r="H30" s="716"/>
      <c r="I30" s="420"/>
    </row>
    <row r="31" spans="1:9" x14ac:dyDescent="0.25">
      <c r="A31" s="700">
        <v>23</v>
      </c>
      <c r="B31" s="394" t="s">
        <v>60</v>
      </c>
      <c r="C31" s="584" t="s">
        <v>61</v>
      </c>
      <c r="D31" s="419"/>
      <c r="E31" s="523"/>
      <c r="F31" s="502"/>
      <c r="G31" s="503"/>
      <c r="H31" s="716"/>
      <c r="I31" s="420"/>
    </row>
    <row r="32" spans="1:9" x14ac:dyDescent="0.25">
      <c r="A32" s="700">
        <v>24</v>
      </c>
      <c r="B32" s="394" t="s">
        <v>62</v>
      </c>
      <c r="C32" s="584" t="s">
        <v>63</v>
      </c>
      <c r="D32" s="419"/>
      <c r="E32" s="523"/>
      <c r="F32" s="502"/>
      <c r="G32" s="503"/>
      <c r="H32" s="716"/>
      <c r="I32" s="420"/>
    </row>
    <row r="33" spans="1:9" ht="25.5" x14ac:dyDescent="0.25">
      <c r="A33" s="700">
        <v>25</v>
      </c>
      <c r="B33" s="394" t="s">
        <v>64</v>
      </c>
      <c r="C33" s="584" t="s">
        <v>65</v>
      </c>
      <c r="D33" s="419"/>
      <c r="E33" s="523"/>
      <c r="F33" s="502"/>
      <c r="G33" s="503"/>
      <c r="H33" s="716"/>
      <c r="I33" s="420"/>
    </row>
    <row r="34" spans="1:9" x14ac:dyDescent="0.25">
      <c r="A34" s="700">
        <v>26</v>
      </c>
      <c r="B34" s="389" t="s">
        <v>66</v>
      </c>
      <c r="C34" s="585" t="s">
        <v>67</v>
      </c>
      <c r="D34" s="419">
        <f>0+2742-38+182</f>
        <v>2886</v>
      </c>
      <c r="E34" s="523">
        <f>0+42-39+60</f>
        <v>63</v>
      </c>
      <c r="F34" s="502"/>
      <c r="G34" s="503"/>
      <c r="H34" s="716"/>
      <c r="I34" s="420"/>
    </row>
    <row r="35" spans="1:9" x14ac:dyDescent="0.25">
      <c r="A35" s="700">
        <v>27</v>
      </c>
      <c r="B35" s="394" t="s">
        <v>68</v>
      </c>
      <c r="C35" s="584" t="s">
        <v>69</v>
      </c>
      <c r="D35" s="419">
        <f>4701-2742+38</f>
        <v>1997</v>
      </c>
      <c r="E35" s="523">
        <f>72-42+39</f>
        <v>69</v>
      </c>
      <c r="F35" s="502"/>
      <c r="G35" s="503"/>
      <c r="H35" s="716"/>
      <c r="I35" s="420"/>
    </row>
    <row r="36" spans="1:9" x14ac:dyDescent="0.25">
      <c r="A36" s="700">
        <v>28</v>
      </c>
      <c r="B36" s="394" t="s">
        <v>70</v>
      </c>
      <c r="C36" s="584" t="s">
        <v>71</v>
      </c>
      <c r="D36" s="419"/>
      <c r="E36" s="523"/>
      <c r="F36" s="502"/>
      <c r="G36" s="503"/>
      <c r="H36" s="716"/>
      <c r="I36" s="420"/>
    </row>
    <row r="37" spans="1:9" x14ac:dyDescent="0.25">
      <c r="A37" s="700">
        <v>29</v>
      </c>
      <c r="B37" s="389" t="s">
        <v>72</v>
      </c>
      <c r="C37" s="583" t="s">
        <v>73</v>
      </c>
      <c r="D37" s="419"/>
      <c r="E37" s="523"/>
      <c r="F37" s="502"/>
      <c r="G37" s="503"/>
      <c r="H37" s="716"/>
      <c r="I37" s="420"/>
    </row>
    <row r="38" spans="1:9" ht="25.5" x14ac:dyDescent="0.25">
      <c r="A38" s="700">
        <v>30</v>
      </c>
      <c r="B38" s="389" t="s">
        <v>74</v>
      </c>
      <c r="C38" s="585" t="s">
        <v>377</v>
      </c>
      <c r="D38" s="419"/>
      <c r="E38" s="523"/>
      <c r="F38" s="502"/>
      <c r="G38" s="503"/>
      <c r="H38" s="716"/>
      <c r="I38" s="420"/>
    </row>
    <row r="39" spans="1:9" x14ac:dyDescent="0.25">
      <c r="A39" s="700">
        <v>31</v>
      </c>
      <c r="B39" s="389" t="s">
        <v>75</v>
      </c>
      <c r="C39" s="583" t="s">
        <v>76</v>
      </c>
      <c r="D39" s="419"/>
      <c r="E39" s="523"/>
      <c r="F39" s="502"/>
      <c r="G39" s="503"/>
      <c r="H39" s="716"/>
      <c r="I39" s="420"/>
    </row>
    <row r="40" spans="1:9" x14ac:dyDescent="0.25">
      <c r="A40" s="700">
        <v>32</v>
      </c>
      <c r="B40" s="394" t="s">
        <v>77</v>
      </c>
      <c r="C40" s="584" t="s">
        <v>78</v>
      </c>
      <c r="D40" s="419">
        <f>13560+168-93</f>
        <v>13635</v>
      </c>
      <c r="E40" s="523">
        <f>3892+35</f>
        <v>3927</v>
      </c>
      <c r="F40" s="502">
        <v>594</v>
      </c>
      <c r="G40" s="503">
        <v>8310</v>
      </c>
      <c r="H40" s="716"/>
      <c r="I40" s="420"/>
    </row>
    <row r="41" spans="1:9" x14ac:dyDescent="0.25">
      <c r="A41" s="700">
        <v>33</v>
      </c>
      <c r="B41" s="389" t="s">
        <v>79</v>
      </c>
      <c r="C41" s="583" t="s">
        <v>80</v>
      </c>
      <c r="D41" s="419">
        <f>11757+373</f>
        <v>12130</v>
      </c>
      <c r="E41" s="523">
        <f>5563+128+4</f>
        <v>5695</v>
      </c>
      <c r="F41" s="502">
        <v>1241</v>
      </c>
      <c r="G41" s="503">
        <v>17728</v>
      </c>
      <c r="H41" s="716">
        <f>234+20</f>
        <v>254</v>
      </c>
      <c r="I41" s="420">
        <f>2790+240</f>
        <v>3030</v>
      </c>
    </row>
    <row r="42" spans="1:9" x14ac:dyDescent="0.25">
      <c r="A42" s="700">
        <v>34</v>
      </c>
      <c r="B42" s="702" t="s">
        <v>81</v>
      </c>
      <c r="C42" s="585" t="s">
        <v>82</v>
      </c>
      <c r="D42" s="419">
        <f>3180+230</f>
        <v>3410</v>
      </c>
      <c r="E42" s="523">
        <f>489+17</f>
        <v>506</v>
      </c>
      <c r="F42" s="502">
        <f>504+12</f>
        <v>516</v>
      </c>
      <c r="G42" s="503">
        <f>3878+92</f>
        <v>3970</v>
      </c>
      <c r="H42" s="716"/>
      <c r="I42" s="420"/>
    </row>
    <row r="43" spans="1:9" ht="13.5" customHeight="1" x14ac:dyDescent="0.25">
      <c r="A43" s="700">
        <v>35</v>
      </c>
      <c r="B43" s="389" t="s">
        <v>83</v>
      </c>
      <c r="C43" s="583" t="s">
        <v>84</v>
      </c>
      <c r="D43" s="419">
        <f>7017+70</f>
        <v>7087</v>
      </c>
      <c r="E43" s="523">
        <f>3421+7</f>
        <v>3428</v>
      </c>
      <c r="F43" s="502">
        <v>577</v>
      </c>
      <c r="G43" s="503">
        <v>6925</v>
      </c>
      <c r="H43" s="716">
        <f>155+13</f>
        <v>168</v>
      </c>
      <c r="I43" s="420">
        <f>1860+156</f>
        <v>2016</v>
      </c>
    </row>
    <row r="44" spans="1:9" x14ac:dyDescent="0.25">
      <c r="A44" s="700">
        <v>36</v>
      </c>
      <c r="B44" s="389" t="s">
        <v>85</v>
      </c>
      <c r="C44" s="583" t="s">
        <v>86</v>
      </c>
      <c r="D44" s="419">
        <f>4549+217+385</f>
        <v>5151</v>
      </c>
      <c r="E44" s="523">
        <f>73+2</f>
        <v>75</v>
      </c>
      <c r="F44" s="502">
        <v>324</v>
      </c>
      <c r="G44" s="503">
        <v>2493</v>
      </c>
      <c r="H44" s="716"/>
      <c r="I44" s="420"/>
    </row>
    <row r="45" spans="1:9" x14ac:dyDescent="0.25">
      <c r="A45" s="700">
        <v>37</v>
      </c>
      <c r="B45" s="394" t="s">
        <v>87</v>
      </c>
      <c r="C45" s="584" t="s">
        <v>88</v>
      </c>
      <c r="D45" s="419">
        <f>6759+189+39</f>
        <v>6987</v>
      </c>
      <c r="E45" s="523">
        <v>3228</v>
      </c>
      <c r="F45" s="502">
        <v>693</v>
      </c>
      <c r="G45" s="503">
        <v>8310</v>
      </c>
      <c r="H45" s="716"/>
      <c r="I45" s="420"/>
    </row>
    <row r="46" spans="1:9" x14ac:dyDescent="0.25">
      <c r="A46" s="700">
        <v>38</v>
      </c>
      <c r="B46" s="389" t="s">
        <v>89</v>
      </c>
      <c r="C46" s="583" t="s">
        <v>90</v>
      </c>
      <c r="D46" s="419">
        <f>4180+498-70</f>
        <v>4608</v>
      </c>
      <c r="E46" s="523">
        <f>73+10+11+14</f>
        <v>108</v>
      </c>
      <c r="F46" s="502"/>
      <c r="G46" s="503"/>
      <c r="H46" s="716"/>
      <c r="I46" s="420"/>
    </row>
    <row r="47" spans="1:9" x14ac:dyDescent="0.25">
      <c r="A47" s="700">
        <v>39</v>
      </c>
      <c r="B47" s="389" t="s">
        <v>91</v>
      </c>
      <c r="C47" s="583" t="s">
        <v>92</v>
      </c>
      <c r="D47" s="419">
        <f>2318-387+9</f>
        <v>1940</v>
      </c>
      <c r="E47" s="523">
        <f>52+10+7</f>
        <v>69</v>
      </c>
      <c r="F47" s="502"/>
      <c r="G47" s="503"/>
      <c r="H47" s="716"/>
      <c r="I47" s="420"/>
    </row>
    <row r="48" spans="1:9" ht="14.25" customHeight="1" x14ac:dyDescent="0.25">
      <c r="A48" s="700">
        <v>40</v>
      </c>
      <c r="B48" s="402" t="s">
        <v>93</v>
      </c>
      <c r="C48" s="588" t="s">
        <v>94</v>
      </c>
      <c r="D48" s="419">
        <f>5058+822-40</f>
        <v>5840</v>
      </c>
      <c r="E48" s="523">
        <f>416+50</f>
        <v>466</v>
      </c>
      <c r="F48" s="502"/>
      <c r="G48" s="503"/>
      <c r="H48" s="716"/>
      <c r="I48" s="420"/>
    </row>
    <row r="49" spans="1:9" x14ac:dyDescent="0.25">
      <c r="A49" s="700">
        <v>41</v>
      </c>
      <c r="B49" s="389" t="s">
        <v>95</v>
      </c>
      <c r="C49" s="583" t="s">
        <v>96</v>
      </c>
      <c r="D49" s="419">
        <f>2503+383+130</f>
        <v>3016</v>
      </c>
      <c r="E49" s="523">
        <f>156+1</f>
        <v>157</v>
      </c>
      <c r="F49" s="502"/>
      <c r="G49" s="503"/>
      <c r="H49" s="716"/>
      <c r="I49" s="420"/>
    </row>
    <row r="50" spans="1:9" x14ac:dyDescent="0.25">
      <c r="A50" s="700">
        <v>42</v>
      </c>
      <c r="B50" s="702" t="s">
        <v>97</v>
      </c>
      <c r="C50" s="585" t="s">
        <v>98</v>
      </c>
      <c r="D50" s="419"/>
      <c r="E50" s="523"/>
      <c r="F50" s="502"/>
      <c r="G50" s="503"/>
      <c r="H50" s="716"/>
      <c r="I50" s="420"/>
    </row>
    <row r="51" spans="1:9" x14ac:dyDescent="0.25">
      <c r="A51" s="700">
        <v>43</v>
      </c>
      <c r="B51" s="394" t="s">
        <v>99</v>
      </c>
      <c r="C51" s="584" t="s">
        <v>100</v>
      </c>
      <c r="D51" s="419">
        <f>9725-1575-548</f>
        <v>7602</v>
      </c>
      <c r="E51" s="523">
        <f>4350-220-920</f>
        <v>3210</v>
      </c>
      <c r="F51" s="502">
        <f>577-31</f>
        <v>546</v>
      </c>
      <c r="G51" s="503">
        <f>6925-372</f>
        <v>6553</v>
      </c>
      <c r="H51" s="716"/>
      <c r="I51" s="420"/>
    </row>
    <row r="52" spans="1:9" x14ac:dyDescent="0.25">
      <c r="A52" s="700">
        <v>44</v>
      </c>
      <c r="B52" s="389" t="s">
        <v>101</v>
      </c>
      <c r="C52" s="583" t="s">
        <v>102</v>
      </c>
      <c r="D52" s="419">
        <f>3398-652+404</f>
        <v>3150</v>
      </c>
      <c r="E52" s="523">
        <v>505</v>
      </c>
      <c r="F52" s="502"/>
      <c r="G52" s="503"/>
      <c r="H52" s="716"/>
      <c r="I52" s="420"/>
    </row>
    <row r="53" spans="1:9" ht="10.5" customHeight="1" x14ac:dyDescent="0.25">
      <c r="A53" s="700">
        <v>45</v>
      </c>
      <c r="B53" s="394" t="s">
        <v>103</v>
      </c>
      <c r="C53" s="584" t="s">
        <v>104</v>
      </c>
      <c r="D53" s="419">
        <f>7935+773+1188</f>
        <v>9896</v>
      </c>
      <c r="E53" s="523">
        <f>3976+119</f>
        <v>4095</v>
      </c>
      <c r="F53" s="502">
        <v>808</v>
      </c>
      <c r="G53" s="503">
        <v>9695</v>
      </c>
      <c r="H53" s="716"/>
      <c r="I53" s="420"/>
    </row>
    <row r="54" spans="1:9" x14ac:dyDescent="0.25">
      <c r="A54" s="700">
        <v>46</v>
      </c>
      <c r="B54" s="389" t="s">
        <v>105</v>
      </c>
      <c r="C54" s="583" t="s">
        <v>106</v>
      </c>
      <c r="D54" s="419">
        <f>3442+310-53</f>
        <v>3699</v>
      </c>
      <c r="E54" s="523">
        <f>42+4</f>
        <v>46</v>
      </c>
      <c r="F54" s="502"/>
      <c r="G54" s="503"/>
      <c r="H54" s="716"/>
      <c r="I54" s="420"/>
    </row>
    <row r="55" spans="1:9" x14ac:dyDescent="0.25">
      <c r="A55" s="700">
        <v>47</v>
      </c>
      <c r="B55" s="389" t="s">
        <v>107</v>
      </c>
      <c r="C55" s="583" t="s">
        <v>108</v>
      </c>
      <c r="D55" s="419">
        <f>3964+598</f>
        <v>4562</v>
      </c>
      <c r="E55" s="523">
        <v>610</v>
      </c>
      <c r="F55" s="502"/>
      <c r="G55" s="503"/>
      <c r="H55" s="716"/>
      <c r="I55" s="420"/>
    </row>
    <row r="56" spans="1:9" ht="11.25" customHeight="1" x14ac:dyDescent="0.25">
      <c r="A56" s="700">
        <v>48</v>
      </c>
      <c r="B56" s="394" t="s">
        <v>109</v>
      </c>
      <c r="C56" s="584" t="s">
        <v>110</v>
      </c>
      <c r="D56" s="419">
        <f>3261+108+25</f>
        <v>3394</v>
      </c>
      <c r="E56" s="523">
        <f>1504+195</f>
        <v>1699</v>
      </c>
      <c r="F56" s="502">
        <f>863-60</f>
        <v>803</v>
      </c>
      <c r="G56" s="503">
        <f>6648-462</f>
        <v>6186</v>
      </c>
      <c r="H56" s="716">
        <f>103-103</f>
        <v>0</v>
      </c>
      <c r="I56" s="420">
        <f>1240-1240</f>
        <v>0</v>
      </c>
    </row>
    <row r="57" spans="1:9" ht="11.25" customHeight="1" x14ac:dyDescent="0.25">
      <c r="A57" s="700">
        <v>49</v>
      </c>
      <c r="B57" s="394" t="s">
        <v>111</v>
      </c>
      <c r="C57" s="584" t="s">
        <v>112</v>
      </c>
      <c r="D57" s="419">
        <f>2275+28+21</f>
        <v>2324</v>
      </c>
      <c r="E57" s="523">
        <f>156+16+3</f>
        <v>175</v>
      </c>
      <c r="F57" s="502"/>
      <c r="G57" s="503"/>
      <c r="H57" s="716"/>
      <c r="I57" s="420"/>
    </row>
    <row r="58" spans="1:9" ht="11.25" customHeight="1" x14ac:dyDescent="0.25">
      <c r="A58" s="700">
        <v>50</v>
      </c>
      <c r="B58" s="389" t="s">
        <v>113</v>
      </c>
      <c r="C58" s="583" t="s">
        <v>114</v>
      </c>
      <c r="D58" s="419">
        <f>3200+307+71</f>
        <v>3578</v>
      </c>
      <c r="E58" s="523">
        <v>493</v>
      </c>
      <c r="F58" s="502"/>
      <c r="G58" s="503"/>
      <c r="H58" s="716"/>
      <c r="I58" s="420"/>
    </row>
    <row r="59" spans="1:9" ht="11.25" customHeight="1" x14ac:dyDescent="0.25">
      <c r="A59" s="700">
        <v>51</v>
      </c>
      <c r="B59" s="394" t="s">
        <v>115</v>
      </c>
      <c r="C59" s="584" t="s">
        <v>116</v>
      </c>
      <c r="D59" s="419">
        <f>5763+295+211</f>
        <v>6269</v>
      </c>
      <c r="E59" s="523">
        <f>94+40+17</f>
        <v>151</v>
      </c>
      <c r="F59" s="502"/>
      <c r="G59" s="503"/>
      <c r="H59" s="716"/>
      <c r="I59" s="420"/>
    </row>
    <row r="60" spans="1:9" ht="11.25" customHeight="1" x14ac:dyDescent="0.25">
      <c r="A60" s="700">
        <v>52</v>
      </c>
      <c r="B60" s="389" t="s">
        <v>117</v>
      </c>
      <c r="C60" s="583" t="s">
        <v>118</v>
      </c>
      <c r="D60" s="419">
        <f>10140-1048+672</f>
        <v>9764</v>
      </c>
      <c r="E60" s="523">
        <f>5198+200+1090</f>
        <v>6488</v>
      </c>
      <c r="F60" s="502">
        <v>923</v>
      </c>
      <c r="G60" s="503">
        <v>11080</v>
      </c>
      <c r="H60" s="716">
        <f>207+20</f>
        <v>227</v>
      </c>
      <c r="I60" s="420">
        <f>2480+240</f>
        <v>2720</v>
      </c>
    </row>
    <row r="61" spans="1:9" ht="11.25" customHeight="1" x14ac:dyDescent="0.25">
      <c r="A61" s="700">
        <v>53</v>
      </c>
      <c r="B61" s="394" t="s">
        <v>119</v>
      </c>
      <c r="C61" s="584" t="s">
        <v>120</v>
      </c>
      <c r="D61" s="419">
        <f>2686+69-44</f>
        <v>2711</v>
      </c>
      <c r="E61" s="523">
        <v>408</v>
      </c>
      <c r="F61" s="502"/>
      <c r="G61" s="503"/>
      <c r="H61" s="716"/>
      <c r="I61" s="420"/>
    </row>
    <row r="62" spans="1:9" ht="11.25" customHeight="1" x14ac:dyDescent="0.25">
      <c r="A62" s="700">
        <v>54</v>
      </c>
      <c r="B62" s="394" t="s">
        <v>121</v>
      </c>
      <c r="C62" s="584" t="s">
        <v>122</v>
      </c>
      <c r="D62" s="419"/>
      <c r="E62" s="523"/>
      <c r="F62" s="502"/>
      <c r="G62" s="503"/>
      <c r="H62" s="716"/>
      <c r="I62" s="420"/>
    </row>
    <row r="63" spans="1:9" ht="11.25" customHeight="1" x14ac:dyDescent="0.25">
      <c r="A63" s="700">
        <v>55</v>
      </c>
      <c r="B63" s="394" t="s">
        <v>123</v>
      </c>
      <c r="C63" s="584" t="s">
        <v>124</v>
      </c>
      <c r="D63" s="419"/>
      <c r="E63" s="523"/>
      <c r="F63" s="502"/>
      <c r="G63" s="503"/>
      <c r="H63" s="716"/>
      <c r="I63" s="420"/>
    </row>
    <row r="64" spans="1:9" ht="11.25" customHeight="1" x14ac:dyDescent="0.25">
      <c r="A64" s="700">
        <v>56</v>
      </c>
      <c r="B64" s="701" t="s">
        <v>125</v>
      </c>
      <c r="C64" s="589" t="s">
        <v>126</v>
      </c>
      <c r="D64" s="419"/>
      <c r="E64" s="523"/>
      <c r="F64" s="502"/>
      <c r="G64" s="503"/>
      <c r="H64" s="716"/>
      <c r="I64" s="420"/>
    </row>
    <row r="65" spans="1:9" ht="11.25" customHeight="1" x14ac:dyDescent="0.25">
      <c r="A65" s="700">
        <v>57</v>
      </c>
      <c r="B65" s="394" t="s">
        <v>127</v>
      </c>
      <c r="C65" s="584" t="s">
        <v>128</v>
      </c>
      <c r="D65" s="419"/>
      <c r="E65" s="523"/>
      <c r="F65" s="502"/>
      <c r="G65" s="503"/>
      <c r="H65" s="716"/>
      <c r="I65" s="420"/>
    </row>
    <row r="66" spans="1:9" ht="11.25" customHeight="1" x14ac:dyDescent="0.25">
      <c r="A66" s="700">
        <v>58</v>
      </c>
      <c r="B66" s="394" t="s">
        <v>129</v>
      </c>
      <c r="C66" s="584" t="s">
        <v>457</v>
      </c>
      <c r="D66" s="419"/>
      <c r="E66" s="523"/>
      <c r="F66" s="502"/>
      <c r="G66" s="503"/>
      <c r="H66" s="716"/>
      <c r="I66" s="420"/>
    </row>
    <row r="67" spans="1:9" ht="12" customHeight="1" x14ac:dyDescent="0.25">
      <c r="A67" s="700">
        <v>59</v>
      </c>
      <c r="B67" s="394" t="s">
        <v>131</v>
      </c>
      <c r="C67" s="584" t="s">
        <v>132</v>
      </c>
      <c r="D67" s="419"/>
      <c r="E67" s="523"/>
      <c r="F67" s="502"/>
      <c r="G67" s="503"/>
      <c r="H67" s="716"/>
      <c r="I67" s="420"/>
    </row>
    <row r="68" spans="1:9" ht="12" customHeight="1" x14ac:dyDescent="0.25">
      <c r="A68" s="700">
        <v>60</v>
      </c>
      <c r="B68" s="389" t="s">
        <v>133</v>
      </c>
      <c r="C68" s="584" t="s">
        <v>299</v>
      </c>
      <c r="D68" s="419"/>
      <c r="E68" s="523"/>
      <c r="F68" s="502"/>
      <c r="G68" s="503"/>
      <c r="H68" s="716"/>
      <c r="I68" s="420"/>
    </row>
    <row r="69" spans="1:9" ht="12" customHeight="1" x14ac:dyDescent="0.25">
      <c r="A69" s="700">
        <v>61</v>
      </c>
      <c r="B69" s="702" t="s">
        <v>135</v>
      </c>
      <c r="C69" s="584" t="s">
        <v>459</v>
      </c>
      <c r="D69" s="419"/>
      <c r="E69" s="523"/>
      <c r="F69" s="502"/>
      <c r="G69" s="503"/>
      <c r="H69" s="716"/>
      <c r="I69" s="420"/>
    </row>
    <row r="70" spans="1:9" ht="25.5" customHeight="1" x14ac:dyDescent="0.25">
      <c r="A70" s="700">
        <v>62</v>
      </c>
      <c r="B70" s="389" t="s">
        <v>137</v>
      </c>
      <c r="C70" s="584" t="s">
        <v>635</v>
      </c>
      <c r="D70" s="419"/>
      <c r="E70" s="523"/>
      <c r="F70" s="502"/>
      <c r="G70" s="503"/>
      <c r="H70" s="716"/>
      <c r="I70" s="420"/>
    </row>
    <row r="71" spans="1:9" ht="25.5" customHeight="1" x14ac:dyDescent="0.25">
      <c r="A71" s="700">
        <v>63</v>
      </c>
      <c r="B71" s="394" t="s">
        <v>139</v>
      </c>
      <c r="C71" s="584" t="s">
        <v>636</v>
      </c>
      <c r="D71" s="419"/>
      <c r="E71" s="523"/>
      <c r="F71" s="502"/>
      <c r="G71" s="503"/>
      <c r="H71" s="716"/>
      <c r="I71" s="420"/>
    </row>
    <row r="72" spans="1:9" x14ac:dyDescent="0.25">
      <c r="A72" s="700">
        <v>64</v>
      </c>
      <c r="B72" s="389" t="s">
        <v>141</v>
      </c>
      <c r="C72" s="584" t="s">
        <v>454</v>
      </c>
      <c r="D72" s="419"/>
      <c r="E72" s="523"/>
      <c r="F72" s="502"/>
      <c r="G72" s="503"/>
      <c r="H72" s="716"/>
      <c r="I72" s="420"/>
    </row>
    <row r="73" spans="1:9" x14ac:dyDescent="0.25">
      <c r="A73" s="700">
        <v>65</v>
      </c>
      <c r="B73" s="389" t="s">
        <v>143</v>
      </c>
      <c r="C73" s="584" t="s">
        <v>144</v>
      </c>
      <c r="D73" s="419"/>
      <c r="E73" s="523"/>
      <c r="F73" s="502"/>
      <c r="G73" s="503"/>
      <c r="H73" s="716"/>
      <c r="I73" s="420"/>
    </row>
    <row r="74" spans="1:9" x14ac:dyDescent="0.25">
      <c r="A74" s="700">
        <v>66</v>
      </c>
      <c r="B74" s="389" t="s">
        <v>145</v>
      </c>
      <c r="C74" s="584" t="s">
        <v>455</v>
      </c>
      <c r="D74" s="419"/>
      <c r="E74" s="523"/>
      <c r="F74" s="502"/>
      <c r="G74" s="503"/>
      <c r="H74" s="716"/>
      <c r="I74" s="420"/>
    </row>
    <row r="75" spans="1:9" ht="25.5" x14ac:dyDescent="0.25">
      <c r="A75" s="700">
        <v>67</v>
      </c>
      <c r="B75" s="389" t="s">
        <v>147</v>
      </c>
      <c r="C75" s="584" t="s">
        <v>637</v>
      </c>
      <c r="D75" s="419"/>
      <c r="E75" s="523"/>
      <c r="F75" s="502"/>
      <c r="G75" s="503"/>
      <c r="H75" s="716"/>
      <c r="I75" s="420"/>
    </row>
    <row r="76" spans="1:9" ht="25.5" x14ac:dyDescent="0.25">
      <c r="A76" s="700">
        <v>68</v>
      </c>
      <c r="B76" s="389" t="s">
        <v>149</v>
      </c>
      <c r="C76" s="584" t="s">
        <v>461</v>
      </c>
      <c r="D76" s="419"/>
      <c r="E76" s="523"/>
      <c r="F76" s="502"/>
      <c r="G76" s="503"/>
      <c r="H76" s="716"/>
      <c r="I76" s="420"/>
    </row>
    <row r="77" spans="1:9" ht="25.5" x14ac:dyDescent="0.25">
      <c r="A77" s="700">
        <v>69</v>
      </c>
      <c r="B77" s="389" t="s">
        <v>151</v>
      </c>
      <c r="C77" s="584" t="s">
        <v>638</v>
      </c>
      <c r="D77" s="419"/>
      <c r="E77" s="523"/>
      <c r="F77" s="502"/>
      <c r="G77" s="503"/>
      <c r="H77" s="716"/>
      <c r="I77" s="420"/>
    </row>
    <row r="78" spans="1:9" ht="25.5" x14ac:dyDescent="0.25">
      <c r="A78" s="700">
        <v>70</v>
      </c>
      <c r="B78" s="389" t="s">
        <v>153</v>
      </c>
      <c r="C78" s="584" t="s">
        <v>639</v>
      </c>
      <c r="D78" s="419"/>
      <c r="E78" s="523"/>
      <c r="F78" s="502"/>
      <c r="G78" s="503"/>
      <c r="H78" s="716"/>
      <c r="I78" s="420"/>
    </row>
    <row r="79" spans="1:9" ht="25.5" x14ac:dyDescent="0.25">
      <c r="A79" s="700">
        <v>71</v>
      </c>
      <c r="B79" s="394" t="s">
        <v>155</v>
      </c>
      <c r="C79" s="584" t="s">
        <v>640</v>
      </c>
      <c r="D79" s="419"/>
      <c r="E79" s="523"/>
      <c r="F79" s="502"/>
      <c r="G79" s="503"/>
      <c r="H79" s="716"/>
      <c r="I79" s="420"/>
    </row>
    <row r="80" spans="1:9" ht="25.5" x14ac:dyDescent="0.25">
      <c r="A80" s="700">
        <v>72</v>
      </c>
      <c r="B80" s="389" t="s">
        <v>157</v>
      </c>
      <c r="C80" s="583" t="s">
        <v>641</v>
      </c>
      <c r="D80" s="419"/>
      <c r="E80" s="523"/>
      <c r="F80" s="502"/>
      <c r="G80" s="503"/>
      <c r="H80" s="716"/>
      <c r="I80" s="420"/>
    </row>
    <row r="81" spans="1:9" ht="25.5" x14ac:dyDescent="0.25">
      <c r="A81" s="700">
        <v>73</v>
      </c>
      <c r="B81" s="394" t="s">
        <v>159</v>
      </c>
      <c r="C81" s="584" t="s">
        <v>642</v>
      </c>
      <c r="D81" s="419"/>
      <c r="E81" s="523"/>
      <c r="F81" s="502"/>
      <c r="G81" s="503"/>
      <c r="H81" s="716"/>
      <c r="I81" s="420"/>
    </row>
    <row r="82" spans="1:9" x14ac:dyDescent="0.25">
      <c r="A82" s="700">
        <v>74</v>
      </c>
      <c r="B82" s="389" t="s">
        <v>161</v>
      </c>
      <c r="C82" s="584" t="s">
        <v>162</v>
      </c>
      <c r="D82" s="419"/>
      <c r="E82" s="523"/>
      <c r="F82" s="502"/>
      <c r="G82" s="503"/>
      <c r="H82" s="716"/>
      <c r="I82" s="420"/>
    </row>
    <row r="83" spans="1:9" x14ac:dyDescent="0.25">
      <c r="A83" s="700">
        <v>75</v>
      </c>
      <c r="B83" s="394" t="s">
        <v>163</v>
      </c>
      <c r="C83" s="584" t="s">
        <v>456</v>
      </c>
      <c r="D83" s="419"/>
      <c r="E83" s="523"/>
      <c r="F83" s="502"/>
      <c r="G83" s="503"/>
      <c r="H83" s="716"/>
      <c r="I83" s="420"/>
    </row>
    <row r="84" spans="1:9" x14ac:dyDescent="0.25">
      <c r="A84" s="700">
        <v>76</v>
      </c>
      <c r="B84" s="394" t="s">
        <v>165</v>
      </c>
      <c r="C84" s="584" t="s">
        <v>166</v>
      </c>
      <c r="D84" s="419"/>
      <c r="E84" s="523"/>
      <c r="F84" s="502"/>
      <c r="G84" s="503"/>
      <c r="H84" s="716"/>
      <c r="I84" s="420"/>
    </row>
    <row r="85" spans="1:9" x14ac:dyDescent="0.25">
      <c r="A85" s="700">
        <v>77</v>
      </c>
      <c r="B85" s="389" t="s">
        <v>167</v>
      </c>
      <c r="C85" s="584" t="s">
        <v>168</v>
      </c>
      <c r="D85" s="419"/>
      <c r="E85" s="523"/>
      <c r="F85" s="502"/>
      <c r="G85" s="503"/>
      <c r="H85" s="716"/>
      <c r="I85" s="420"/>
    </row>
    <row r="86" spans="1:9" x14ac:dyDescent="0.25">
      <c r="A86" s="700">
        <v>78</v>
      </c>
      <c r="B86" s="389" t="s">
        <v>169</v>
      </c>
      <c r="C86" s="584" t="s">
        <v>170</v>
      </c>
      <c r="D86" s="419"/>
      <c r="E86" s="523"/>
      <c r="F86" s="502"/>
      <c r="G86" s="503"/>
      <c r="H86" s="716"/>
      <c r="I86" s="420"/>
    </row>
    <row r="87" spans="1:9" x14ac:dyDescent="0.25">
      <c r="A87" s="700">
        <v>79</v>
      </c>
      <c r="B87" s="389" t="s">
        <v>171</v>
      </c>
      <c r="C87" s="584" t="s">
        <v>172</v>
      </c>
      <c r="D87" s="419"/>
      <c r="E87" s="523"/>
      <c r="F87" s="502"/>
      <c r="G87" s="503"/>
      <c r="H87" s="716"/>
      <c r="I87" s="420"/>
    </row>
    <row r="88" spans="1:9" x14ac:dyDescent="0.25">
      <c r="A88" s="700">
        <v>80</v>
      </c>
      <c r="B88" s="389" t="s">
        <v>173</v>
      </c>
      <c r="C88" s="584" t="s">
        <v>613</v>
      </c>
      <c r="D88" s="419"/>
      <c r="E88" s="523"/>
      <c r="F88" s="502"/>
      <c r="G88" s="503"/>
      <c r="H88" s="716"/>
      <c r="I88" s="420"/>
    </row>
    <row r="89" spans="1:9" x14ac:dyDescent="0.25">
      <c r="A89" s="700">
        <v>81</v>
      </c>
      <c r="B89" s="389" t="s">
        <v>175</v>
      </c>
      <c r="C89" s="584" t="s">
        <v>176</v>
      </c>
      <c r="D89" s="419"/>
      <c r="E89" s="523"/>
      <c r="F89" s="502"/>
      <c r="G89" s="503"/>
      <c r="H89" s="716"/>
      <c r="I89" s="420"/>
    </row>
    <row r="90" spans="1:9" x14ac:dyDescent="0.25">
      <c r="A90" s="700">
        <v>82</v>
      </c>
      <c r="B90" s="406" t="s">
        <v>177</v>
      </c>
      <c r="C90" s="589" t="s">
        <v>745</v>
      </c>
      <c r="D90" s="419"/>
      <c r="E90" s="523"/>
      <c r="F90" s="502"/>
      <c r="G90" s="503"/>
      <c r="H90" s="716"/>
      <c r="I90" s="420"/>
    </row>
    <row r="91" spans="1:9" ht="25.5" x14ac:dyDescent="0.25">
      <c r="A91" s="1243">
        <v>83</v>
      </c>
      <c r="B91" s="1244" t="s">
        <v>178</v>
      </c>
      <c r="C91" s="590" t="s">
        <v>746</v>
      </c>
      <c r="D91" s="419"/>
      <c r="E91" s="523"/>
      <c r="F91" s="502"/>
      <c r="G91" s="503"/>
      <c r="H91" s="716"/>
      <c r="I91" s="420"/>
    </row>
    <row r="92" spans="1:9" ht="25.5" x14ac:dyDescent="0.25">
      <c r="A92" s="1243"/>
      <c r="B92" s="1244"/>
      <c r="C92" s="589" t="s">
        <v>179</v>
      </c>
      <c r="D92" s="419"/>
      <c r="E92" s="523"/>
      <c r="F92" s="502"/>
      <c r="G92" s="503"/>
      <c r="H92" s="716"/>
      <c r="I92" s="420"/>
    </row>
    <row r="93" spans="1:9" ht="25.5" x14ac:dyDescent="0.25">
      <c r="A93" s="1243"/>
      <c r="B93" s="1244"/>
      <c r="C93" s="589" t="s">
        <v>180</v>
      </c>
      <c r="D93" s="419"/>
      <c r="E93" s="523"/>
      <c r="F93" s="502"/>
      <c r="G93" s="503"/>
      <c r="H93" s="716"/>
      <c r="I93" s="420"/>
    </row>
    <row r="94" spans="1:9" ht="38.25" x14ac:dyDescent="0.25">
      <c r="A94" s="1243"/>
      <c r="B94" s="1244"/>
      <c r="C94" s="591" t="s">
        <v>507</v>
      </c>
      <c r="D94" s="419"/>
      <c r="E94" s="523"/>
      <c r="F94" s="502"/>
      <c r="G94" s="503"/>
      <c r="H94" s="716"/>
      <c r="I94" s="420"/>
    </row>
    <row r="95" spans="1:9" ht="25.5" x14ac:dyDescent="0.25">
      <c r="A95" s="700">
        <v>84</v>
      </c>
      <c r="B95" s="394" t="s">
        <v>181</v>
      </c>
      <c r="C95" s="584" t="s">
        <v>182</v>
      </c>
      <c r="D95" s="419"/>
      <c r="E95" s="523"/>
      <c r="F95" s="502"/>
      <c r="G95" s="503"/>
      <c r="H95" s="716"/>
      <c r="I95" s="420"/>
    </row>
    <row r="96" spans="1:9" x14ac:dyDescent="0.25">
      <c r="A96" s="700">
        <v>85</v>
      </c>
      <c r="B96" s="389" t="s">
        <v>183</v>
      </c>
      <c r="C96" s="584" t="s">
        <v>184</v>
      </c>
      <c r="D96" s="419"/>
      <c r="E96" s="523"/>
      <c r="F96" s="502"/>
      <c r="G96" s="503"/>
      <c r="H96" s="716"/>
      <c r="I96" s="420"/>
    </row>
    <row r="97" spans="1:9" x14ac:dyDescent="0.25">
      <c r="A97" s="700">
        <v>86</v>
      </c>
      <c r="B97" s="394" t="s">
        <v>185</v>
      </c>
      <c r="C97" s="584" t="s">
        <v>186</v>
      </c>
      <c r="D97" s="419"/>
      <c r="E97" s="523"/>
      <c r="F97" s="502"/>
      <c r="G97" s="503"/>
      <c r="H97" s="716"/>
      <c r="I97" s="420"/>
    </row>
    <row r="98" spans="1:9" x14ac:dyDescent="0.25">
      <c r="A98" s="700">
        <v>87</v>
      </c>
      <c r="B98" s="702" t="s">
        <v>187</v>
      </c>
      <c r="C98" s="585" t="s">
        <v>188</v>
      </c>
      <c r="D98" s="419">
        <f>2483+61</f>
        <v>2544</v>
      </c>
      <c r="E98" s="523">
        <f>73+40</f>
        <v>113</v>
      </c>
      <c r="F98" s="502"/>
      <c r="G98" s="503"/>
      <c r="H98" s="716"/>
      <c r="I98" s="420"/>
    </row>
    <row r="99" spans="1:9" x14ac:dyDescent="0.25">
      <c r="A99" s="700">
        <v>88</v>
      </c>
      <c r="B99" s="389" t="s">
        <v>189</v>
      </c>
      <c r="C99" s="584" t="s">
        <v>190</v>
      </c>
      <c r="D99" s="419">
        <f>2290+82+68</f>
        <v>2440</v>
      </c>
      <c r="E99" s="523">
        <f>353+4</f>
        <v>357</v>
      </c>
      <c r="F99" s="502"/>
      <c r="G99" s="503"/>
      <c r="H99" s="716"/>
      <c r="I99" s="420"/>
    </row>
    <row r="100" spans="1:9" x14ac:dyDescent="0.25">
      <c r="A100" s="700">
        <v>89</v>
      </c>
      <c r="B100" s="389" t="s">
        <v>191</v>
      </c>
      <c r="C100" s="584" t="s">
        <v>192</v>
      </c>
      <c r="D100" s="419">
        <f>6777+91+39</f>
        <v>6907</v>
      </c>
      <c r="E100" s="523">
        <f>260+2+6</f>
        <v>268</v>
      </c>
      <c r="F100" s="502"/>
      <c r="G100" s="503"/>
      <c r="H100" s="716"/>
      <c r="I100" s="420"/>
    </row>
    <row r="101" spans="1:9" x14ac:dyDescent="0.25">
      <c r="A101" s="700">
        <v>90</v>
      </c>
      <c r="B101" s="702" t="s">
        <v>193</v>
      </c>
      <c r="C101" s="585" t="s">
        <v>194</v>
      </c>
      <c r="D101" s="419">
        <f>2871-543+410</f>
        <v>2738</v>
      </c>
      <c r="E101" s="523">
        <v>467</v>
      </c>
      <c r="F101" s="502"/>
      <c r="G101" s="503"/>
      <c r="H101" s="716"/>
      <c r="I101" s="420"/>
    </row>
    <row r="102" spans="1:9" x14ac:dyDescent="0.25">
      <c r="A102" s="700">
        <v>91</v>
      </c>
      <c r="B102" s="389" t="s">
        <v>195</v>
      </c>
      <c r="C102" s="584" t="s">
        <v>196</v>
      </c>
      <c r="D102" s="419">
        <f>3483+326+139</f>
        <v>3948</v>
      </c>
      <c r="E102" s="523">
        <f>537+5+22</f>
        <v>564</v>
      </c>
      <c r="F102" s="502">
        <f>360+13</f>
        <v>373</v>
      </c>
      <c r="G102" s="503">
        <f>2770+100</f>
        <v>2870</v>
      </c>
      <c r="H102" s="716"/>
      <c r="I102" s="420"/>
    </row>
    <row r="103" spans="1:9" x14ac:dyDescent="0.25">
      <c r="A103" s="700">
        <v>92</v>
      </c>
      <c r="B103" s="702" t="s">
        <v>197</v>
      </c>
      <c r="C103" s="585" t="s">
        <v>198</v>
      </c>
      <c r="D103" s="419">
        <f>5863+959</f>
        <v>6822</v>
      </c>
      <c r="E103" s="523">
        <v>902</v>
      </c>
      <c r="F103" s="502"/>
      <c r="G103" s="503"/>
      <c r="H103" s="716"/>
      <c r="I103" s="420"/>
    </row>
    <row r="104" spans="1:9" x14ac:dyDescent="0.25">
      <c r="A104" s="700">
        <v>93</v>
      </c>
      <c r="B104" s="389" t="s">
        <v>199</v>
      </c>
      <c r="C104" s="584" t="s">
        <v>200</v>
      </c>
      <c r="D104" s="419">
        <f>6908+790+448</f>
        <v>8146</v>
      </c>
      <c r="E104" s="523">
        <f>52+350+2+113</f>
        <v>517</v>
      </c>
      <c r="F104" s="502"/>
      <c r="G104" s="503"/>
      <c r="H104" s="716"/>
      <c r="I104" s="420"/>
    </row>
    <row r="105" spans="1:9" x14ac:dyDescent="0.25">
      <c r="A105" s="700">
        <v>94</v>
      </c>
      <c r="B105" s="394" t="s">
        <v>201</v>
      </c>
      <c r="C105" s="584" t="s">
        <v>202</v>
      </c>
      <c r="D105" s="419">
        <f>2568+336+172</f>
        <v>3076</v>
      </c>
      <c r="E105" s="523">
        <v>52</v>
      </c>
      <c r="F105" s="502">
        <v>504</v>
      </c>
      <c r="G105" s="503">
        <v>3878</v>
      </c>
      <c r="H105" s="716"/>
      <c r="I105" s="420"/>
    </row>
    <row r="106" spans="1:9" x14ac:dyDescent="0.25">
      <c r="A106" s="700">
        <v>95</v>
      </c>
      <c r="B106" s="389" t="s">
        <v>203</v>
      </c>
      <c r="C106" s="583" t="s">
        <v>204</v>
      </c>
      <c r="D106" s="419">
        <f>3163+121+356</f>
        <v>3640</v>
      </c>
      <c r="E106" s="523">
        <f>487+30</f>
        <v>517</v>
      </c>
      <c r="F106" s="502"/>
      <c r="G106" s="503"/>
      <c r="H106" s="716"/>
      <c r="I106" s="420"/>
    </row>
    <row r="107" spans="1:9" x14ac:dyDescent="0.25">
      <c r="A107" s="700">
        <v>96</v>
      </c>
      <c r="B107" s="389" t="s">
        <v>205</v>
      </c>
      <c r="C107" s="585" t="s">
        <v>206</v>
      </c>
      <c r="D107" s="419">
        <f>3519+273+43</f>
        <v>3835</v>
      </c>
      <c r="E107" s="523">
        <f>73+1+1</f>
        <v>75</v>
      </c>
      <c r="F107" s="502">
        <v>360</v>
      </c>
      <c r="G107" s="503">
        <v>2770</v>
      </c>
      <c r="H107" s="716"/>
      <c r="I107" s="420"/>
    </row>
    <row r="108" spans="1:9" x14ac:dyDescent="0.25">
      <c r="A108" s="700">
        <v>97</v>
      </c>
      <c r="B108" s="394" t="s">
        <v>207</v>
      </c>
      <c r="C108" s="584" t="s">
        <v>208</v>
      </c>
      <c r="D108" s="715">
        <f>3599+267+163</f>
        <v>4029</v>
      </c>
      <c r="E108" s="523">
        <f>554+36+90</f>
        <v>680</v>
      </c>
      <c r="F108" s="502">
        <v>540</v>
      </c>
      <c r="G108" s="503">
        <v>4155</v>
      </c>
      <c r="H108" s="716"/>
      <c r="I108" s="420"/>
    </row>
    <row r="109" spans="1:9" x14ac:dyDescent="0.25">
      <c r="A109" s="700">
        <v>98</v>
      </c>
      <c r="B109" s="389" t="s">
        <v>209</v>
      </c>
      <c r="C109" s="583" t="s">
        <v>210</v>
      </c>
      <c r="D109" s="419">
        <f>2631+12+231</f>
        <v>2874</v>
      </c>
      <c r="E109" s="523">
        <f>370+32</f>
        <v>402</v>
      </c>
      <c r="F109" s="502"/>
      <c r="G109" s="503"/>
      <c r="H109" s="716"/>
      <c r="I109" s="420"/>
    </row>
    <row r="110" spans="1:9" x14ac:dyDescent="0.25">
      <c r="A110" s="700">
        <v>99</v>
      </c>
      <c r="B110" s="394" t="s">
        <v>211</v>
      </c>
      <c r="C110" s="584" t="s">
        <v>212</v>
      </c>
      <c r="D110" s="419">
        <f>3534+117+30</f>
        <v>3681</v>
      </c>
      <c r="E110" s="523">
        <f>544+30+13</f>
        <v>587</v>
      </c>
      <c r="F110" s="502"/>
      <c r="G110" s="503"/>
      <c r="H110" s="716"/>
      <c r="I110" s="420"/>
    </row>
    <row r="111" spans="1:9" x14ac:dyDescent="0.25">
      <c r="A111" s="700">
        <v>100</v>
      </c>
      <c r="B111" s="394" t="s">
        <v>213</v>
      </c>
      <c r="C111" s="584" t="s">
        <v>214</v>
      </c>
      <c r="D111" s="419">
        <f>4050+164-346</f>
        <v>3868</v>
      </c>
      <c r="E111" s="523">
        <f>2082</f>
        <v>2082</v>
      </c>
      <c r="F111" s="502">
        <v>719</v>
      </c>
      <c r="G111" s="503">
        <v>5540</v>
      </c>
      <c r="H111" s="716"/>
      <c r="I111" s="420"/>
    </row>
    <row r="112" spans="1:9" x14ac:dyDescent="0.25">
      <c r="A112" s="700">
        <v>101</v>
      </c>
      <c r="B112" s="389" t="s">
        <v>215</v>
      </c>
      <c r="C112" s="585" t="s">
        <v>216</v>
      </c>
      <c r="D112" s="419">
        <f>3504-383</f>
        <v>3121</v>
      </c>
      <c r="E112" s="523">
        <f>73+5</f>
        <v>78</v>
      </c>
      <c r="F112" s="502"/>
      <c r="G112" s="503"/>
      <c r="H112" s="716"/>
      <c r="I112" s="420"/>
    </row>
    <row r="113" spans="1:9" x14ac:dyDescent="0.25">
      <c r="A113" s="700">
        <v>102</v>
      </c>
      <c r="B113" s="389" t="s">
        <v>217</v>
      </c>
      <c r="C113" s="583" t="s">
        <v>218</v>
      </c>
      <c r="D113" s="419"/>
      <c r="E113" s="523"/>
      <c r="F113" s="502"/>
      <c r="G113" s="503"/>
      <c r="H113" s="716"/>
      <c r="I113" s="420"/>
    </row>
    <row r="114" spans="1:9" x14ac:dyDescent="0.25">
      <c r="A114" s="700">
        <v>103</v>
      </c>
      <c r="B114" s="389" t="s">
        <v>219</v>
      </c>
      <c r="C114" s="583" t="s">
        <v>220</v>
      </c>
      <c r="D114" s="419"/>
      <c r="E114" s="523"/>
      <c r="F114" s="502"/>
      <c r="G114" s="503"/>
      <c r="H114" s="716"/>
      <c r="I114" s="420"/>
    </row>
    <row r="115" spans="1:9" x14ac:dyDescent="0.25">
      <c r="A115" s="700">
        <v>104</v>
      </c>
      <c r="B115" s="389" t="s">
        <v>221</v>
      </c>
      <c r="C115" s="583" t="s">
        <v>222</v>
      </c>
      <c r="D115" s="419"/>
      <c r="E115" s="523"/>
      <c r="F115" s="502"/>
      <c r="G115" s="503"/>
      <c r="H115" s="716"/>
      <c r="I115" s="420"/>
    </row>
    <row r="116" spans="1:9" x14ac:dyDescent="0.25">
      <c r="A116" s="700">
        <v>105</v>
      </c>
      <c r="B116" s="394" t="s">
        <v>223</v>
      </c>
      <c r="C116" s="584" t="s">
        <v>224</v>
      </c>
      <c r="D116" s="419"/>
      <c r="E116" s="523"/>
      <c r="F116" s="502"/>
      <c r="G116" s="503"/>
      <c r="H116" s="716"/>
      <c r="I116" s="420"/>
    </row>
    <row r="117" spans="1:9" x14ac:dyDescent="0.25">
      <c r="A117" s="700">
        <v>106</v>
      </c>
      <c r="B117" s="702" t="s">
        <v>225</v>
      </c>
      <c r="C117" s="585" t="s">
        <v>226</v>
      </c>
      <c r="D117" s="419"/>
      <c r="E117" s="523"/>
      <c r="F117" s="502"/>
      <c r="G117" s="503"/>
      <c r="H117" s="716"/>
      <c r="I117" s="420"/>
    </row>
    <row r="118" spans="1:9" x14ac:dyDescent="0.25">
      <c r="A118" s="700">
        <v>107</v>
      </c>
      <c r="B118" s="389" t="s">
        <v>227</v>
      </c>
      <c r="C118" s="583" t="s">
        <v>228</v>
      </c>
      <c r="D118" s="419"/>
      <c r="E118" s="523"/>
      <c r="F118" s="502"/>
      <c r="G118" s="503"/>
      <c r="H118" s="716"/>
      <c r="I118" s="420"/>
    </row>
    <row r="119" spans="1:9" x14ac:dyDescent="0.25">
      <c r="A119" s="700">
        <v>108</v>
      </c>
      <c r="B119" s="389" t="s">
        <v>229</v>
      </c>
      <c r="C119" s="583" t="s">
        <v>230</v>
      </c>
      <c r="D119" s="419"/>
      <c r="E119" s="523"/>
      <c r="F119" s="502"/>
      <c r="G119" s="503"/>
      <c r="H119" s="716"/>
      <c r="I119" s="420"/>
    </row>
    <row r="120" spans="1:9" x14ac:dyDescent="0.25">
      <c r="A120" s="700">
        <v>109</v>
      </c>
      <c r="B120" s="394" t="s">
        <v>231</v>
      </c>
      <c r="C120" s="584" t="s">
        <v>232</v>
      </c>
      <c r="D120" s="419"/>
      <c r="E120" s="523"/>
      <c r="F120" s="502"/>
      <c r="G120" s="503"/>
      <c r="H120" s="716"/>
      <c r="I120" s="420"/>
    </row>
    <row r="121" spans="1:9" x14ac:dyDescent="0.25">
      <c r="A121" s="700">
        <v>110</v>
      </c>
      <c r="B121" s="394" t="s">
        <v>233</v>
      </c>
      <c r="C121" s="584" t="s">
        <v>234</v>
      </c>
      <c r="D121" s="419"/>
      <c r="E121" s="523"/>
      <c r="F121" s="502"/>
      <c r="G121" s="503"/>
      <c r="H121" s="716"/>
      <c r="I121" s="420"/>
    </row>
    <row r="122" spans="1:9" x14ac:dyDescent="0.25">
      <c r="A122" s="700">
        <v>111</v>
      </c>
      <c r="B122" s="409" t="s">
        <v>235</v>
      </c>
      <c r="C122" s="583" t="s">
        <v>236</v>
      </c>
      <c r="D122" s="419"/>
      <c r="E122" s="523"/>
      <c r="F122" s="502"/>
      <c r="G122" s="503"/>
      <c r="H122" s="716"/>
      <c r="I122" s="420"/>
    </row>
    <row r="123" spans="1:9" x14ac:dyDescent="0.25">
      <c r="A123" s="700">
        <v>112</v>
      </c>
      <c r="B123" s="389" t="s">
        <v>237</v>
      </c>
      <c r="C123" s="583" t="s">
        <v>238</v>
      </c>
      <c r="D123" s="419"/>
      <c r="E123" s="523"/>
      <c r="F123" s="502"/>
      <c r="G123" s="503"/>
      <c r="H123" s="716"/>
      <c r="I123" s="420"/>
    </row>
    <row r="124" spans="1:9" x14ac:dyDescent="0.25">
      <c r="A124" s="700">
        <v>113</v>
      </c>
      <c r="B124" s="389" t="s">
        <v>239</v>
      </c>
      <c r="C124" s="584" t="s">
        <v>240</v>
      </c>
      <c r="D124" s="419"/>
      <c r="E124" s="523"/>
      <c r="F124" s="502"/>
      <c r="G124" s="503"/>
      <c r="H124" s="716"/>
      <c r="I124" s="420"/>
    </row>
    <row r="125" spans="1:9" x14ac:dyDescent="0.25">
      <c r="A125" s="700">
        <v>114</v>
      </c>
      <c r="B125" s="389" t="s">
        <v>241</v>
      </c>
      <c r="C125" s="583" t="s">
        <v>242</v>
      </c>
      <c r="D125" s="419"/>
      <c r="E125" s="523"/>
      <c r="F125" s="502"/>
      <c r="G125" s="503"/>
      <c r="H125" s="716"/>
      <c r="I125" s="420"/>
    </row>
    <row r="126" spans="1:9" x14ac:dyDescent="0.25">
      <c r="A126" s="700">
        <v>115</v>
      </c>
      <c r="B126" s="701" t="s">
        <v>243</v>
      </c>
      <c r="C126" s="589" t="s">
        <v>385</v>
      </c>
      <c r="D126" s="419"/>
      <c r="E126" s="523"/>
      <c r="F126" s="502"/>
      <c r="G126" s="503"/>
      <c r="H126" s="716"/>
      <c r="I126" s="420"/>
    </row>
    <row r="127" spans="1:9" x14ac:dyDescent="0.25">
      <c r="A127" s="700">
        <v>116</v>
      </c>
      <c r="B127" s="394" t="s">
        <v>244</v>
      </c>
      <c r="C127" s="584" t="s">
        <v>644</v>
      </c>
      <c r="D127" s="419"/>
      <c r="E127" s="523"/>
      <c r="F127" s="502"/>
      <c r="G127" s="503"/>
      <c r="H127" s="716"/>
      <c r="I127" s="420"/>
    </row>
    <row r="128" spans="1:9" x14ac:dyDescent="0.25">
      <c r="A128" s="700">
        <v>117</v>
      </c>
      <c r="B128" s="394" t="s">
        <v>246</v>
      </c>
      <c r="C128" s="584" t="s">
        <v>247</v>
      </c>
      <c r="D128" s="419"/>
      <c r="E128" s="523"/>
      <c r="F128" s="502"/>
      <c r="G128" s="503"/>
      <c r="H128" s="716"/>
      <c r="I128" s="420"/>
    </row>
    <row r="129" spans="1:9" x14ac:dyDescent="0.25">
      <c r="A129" s="700">
        <v>118</v>
      </c>
      <c r="B129" s="394" t="s">
        <v>248</v>
      </c>
      <c r="C129" s="584" t="s">
        <v>249</v>
      </c>
      <c r="D129" s="419"/>
      <c r="E129" s="523"/>
      <c r="F129" s="502"/>
      <c r="G129" s="503"/>
      <c r="H129" s="716"/>
      <c r="I129" s="420"/>
    </row>
    <row r="130" spans="1:9" x14ac:dyDescent="0.25">
      <c r="A130" s="700">
        <v>119</v>
      </c>
      <c r="B130" s="394" t="s">
        <v>250</v>
      </c>
      <c r="C130" s="584" t="s">
        <v>251</v>
      </c>
      <c r="D130" s="419"/>
      <c r="E130" s="523"/>
      <c r="F130" s="502"/>
      <c r="G130" s="503"/>
      <c r="H130" s="716"/>
      <c r="I130" s="420"/>
    </row>
    <row r="131" spans="1:9" x14ac:dyDescent="0.25">
      <c r="A131" s="700">
        <v>120</v>
      </c>
      <c r="B131" s="410" t="s">
        <v>252</v>
      </c>
      <c r="C131" s="592" t="s">
        <v>253</v>
      </c>
      <c r="D131" s="419"/>
      <c r="E131" s="523"/>
      <c r="F131" s="502"/>
      <c r="G131" s="503"/>
      <c r="H131" s="716"/>
      <c r="I131" s="420"/>
    </row>
    <row r="132" spans="1:9" x14ac:dyDescent="0.25">
      <c r="A132" s="700">
        <v>121</v>
      </c>
      <c r="B132" s="389" t="s">
        <v>254</v>
      </c>
      <c r="C132" s="583" t="s">
        <v>255</v>
      </c>
      <c r="D132" s="419"/>
      <c r="E132" s="523"/>
      <c r="F132" s="502"/>
      <c r="G132" s="503"/>
      <c r="H132" s="716"/>
      <c r="I132" s="420"/>
    </row>
    <row r="133" spans="1:9" x14ac:dyDescent="0.25">
      <c r="A133" s="700">
        <v>122</v>
      </c>
      <c r="B133" s="394" t="s">
        <v>256</v>
      </c>
      <c r="C133" s="584" t="s">
        <v>257</v>
      </c>
      <c r="D133" s="419"/>
      <c r="E133" s="523"/>
      <c r="F133" s="502"/>
      <c r="G133" s="503"/>
      <c r="H133" s="716"/>
      <c r="I133" s="420"/>
    </row>
    <row r="134" spans="1:9" x14ac:dyDescent="0.25">
      <c r="A134" s="700">
        <v>123</v>
      </c>
      <c r="B134" s="389" t="s">
        <v>258</v>
      </c>
      <c r="C134" s="584" t="s">
        <v>259</v>
      </c>
      <c r="D134" s="419"/>
      <c r="E134" s="523"/>
      <c r="F134" s="502"/>
      <c r="G134" s="503"/>
      <c r="H134" s="716"/>
      <c r="I134" s="420"/>
    </row>
    <row r="135" spans="1:9" x14ac:dyDescent="0.25">
      <c r="A135" s="700">
        <v>124</v>
      </c>
      <c r="B135" s="394" t="s">
        <v>260</v>
      </c>
      <c r="C135" s="584" t="s">
        <v>261</v>
      </c>
      <c r="D135" s="419"/>
      <c r="E135" s="523"/>
      <c r="F135" s="502"/>
      <c r="G135" s="503"/>
      <c r="H135" s="716"/>
      <c r="I135" s="420"/>
    </row>
    <row r="136" spans="1:9" x14ac:dyDescent="0.25">
      <c r="A136" s="700">
        <v>125</v>
      </c>
      <c r="B136" s="394" t="s">
        <v>262</v>
      </c>
      <c r="C136" s="584" t="s">
        <v>263</v>
      </c>
      <c r="D136" s="419"/>
      <c r="E136" s="523"/>
      <c r="F136" s="502"/>
      <c r="G136" s="503"/>
      <c r="H136" s="716"/>
      <c r="I136" s="420"/>
    </row>
    <row r="137" spans="1:9" x14ac:dyDescent="0.25">
      <c r="A137" s="700">
        <v>126</v>
      </c>
      <c r="B137" s="389" t="s">
        <v>264</v>
      </c>
      <c r="C137" s="584" t="s">
        <v>265</v>
      </c>
      <c r="D137" s="419"/>
      <c r="E137" s="523"/>
      <c r="F137" s="502"/>
      <c r="G137" s="503"/>
      <c r="H137" s="716"/>
      <c r="I137" s="420"/>
    </row>
    <row r="138" spans="1:9" x14ac:dyDescent="0.25">
      <c r="A138" s="700">
        <v>127</v>
      </c>
      <c r="B138" s="394" t="s">
        <v>266</v>
      </c>
      <c r="C138" s="584" t="s">
        <v>267</v>
      </c>
      <c r="D138" s="419"/>
      <c r="E138" s="523"/>
      <c r="F138" s="502"/>
      <c r="G138" s="503"/>
      <c r="H138" s="716"/>
      <c r="I138" s="420"/>
    </row>
    <row r="139" spans="1:9" x14ac:dyDescent="0.25">
      <c r="A139" s="700">
        <v>128</v>
      </c>
      <c r="B139" s="389" t="s">
        <v>268</v>
      </c>
      <c r="C139" s="583" t="s">
        <v>269</v>
      </c>
      <c r="D139" s="419"/>
      <c r="E139" s="523"/>
      <c r="F139" s="502"/>
      <c r="G139" s="503"/>
      <c r="H139" s="716"/>
      <c r="I139" s="420"/>
    </row>
    <row r="140" spans="1:9" x14ac:dyDescent="0.25">
      <c r="A140" s="700">
        <v>129</v>
      </c>
      <c r="B140" s="389" t="s">
        <v>270</v>
      </c>
      <c r="C140" s="583" t="s">
        <v>271</v>
      </c>
      <c r="D140" s="419"/>
      <c r="E140" s="523"/>
      <c r="F140" s="502"/>
      <c r="G140" s="503"/>
      <c r="H140" s="716"/>
      <c r="I140" s="420"/>
    </row>
    <row r="141" spans="1:9" x14ac:dyDescent="0.25">
      <c r="A141" s="700">
        <v>130</v>
      </c>
      <c r="B141" s="394" t="s">
        <v>272</v>
      </c>
      <c r="C141" s="584" t="s">
        <v>273</v>
      </c>
      <c r="D141" s="419"/>
      <c r="E141" s="523"/>
      <c r="F141" s="502"/>
      <c r="G141" s="503"/>
      <c r="H141" s="716"/>
      <c r="I141" s="420"/>
    </row>
    <row r="142" spans="1:9" x14ac:dyDescent="0.25">
      <c r="A142" s="700">
        <v>131</v>
      </c>
      <c r="B142" s="394" t="s">
        <v>274</v>
      </c>
      <c r="C142" s="584" t="s">
        <v>275</v>
      </c>
      <c r="D142" s="419"/>
      <c r="E142" s="523"/>
      <c r="F142" s="502"/>
      <c r="G142" s="503"/>
      <c r="H142" s="716"/>
      <c r="I142" s="420"/>
    </row>
    <row r="143" spans="1:9" x14ac:dyDescent="0.25">
      <c r="A143" s="700">
        <v>132</v>
      </c>
      <c r="B143" s="394" t="s">
        <v>276</v>
      </c>
      <c r="C143" s="584" t="s">
        <v>277</v>
      </c>
      <c r="D143" s="419"/>
      <c r="E143" s="523"/>
      <c r="F143" s="502"/>
      <c r="G143" s="503"/>
      <c r="H143" s="716"/>
      <c r="I143" s="420"/>
    </row>
    <row r="144" spans="1:9" x14ac:dyDescent="0.25">
      <c r="A144" s="700">
        <v>133</v>
      </c>
      <c r="B144" s="394" t="s">
        <v>278</v>
      </c>
      <c r="C144" s="584" t="s">
        <v>279</v>
      </c>
      <c r="D144" s="419">
        <f>9132-65</f>
        <v>9067</v>
      </c>
      <c r="E144" s="523">
        <f>1237-518+87+47</f>
        <v>853</v>
      </c>
      <c r="F144" s="502"/>
      <c r="G144" s="503"/>
      <c r="H144" s="716"/>
      <c r="I144" s="420"/>
    </row>
    <row r="145" spans="1:9" x14ac:dyDescent="0.25">
      <c r="A145" s="700">
        <v>134</v>
      </c>
      <c r="B145" s="394" t="s">
        <v>280</v>
      </c>
      <c r="C145" s="584" t="s">
        <v>281</v>
      </c>
      <c r="D145" s="419"/>
      <c r="E145" s="523"/>
      <c r="F145" s="502"/>
      <c r="G145" s="503"/>
      <c r="H145" s="716"/>
      <c r="I145" s="420"/>
    </row>
    <row r="146" spans="1:9" x14ac:dyDescent="0.25">
      <c r="A146" s="700">
        <v>135</v>
      </c>
      <c r="B146" s="389" t="s">
        <v>282</v>
      </c>
      <c r="C146" s="583" t="s">
        <v>283</v>
      </c>
      <c r="D146" s="419"/>
      <c r="E146" s="523"/>
      <c r="F146" s="502"/>
      <c r="G146" s="503"/>
      <c r="H146" s="716"/>
      <c r="I146" s="420"/>
    </row>
    <row r="147" spans="1:9" x14ac:dyDescent="0.25">
      <c r="A147" s="700">
        <v>136</v>
      </c>
      <c r="B147" s="394" t="s">
        <v>284</v>
      </c>
      <c r="C147" s="584" t="s">
        <v>285</v>
      </c>
      <c r="D147" s="419"/>
      <c r="E147" s="523"/>
      <c r="F147" s="502"/>
      <c r="G147" s="503"/>
      <c r="H147" s="716"/>
      <c r="I147" s="420"/>
    </row>
    <row r="148" spans="1:9" x14ac:dyDescent="0.25">
      <c r="A148" s="700">
        <v>137</v>
      </c>
      <c r="B148" s="412" t="s">
        <v>387</v>
      </c>
      <c r="C148" s="588" t="s">
        <v>787</v>
      </c>
      <c r="D148" s="419">
        <f>145959-7105</f>
        <v>138854</v>
      </c>
      <c r="E148" s="523">
        <v>31107</v>
      </c>
      <c r="F148" s="718">
        <v>5121</v>
      </c>
      <c r="G148" s="343">
        <v>114955</v>
      </c>
      <c r="H148" s="716">
        <f>568+27</f>
        <v>595</v>
      </c>
      <c r="I148" s="420">
        <f>6820+324</f>
        <v>7144</v>
      </c>
    </row>
    <row r="149" spans="1:9" x14ac:dyDescent="0.25">
      <c r="A149" s="700">
        <v>138</v>
      </c>
      <c r="B149" s="413" t="s">
        <v>389</v>
      </c>
      <c r="C149" s="593" t="s">
        <v>390</v>
      </c>
      <c r="D149" s="419"/>
      <c r="E149" s="523"/>
      <c r="F149" s="502"/>
      <c r="G149" s="503"/>
      <c r="H149" s="716"/>
      <c r="I149" s="420"/>
    </row>
    <row r="150" spans="1:9" x14ac:dyDescent="0.25">
      <c r="A150" s="700">
        <v>139</v>
      </c>
      <c r="B150" s="412" t="s">
        <v>391</v>
      </c>
      <c r="C150" s="403" t="s">
        <v>392</v>
      </c>
      <c r="D150" s="419"/>
      <c r="E150" s="523"/>
      <c r="F150" s="502"/>
      <c r="G150" s="503"/>
      <c r="H150" s="716"/>
      <c r="I150" s="420"/>
    </row>
    <row r="151" spans="1:9" x14ac:dyDescent="0.25">
      <c r="A151" s="700">
        <v>140</v>
      </c>
      <c r="B151" s="699" t="s">
        <v>393</v>
      </c>
      <c r="C151" s="571" t="s">
        <v>394</v>
      </c>
      <c r="D151" s="419"/>
      <c r="E151" s="523"/>
      <c r="F151" s="502"/>
      <c r="G151" s="503"/>
      <c r="H151" s="716"/>
      <c r="I151" s="420"/>
    </row>
    <row r="152" spans="1:9" x14ac:dyDescent="0.25">
      <c r="A152" s="502">
        <v>141</v>
      </c>
      <c r="B152" s="572" t="s">
        <v>791</v>
      </c>
      <c r="C152" s="573" t="s">
        <v>790</v>
      </c>
      <c r="D152" s="419"/>
      <c r="E152" s="523"/>
      <c r="F152" s="502"/>
      <c r="G152" s="503"/>
      <c r="H152" s="716"/>
      <c r="I152" s="420"/>
    </row>
    <row r="153" spans="1:9" ht="13.5" thickBot="1" x14ac:dyDescent="0.3">
      <c r="A153" s="574">
        <v>142</v>
      </c>
      <c r="B153" s="575" t="s">
        <v>800</v>
      </c>
      <c r="C153" s="576" t="s">
        <v>801</v>
      </c>
      <c r="D153" s="717"/>
      <c r="E153" s="515"/>
      <c r="F153" s="574"/>
      <c r="G153" s="594"/>
      <c r="H153" s="595"/>
      <c r="I153" s="513"/>
    </row>
    <row r="154" spans="1:9" x14ac:dyDescent="0.25">
      <c r="A154" s="1308" t="s">
        <v>802</v>
      </c>
      <c r="B154" s="1309"/>
      <c r="C154" s="1309"/>
    </row>
    <row r="155" spans="1:9" x14ac:dyDescent="0.25">
      <c r="A155" s="1310"/>
      <c r="B155" s="1310"/>
      <c r="C155" s="1310"/>
    </row>
    <row r="157" spans="1:9" x14ac:dyDescent="0.25">
      <c r="D157" s="596"/>
      <c r="E157" s="596"/>
      <c r="H157" s="508"/>
      <c r="I157" s="508"/>
    </row>
  </sheetData>
  <mergeCells count="14">
    <mergeCell ref="A154:C155"/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57"/>
  <sheetViews>
    <sheetView zoomScale="90" zoomScaleNormal="90" workbookViewId="0">
      <pane xSplit="3" ySplit="7" topLeftCell="D140" activePane="bottomRight" state="frozen"/>
      <selection pane="topRight" activeCell="D1" sqref="D1"/>
      <selection pane="bottomLeft" activeCell="A8" sqref="A8"/>
      <selection pane="bottomRight" activeCell="E168" sqref="E167:E168"/>
    </sheetView>
  </sheetViews>
  <sheetFormatPr defaultRowHeight="12.75" x14ac:dyDescent="0.25"/>
  <cols>
    <col min="1" max="1" width="4.5703125" style="506" customWidth="1"/>
    <col min="2" max="2" width="8.140625" style="506" customWidth="1"/>
    <col min="3" max="3" width="33" style="507" customWidth="1"/>
    <col min="4" max="4" width="10.28515625" style="508" customWidth="1"/>
    <col min="5" max="5" width="10.5703125" style="508" customWidth="1"/>
    <col min="6" max="6" width="14.7109375" style="508" customWidth="1"/>
    <col min="7" max="7" width="9.85546875" style="509" customWidth="1"/>
    <col min="8" max="8" width="9.7109375" style="508" customWidth="1"/>
    <col min="9" max="9" width="9" style="508" customWidth="1"/>
    <col min="10" max="10" width="10" style="508" customWidth="1"/>
    <col min="11" max="11" width="11.42578125" style="508" customWidth="1"/>
    <col min="12" max="12" width="10.7109375" style="508" customWidth="1"/>
    <col min="13" max="13" width="9.5703125" style="508" customWidth="1"/>
    <col min="14" max="14" width="10.28515625" style="508" customWidth="1"/>
    <col min="15" max="16384" width="9.140625" style="506"/>
  </cols>
  <sheetData>
    <row r="1" spans="1:14" ht="15.75" x14ac:dyDescent="0.25">
      <c r="A1" s="1245" t="s">
        <v>624</v>
      </c>
      <c r="B1" s="1311"/>
      <c r="C1" s="1311"/>
      <c r="D1" s="1311"/>
      <c r="E1" s="1311"/>
      <c r="F1" s="1311"/>
      <c r="G1" s="1311"/>
      <c r="H1" s="1311"/>
      <c r="I1" s="1311"/>
      <c r="J1" s="1311"/>
      <c r="K1" s="1311"/>
      <c r="L1" s="1311"/>
      <c r="M1" s="1311"/>
      <c r="N1" s="1311"/>
    </row>
    <row r="2" spans="1:14" ht="13.5" thickBot="1" x14ac:dyDescent="0.3"/>
    <row r="3" spans="1:14" s="510" customFormat="1" ht="15" customHeight="1" x14ac:dyDescent="0.25">
      <c r="A3" s="1328" t="s">
        <v>0</v>
      </c>
      <c r="B3" s="1330" t="s">
        <v>597</v>
      </c>
      <c r="C3" s="1332" t="s">
        <v>292</v>
      </c>
      <c r="D3" s="1338" t="s">
        <v>606</v>
      </c>
      <c r="E3" s="1347"/>
      <c r="F3" s="1347"/>
      <c r="G3" s="1347"/>
      <c r="H3" s="1347"/>
      <c r="I3" s="1348"/>
      <c r="J3" s="1349"/>
      <c r="K3" s="1334" t="s">
        <v>614</v>
      </c>
      <c r="L3" s="1335"/>
      <c r="M3" s="1338" t="s">
        <v>615</v>
      </c>
      <c r="N3" s="1339"/>
    </row>
    <row r="4" spans="1:14" s="510" customFormat="1" ht="24.75" customHeight="1" x14ac:dyDescent="0.25">
      <c r="A4" s="1329"/>
      <c r="B4" s="1331"/>
      <c r="C4" s="1333"/>
      <c r="D4" s="1342" t="s">
        <v>289</v>
      </c>
      <c r="E4" s="1343"/>
      <c r="F4" s="1344"/>
      <c r="G4" s="1344"/>
      <c r="H4" s="1343" t="s">
        <v>601</v>
      </c>
      <c r="I4" s="1345"/>
      <c r="J4" s="1346"/>
      <c r="K4" s="1336"/>
      <c r="L4" s="1337"/>
      <c r="M4" s="1340"/>
      <c r="N4" s="1341"/>
    </row>
    <row r="5" spans="1:14" ht="65.25" customHeight="1" x14ac:dyDescent="0.25">
      <c r="A5" s="1329"/>
      <c r="B5" s="1331"/>
      <c r="C5" s="1333"/>
      <c r="D5" s="682" t="s">
        <v>620</v>
      </c>
      <c r="E5" s="683" t="s">
        <v>621</v>
      </c>
      <c r="F5" s="683" t="s">
        <v>625</v>
      </c>
      <c r="G5" s="495" t="s">
        <v>6</v>
      </c>
      <c r="H5" s="683" t="s">
        <v>620</v>
      </c>
      <c r="I5" s="683" t="s">
        <v>621</v>
      </c>
      <c r="J5" s="496" t="s">
        <v>6</v>
      </c>
      <c r="K5" s="695" t="s">
        <v>622</v>
      </c>
      <c r="L5" s="497" t="s">
        <v>603</v>
      </c>
      <c r="M5" s="682" t="s">
        <v>604</v>
      </c>
      <c r="N5" s="378" t="s">
        <v>623</v>
      </c>
    </row>
    <row r="6" spans="1:14" ht="13.5" thickBot="1" x14ac:dyDescent="0.3">
      <c r="A6" s="498">
        <v>1</v>
      </c>
      <c r="B6" s="499">
        <v>2</v>
      </c>
      <c r="C6" s="500">
        <v>3</v>
      </c>
      <c r="D6" s="511">
        <v>4</v>
      </c>
      <c r="E6" s="512">
        <v>5</v>
      </c>
      <c r="F6" s="512">
        <v>6</v>
      </c>
      <c r="G6" s="512">
        <v>7</v>
      </c>
      <c r="H6" s="512">
        <v>8</v>
      </c>
      <c r="I6" s="512">
        <v>9</v>
      </c>
      <c r="J6" s="513">
        <v>10</v>
      </c>
      <c r="K6" s="514">
        <v>11</v>
      </c>
      <c r="L6" s="515">
        <v>12</v>
      </c>
      <c r="M6" s="511">
        <v>13</v>
      </c>
      <c r="N6" s="513">
        <v>14</v>
      </c>
    </row>
    <row r="7" spans="1:14" x14ac:dyDescent="0.25">
      <c r="A7" s="1322" t="s">
        <v>6</v>
      </c>
      <c r="B7" s="1323"/>
      <c r="C7" s="1324"/>
      <c r="D7" s="516">
        <f>SUM(D8:D10)</f>
        <v>219495</v>
      </c>
      <c r="E7" s="517">
        <f t="shared" ref="E7:N7" si="0">SUM(E8:E10)</f>
        <v>419945</v>
      </c>
      <c r="F7" s="517">
        <f t="shared" si="0"/>
        <v>99924</v>
      </c>
      <c r="G7" s="517">
        <f t="shared" si="0"/>
        <v>739364</v>
      </c>
      <c r="H7" s="517">
        <f t="shared" si="0"/>
        <v>36592</v>
      </c>
      <c r="I7" s="517">
        <f t="shared" si="0"/>
        <v>151965</v>
      </c>
      <c r="J7" s="518">
        <f t="shared" si="0"/>
        <v>188557</v>
      </c>
      <c r="K7" s="519">
        <f t="shared" si="0"/>
        <v>6603</v>
      </c>
      <c r="L7" s="520">
        <f t="shared" si="0"/>
        <v>526080</v>
      </c>
      <c r="M7" s="516">
        <f t="shared" si="0"/>
        <v>799</v>
      </c>
      <c r="N7" s="518">
        <f t="shared" si="0"/>
        <v>41540</v>
      </c>
    </row>
    <row r="8" spans="1:14" x14ac:dyDescent="0.25">
      <c r="A8" s="1325" t="s">
        <v>14</v>
      </c>
      <c r="B8" s="1326"/>
      <c r="C8" s="1327"/>
      <c r="D8" s="505"/>
      <c r="E8" s="410"/>
      <c r="F8" s="410"/>
      <c r="G8" s="521">
        <f t="shared" ref="G8:G9" si="1">SUM(D8:F8)</f>
        <v>0</v>
      </c>
      <c r="H8" s="410"/>
      <c r="I8" s="410"/>
      <c r="J8" s="522">
        <f t="shared" ref="J8:J9" si="2">SUM(H8:I8)</f>
        <v>0</v>
      </c>
      <c r="K8" s="696"/>
      <c r="L8" s="523"/>
      <c r="M8" s="505"/>
      <c r="N8" s="420"/>
    </row>
    <row r="9" spans="1:14" x14ac:dyDescent="0.25">
      <c r="A9" s="1325" t="s">
        <v>442</v>
      </c>
      <c r="B9" s="1326"/>
      <c r="C9" s="1327"/>
      <c r="D9" s="505"/>
      <c r="E9" s="410"/>
      <c r="F9" s="410"/>
      <c r="G9" s="521">
        <f t="shared" si="1"/>
        <v>0</v>
      </c>
      <c r="H9" s="410"/>
      <c r="I9" s="410"/>
      <c r="J9" s="522">
        <f t="shared" si="2"/>
        <v>0</v>
      </c>
      <c r="K9" s="696"/>
      <c r="L9" s="523"/>
      <c r="M9" s="505"/>
      <c r="N9" s="420"/>
    </row>
    <row r="10" spans="1:14" x14ac:dyDescent="0.25">
      <c r="A10" s="1325" t="s">
        <v>15</v>
      </c>
      <c r="B10" s="1326"/>
      <c r="C10" s="1327"/>
      <c r="D10" s="524">
        <f>SUM(D11:D153)-D93</f>
        <v>219495</v>
      </c>
      <c r="E10" s="521">
        <f t="shared" ref="E10:N10" si="3">SUM(E11:E153)-E93</f>
        <v>419945</v>
      </c>
      <c r="F10" s="521">
        <f t="shared" si="3"/>
        <v>99924</v>
      </c>
      <c r="G10" s="521">
        <f t="shared" si="3"/>
        <v>739364</v>
      </c>
      <c r="H10" s="521">
        <f t="shared" si="3"/>
        <v>36592</v>
      </c>
      <c r="I10" s="521">
        <f t="shared" si="3"/>
        <v>151965</v>
      </c>
      <c r="J10" s="522">
        <f t="shared" si="3"/>
        <v>188557</v>
      </c>
      <c r="K10" s="697">
        <f t="shared" si="3"/>
        <v>6603</v>
      </c>
      <c r="L10" s="525">
        <f t="shared" si="3"/>
        <v>526080</v>
      </c>
      <c r="M10" s="524">
        <f t="shared" si="3"/>
        <v>799</v>
      </c>
      <c r="N10" s="522">
        <f t="shared" si="3"/>
        <v>41540</v>
      </c>
    </row>
    <row r="11" spans="1:14" x14ac:dyDescent="0.25">
      <c r="A11" s="680">
        <v>1</v>
      </c>
      <c r="B11" s="389" t="s">
        <v>16</v>
      </c>
      <c r="C11" s="390" t="s">
        <v>17</v>
      </c>
      <c r="D11" s="505">
        <v>2850</v>
      </c>
      <c r="E11" s="410"/>
      <c r="F11" s="410"/>
      <c r="G11" s="521">
        <f>SUM(D11:F11)</f>
        <v>2850</v>
      </c>
      <c r="H11" s="410">
        <f>475+30</f>
        <v>505</v>
      </c>
      <c r="I11" s="410"/>
      <c r="J11" s="522">
        <f>SUM(H11:I11)</f>
        <v>505</v>
      </c>
      <c r="K11" s="696"/>
      <c r="L11" s="523"/>
      <c r="M11" s="505"/>
      <c r="N11" s="420"/>
    </row>
    <row r="12" spans="1:14" x14ac:dyDescent="0.25">
      <c r="A12" s="680">
        <v>2</v>
      </c>
      <c r="B12" s="389" t="s">
        <v>18</v>
      </c>
      <c r="C12" s="390" t="s">
        <v>19</v>
      </c>
      <c r="D12" s="505">
        <v>5458</v>
      </c>
      <c r="E12" s="410"/>
      <c r="F12" s="410"/>
      <c r="G12" s="521">
        <f t="shared" ref="G12:G75" si="4">SUM(D12:F12)</f>
        <v>5458</v>
      </c>
      <c r="H12" s="410">
        <f>912+40+15</f>
        <v>967</v>
      </c>
      <c r="I12" s="410"/>
      <c r="J12" s="522">
        <f t="shared" ref="J12:J75" si="5">SUM(H12:I12)</f>
        <v>967</v>
      </c>
      <c r="K12" s="696"/>
      <c r="L12" s="523"/>
      <c r="M12" s="505"/>
      <c r="N12" s="420"/>
    </row>
    <row r="13" spans="1:14" x14ac:dyDescent="0.25">
      <c r="A13" s="680">
        <v>3</v>
      </c>
      <c r="B13" s="394" t="s">
        <v>20</v>
      </c>
      <c r="C13" s="395" t="s">
        <v>21</v>
      </c>
      <c r="D13" s="505"/>
      <c r="E13" s="410"/>
      <c r="F13" s="410"/>
      <c r="G13" s="521">
        <f t="shared" si="4"/>
        <v>0</v>
      </c>
      <c r="H13" s="410"/>
      <c r="I13" s="410"/>
      <c r="J13" s="522">
        <f t="shared" si="5"/>
        <v>0</v>
      </c>
      <c r="K13" s="696"/>
      <c r="L13" s="523"/>
      <c r="M13" s="505"/>
      <c r="N13" s="420"/>
    </row>
    <row r="14" spans="1:14" x14ac:dyDescent="0.25">
      <c r="A14" s="680">
        <v>4</v>
      </c>
      <c r="B14" s="389" t="s">
        <v>22</v>
      </c>
      <c r="C14" s="390" t="s">
        <v>23</v>
      </c>
      <c r="D14" s="505">
        <f>2250+100</f>
        <v>2350</v>
      </c>
      <c r="E14" s="410"/>
      <c r="F14" s="410"/>
      <c r="G14" s="521">
        <f t="shared" si="4"/>
        <v>2350</v>
      </c>
      <c r="H14" s="410">
        <f>375+50</f>
        <v>425</v>
      </c>
      <c r="I14" s="410"/>
      <c r="J14" s="522">
        <f t="shared" si="5"/>
        <v>425</v>
      </c>
      <c r="K14" s="696"/>
      <c r="L14" s="523"/>
      <c r="M14" s="505"/>
      <c r="N14" s="420"/>
    </row>
    <row r="15" spans="1:14" x14ac:dyDescent="0.25">
      <c r="A15" s="680">
        <v>5</v>
      </c>
      <c r="B15" s="389" t="s">
        <v>24</v>
      </c>
      <c r="C15" s="390" t="s">
        <v>25</v>
      </c>
      <c r="D15" s="505">
        <v>3000</v>
      </c>
      <c r="E15" s="410"/>
      <c r="F15" s="410"/>
      <c r="G15" s="521">
        <f t="shared" si="4"/>
        <v>3000</v>
      </c>
      <c r="H15" s="410">
        <v>500</v>
      </c>
      <c r="I15" s="410"/>
      <c r="J15" s="522">
        <f t="shared" si="5"/>
        <v>500</v>
      </c>
      <c r="K15" s="696"/>
      <c r="L15" s="523"/>
      <c r="M15" s="505"/>
      <c r="N15" s="420"/>
    </row>
    <row r="16" spans="1:14" x14ac:dyDescent="0.25">
      <c r="A16" s="680">
        <v>6</v>
      </c>
      <c r="B16" s="394" t="s">
        <v>26</v>
      </c>
      <c r="C16" s="395" t="s">
        <v>27</v>
      </c>
      <c r="D16" s="505">
        <v>1500</v>
      </c>
      <c r="E16" s="410"/>
      <c r="F16" s="410"/>
      <c r="G16" s="521">
        <f t="shared" si="4"/>
        <v>1500</v>
      </c>
      <c r="H16" s="410">
        <v>250</v>
      </c>
      <c r="I16" s="410"/>
      <c r="J16" s="522">
        <f t="shared" si="5"/>
        <v>250</v>
      </c>
      <c r="K16" s="696"/>
      <c r="L16" s="523"/>
      <c r="M16" s="505"/>
      <c r="N16" s="420"/>
    </row>
    <row r="17" spans="1:14" x14ac:dyDescent="0.25">
      <c r="A17" s="680">
        <v>7</v>
      </c>
      <c r="B17" s="683" t="s">
        <v>28</v>
      </c>
      <c r="C17" s="397" t="s">
        <v>29</v>
      </c>
      <c r="D17" s="505">
        <f>5625+67+200</f>
        <v>5892</v>
      </c>
      <c r="E17" s="410"/>
      <c r="F17" s="410"/>
      <c r="G17" s="521">
        <f t="shared" si="4"/>
        <v>5892</v>
      </c>
      <c r="H17" s="410">
        <f>938+80+50</f>
        <v>1068</v>
      </c>
      <c r="I17" s="410"/>
      <c r="J17" s="522">
        <f t="shared" si="5"/>
        <v>1068</v>
      </c>
      <c r="K17" s="696"/>
      <c r="L17" s="523"/>
      <c r="M17" s="505"/>
      <c r="N17" s="420"/>
    </row>
    <row r="18" spans="1:14" x14ac:dyDescent="0.25">
      <c r="A18" s="680">
        <v>8</v>
      </c>
      <c r="B18" s="394" t="s">
        <v>30</v>
      </c>
      <c r="C18" s="395" t="s">
        <v>31</v>
      </c>
      <c r="D18" s="505">
        <f>3375-1075</f>
        <v>2300</v>
      </c>
      <c r="E18" s="410"/>
      <c r="F18" s="410"/>
      <c r="G18" s="521">
        <f t="shared" si="4"/>
        <v>2300</v>
      </c>
      <c r="H18" s="410">
        <f>562-262-50-23</f>
        <v>227</v>
      </c>
      <c r="I18" s="410"/>
      <c r="J18" s="522">
        <f t="shared" si="5"/>
        <v>227</v>
      </c>
      <c r="K18" s="696"/>
      <c r="L18" s="523"/>
      <c r="M18" s="505"/>
      <c r="N18" s="420"/>
    </row>
    <row r="19" spans="1:14" x14ac:dyDescent="0.25">
      <c r="A19" s="680">
        <v>9</v>
      </c>
      <c r="B19" s="394" t="s">
        <v>32</v>
      </c>
      <c r="C19" s="395" t="s">
        <v>33</v>
      </c>
      <c r="D19" s="505">
        <f>3750+300</f>
        <v>4050</v>
      </c>
      <c r="E19" s="410"/>
      <c r="F19" s="410"/>
      <c r="G19" s="521">
        <f t="shared" si="4"/>
        <v>4050</v>
      </c>
      <c r="H19" s="410">
        <f>625+10</f>
        <v>635</v>
      </c>
      <c r="I19" s="410"/>
      <c r="J19" s="522">
        <f t="shared" si="5"/>
        <v>635</v>
      </c>
      <c r="K19" s="696"/>
      <c r="L19" s="523"/>
      <c r="M19" s="505"/>
      <c r="N19" s="420"/>
    </row>
    <row r="20" spans="1:14" x14ac:dyDescent="0.25">
      <c r="A20" s="680">
        <v>10</v>
      </c>
      <c r="B20" s="394" t="s">
        <v>34</v>
      </c>
      <c r="C20" s="395" t="s">
        <v>35</v>
      </c>
      <c r="D20" s="505">
        <v>2625</v>
      </c>
      <c r="E20" s="410"/>
      <c r="F20" s="410"/>
      <c r="G20" s="521">
        <f t="shared" si="4"/>
        <v>2625</v>
      </c>
      <c r="H20" s="410">
        <f>438+30+10</f>
        <v>478</v>
      </c>
      <c r="I20" s="410"/>
      <c r="J20" s="522">
        <f t="shared" si="5"/>
        <v>478</v>
      </c>
      <c r="K20" s="696"/>
      <c r="L20" s="523"/>
      <c r="M20" s="505"/>
      <c r="N20" s="420"/>
    </row>
    <row r="21" spans="1:14" x14ac:dyDescent="0.25">
      <c r="A21" s="680">
        <v>11</v>
      </c>
      <c r="B21" s="394" t="s">
        <v>36</v>
      </c>
      <c r="C21" s="395" t="s">
        <v>37</v>
      </c>
      <c r="D21" s="505">
        <f>3418-300</f>
        <v>3118</v>
      </c>
      <c r="E21" s="410"/>
      <c r="F21" s="410"/>
      <c r="G21" s="521">
        <f t="shared" si="4"/>
        <v>3118</v>
      </c>
      <c r="H21" s="410">
        <v>569</v>
      </c>
      <c r="I21" s="410"/>
      <c r="J21" s="522">
        <f t="shared" si="5"/>
        <v>569</v>
      </c>
      <c r="K21" s="696"/>
      <c r="L21" s="523"/>
      <c r="M21" s="505"/>
      <c r="N21" s="420"/>
    </row>
    <row r="22" spans="1:14" x14ac:dyDescent="0.25">
      <c r="A22" s="680">
        <v>12</v>
      </c>
      <c r="B22" s="394" t="s">
        <v>38</v>
      </c>
      <c r="C22" s="395" t="s">
        <v>39</v>
      </c>
      <c r="D22" s="505">
        <v>6525</v>
      </c>
      <c r="E22" s="410"/>
      <c r="F22" s="410"/>
      <c r="G22" s="521">
        <f t="shared" si="4"/>
        <v>6525</v>
      </c>
      <c r="H22" s="410">
        <f>1088+40</f>
        <v>1128</v>
      </c>
      <c r="I22" s="410"/>
      <c r="J22" s="522">
        <f t="shared" si="5"/>
        <v>1128</v>
      </c>
      <c r="K22" s="696"/>
      <c r="L22" s="523"/>
      <c r="M22" s="505"/>
      <c r="N22" s="420"/>
    </row>
    <row r="23" spans="1:14" x14ac:dyDescent="0.25">
      <c r="A23" s="680">
        <v>13</v>
      </c>
      <c r="B23" s="398" t="s">
        <v>40</v>
      </c>
      <c r="C23" s="399" t="s">
        <v>41</v>
      </c>
      <c r="D23" s="505"/>
      <c r="E23" s="410"/>
      <c r="F23" s="410"/>
      <c r="G23" s="521">
        <f t="shared" si="4"/>
        <v>0</v>
      </c>
      <c r="H23" s="410"/>
      <c r="I23" s="410"/>
      <c r="J23" s="522">
        <f t="shared" si="5"/>
        <v>0</v>
      </c>
      <c r="K23" s="696"/>
      <c r="L23" s="523"/>
      <c r="M23" s="505"/>
      <c r="N23" s="420"/>
    </row>
    <row r="24" spans="1:14" x14ac:dyDescent="0.25">
      <c r="A24" s="680">
        <v>14</v>
      </c>
      <c r="B24" s="400" t="s">
        <v>42</v>
      </c>
      <c r="C24" s="401" t="s">
        <v>43</v>
      </c>
      <c r="D24" s="505"/>
      <c r="E24" s="410"/>
      <c r="F24" s="410"/>
      <c r="G24" s="521">
        <f t="shared" si="4"/>
        <v>0</v>
      </c>
      <c r="H24" s="410"/>
      <c r="I24" s="410"/>
      <c r="J24" s="522">
        <f t="shared" si="5"/>
        <v>0</v>
      </c>
      <c r="K24" s="696"/>
      <c r="L24" s="523"/>
      <c r="M24" s="505"/>
      <c r="N24" s="420"/>
    </row>
    <row r="25" spans="1:14" x14ac:dyDescent="0.25">
      <c r="A25" s="680">
        <v>15</v>
      </c>
      <c r="B25" s="394" t="s">
        <v>44</v>
      </c>
      <c r="C25" s="395" t="s">
        <v>45</v>
      </c>
      <c r="D25" s="505">
        <f>4575+182+400</f>
        <v>5157</v>
      </c>
      <c r="E25" s="410"/>
      <c r="F25" s="410"/>
      <c r="G25" s="521">
        <f t="shared" si="4"/>
        <v>5157</v>
      </c>
      <c r="H25" s="410">
        <f>762-25</f>
        <v>737</v>
      </c>
      <c r="I25" s="410"/>
      <c r="J25" s="522">
        <f t="shared" si="5"/>
        <v>737</v>
      </c>
      <c r="K25" s="696"/>
      <c r="L25" s="523"/>
      <c r="M25" s="505"/>
      <c r="N25" s="420"/>
    </row>
    <row r="26" spans="1:14" x14ac:dyDescent="0.25">
      <c r="A26" s="680">
        <v>16</v>
      </c>
      <c r="B26" s="394" t="s">
        <v>46</v>
      </c>
      <c r="C26" s="395" t="s">
        <v>47</v>
      </c>
      <c r="D26" s="505">
        <f>6000-2400</f>
        <v>3600</v>
      </c>
      <c r="E26" s="410"/>
      <c r="F26" s="410"/>
      <c r="G26" s="521">
        <f t="shared" si="4"/>
        <v>3600</v>
      </c>
      <c r="H26" s="410">
        <f>1000-130-140</f>
        <v>730</v>
      </c>
      <c r="I26" s="410"/>
      <c r="J26" s="522">
        <f t="shared" si="5"/>
        <v>730</v>
      </c>
      <c r="K26" s="696"/>
      <c r="L26" s="523"/>
      <c r="M26" s="505"/>
      <c r="N26" s="420"/>
    </row>
    <row r="27" spans="1:14" x14ac:dyDescent="0.25">
      <c r="A27" s="680">
        <v>17</v>
      </c>
      <c r="B27" s="394" t="s">
        <v>48</v>
      </c>
      <c r="C27" s="395" t="s">
        <v>49</v>
      </c>
      <c r="D27" s="505">
        <f>7500+900</f>
        <v>8400</v>
      </c>
      <c r="E27" s="410"/>
      <c r="F27" s="410"/>
      <c r="G27" s="521">
        <f t="shared" si="4"/>
        <v>8400</v>
      </c>
      <c r="H27" s="410">
        <f>1250-25-130</f>
        <v>1095</v>
      </c>
      <c r="I27" s="410"/>
      <c r="J27" s="522">
        <f t="shared" si="5"/>
        <v>1095</v>
      </c>
      <c r="K27" s="696"/>
      <c r="L27" s="523"/>
      <c r="M27" s="505"/>
      <c r="N27" s="420"/>
    </row>
    <row r="28" spans="1:14" x14ac:dyDescent="0.25">
      <c r="A28" s="680">
        <v>18</v>
      </c>
      <c r="B28" s="394" t="s">
        <v>50</v>
      </c>
      <c r="C28" s="395" t="s">
        <v>51</v>
      </c>
      <c r="D28" s="505"/>
      <c r="E28" s="410"/>
      <c r="F28" s="410"/>
      <c r="G28" s="521">
        <f t="shared" si="4"/>
        <v>0</v>
      </c>
      <c r="H28" s="410"/>
      <c r="I28" s="410"/>
      <c r="J28" s="522">
        <f t="shared" si="5"/>
        <v>0</v>
      </c>
      <c r="K28" s="696"/>
      <c r="L28" s="523"/>
      <c r="M28" s="505"/>
      <c r="N28" s="420"/>
    </row>
    <row r="29" spans="1:14" x14ac:dyDescent="0.25">
      <c r="A29" s="680">
        <v>19</v>
      </c>
      <c r="B29" s="389" t="s">
        <v>52</v>
      </c>
      <c r="C29" s="390" t="s">
        <v>53</v>
      </c>
      <c r="D29" s="505">
        <v>2250</v>
      </c>
      <c r="E29" s="410"/>
      <c r="F29" s="410"/>
      <c r="G29" s="521">
        <f t="shared" si="4"/>
        <v>2250</v>
      </c>
      <c r="H29" s="410">
        <f>375-50-30</f>
        <v>295</v>
      </c>
      <c r="I29" s="410"/>
      <c r="J29" s="522">
        <f t="shared" si="5"/>
        <v>295</v>
      </c>
      <c r="K29" s="696"/>
      <c r="L29" s="523"/>
      <c r="M29" s="505"/>
      <c r="N29" s="420"/>
    </row>
    <row r="30" spans="1:14" x14ac:dyDescent="0.25">
      <c r="A30" s="680">
        <v>20</v>
      </c>
      <c r="B30" s="389" t="s">
        <v>54</v>
      </c>
      <c r="C30" s="390" t="s">
        <v>55</v>
      </c>
      <c r="D30" s="505">
        <v>2250</v>
      </c>
      <c r="E30" s="410"/>
      <c r="F30" s="410"/>
      <c r="G30" s="521">
        <f t="shared" si="4"/>
        <v>2250</v>
      </c>
      <c r="H30" s="410">
        <v>375</v>
      </c>
      <c r="I30" s="410"/>
      <c r="J30" s="522">
        <f t="shared" si="5"/>
        <v>375</v>
      </c>
      <c r="K30" s="696"/>
      <c r="L30" s="523"/>
      <c r="M30" s="505"/>
      <c r="N30" s="420"/>
    </row>
    <row r="31" spans="1:14" x14ac:dyDescent="0.25">
      <c r="A31" s="680">
        <v>21</v>
      </c>
      <c r="B31" s="389" t="s">
        <v>56</v>
      </c>
      <c r="C31" s="390" t="s">
        <v>57</v>
      </c>
      <c r="D31" s="505">
        <v>5250</v>
      </c>
      <c r="E31" s="410"/>
      <c r="F31" s="410"/>
      <c r="G31" s="521">
        <f t="shared" si="4"/>
        <v>5250</v>
      </c>
      <c r="H31" s="410">
        <v>875</v>
      </c>
      <c r="I31" s="410"/>
      <c r="J31" s="522">
        <f t="shared" si="5"/>
        <v>875</v>
      </c>
      <c r="K31" s="696"/>
      <c r="L31" s="523"/>
      <c r="M31" s="505"/>
      <c r="N31" s="420"/>
    </row>
    <row r="32" spans="1:14" x14ac:dyDescent="0.25">
      <c r="A32" s="680">
        <v>22</v>
      </c>
      <c r="B32" s="389" t="s">
        <v>58</v>
      </c>
      <c r="C32" s="390" t="s">
        <v>59</v>
      </c>
      <c r="D32" s="505"/>
      <c r="E32" s="410"/>
      <c r="F32" s="410"/>
      <c r="G32" s="521">
        <f t="shared" si="4"/>
        <v>0</v>
      </c>
      <c r="H32" s="410"/>
      <c r="I32" s="410"/>
      <c r="J32" s="522">
        <f t="shared" si="5"/>
        <v>0</v>
      </c>
      <c r="K32" s="696"/>
      <c r="L32" s="523"/>
      <c r="M32" s="505"/>
      <c r="N32" s="420"/>
    </row>
    <row r="33" spans="1:14" x14ac:dyDescent="0.25">
      <c r="A33" s="680">
        <v>23</v>
      </c>
      <c r="B33" s="394" t="s">
        <v>60</v>
      </c>
      <c r="C33" s="395" t="s">
        <v>61</v>
      </c>
      <c r="D33" s="505"/>
      <c r="E33" s="410"/>
      <c r="F33" s="410"/>
      <c r="G33" s="521">
        <f t="shared" si="4"/>
        <v>0</v>
      </c>
      <c r="H33" s="410"/>
      <c r="I33" s="410"/>
      <c r="J33" s="522">
        <f t="shared" si="5"/>
        <v>0</v>
      </c>
      <c r="K33" s="696"/>
      <c r="L33" s="523"/>
      <c r="M33" s="505"/>
      <c r="N33" s="420"/>
    </row>
    <row r="34" spans="1:14" x14ac:dyDescent="0.25">
      <c r="A34" s="680">
        <v>24</v>
      </c>
      <c r="B34" s="394" t="s">
        <v>62</v>
      </c>
      <c r="C34" s="395" t="s">
        <v>63</v>
      </c>
      <c r="D34" s="505"/>
      <c r="E34" s="410"/>
      <c r="F34" s="410"/>
      <c r="G34" s="521">
        <f t="shared" si="4"/>
        <v>0</v>
      </c>
      <c r="H34" s="410"/>
      <c r="I34" s="410"/>
      <c r="J34" s="522">
        <f t="shared" si="5"/>
        <v>0</v>
      </c>
      <c r="K34" s="696"/>
      <c r="L34" s="523"/>
      <c r="M34" s="505"/>
      <c r="N34" s="420"/>
    </row>
    <row r="35" spans="1:14" ht="25.5" x14ac:dyDescent="0.25">
      <c r="A35" s="680">
        <v>25</v>
      </c>
      <c r="B35" s="394" t="s">
        <v>64</v>
      </c>
      <c r="C35" s="395" t="s">
        <v>65</v>
      </c>
      <c r="D35" s="505"/>
      <c r="E35" s="410"/>
      <c r="F35" s="410"/>
      <c r="G35" s="521">
        <f t="shared" si="4"/>
        <v>0</v>
      </c>
      <c r="H35" s="410"/>
      <c r="I35" s="410"/>
      <c r="J35" s="522">
        <f t="shared" si="5"/>
        <v>0</v>
      </c>
      <c r="K35" s="696"/>
      <c r="L35" s="523"/>
      <c r="M35" s="505"/>
      <c r="N35" s="420"/>
    </row>
    <row r="36" spans="1:14" x14ac:dyDescent="0.25">
      <c r="A36" s="680">
        <v>26</v>
      </c>
      <c r="B36" s="389" t="s">
        <v>66</v>
      </c>
      <c r="C36" s="397" t="s">
        <v>67</v>
      </c>
      <c r="D36" s="505">
        <f>0+3281+425-800</f>
        <v>2906</v>
      </c>
      <c r="E36" s="410"/>
      <c r="F36" s="410"/>
      <c r="G36" s="521">
        <f t="shared" si="4"/>
        <v>2906</v>
      </c>
      <c r="H36" s="410">
        <f>0+547+214</f>
        <v>761</v>
      </c>
      <c r="I36" s="410"/>
      <c r="J36" s="522">
        <f t="shared" si="5"/>
        <v>761</v>
      </c>
      <c r="K36" s="696"/>
      <c r="L36" s="523"/>
      <c r="M36" s="505"/>
      <c r="N36" s="420"/>
    </row>
    <row r="37" spans="1:14" x14ac:dyDescent="0.25">
      <c r="A37" s="680">
        <v>27</v>
      </c>
      <c r="B37" s="394" t="s">
        <v>68</v>
      </c>
      <c r="C37" s="395" t="s">
        <v>69</v>
      </c>
      <c r="D37" s="505">
        <f>5625-3281-425</f>
        <v>1919</v>
      </c>
      <c r="E37" s="410"/>
      <c r="F37" s="410"/>
      <c r="G37" s="521">
        <f t="shared" si="4"/>
        <v>1919</v>
      </c>
      <c r="H37" s="410">
        <f>938-547-214</f>
        <v>177</v>
      </c>
      <c r="I37" s="410"/>
      <c r="J37" s="522">
        <f t="shared" si="5"/>
        <v>177</v>
      </c>
      <c r="K37" s="696"/>
      <c r="L37" s="523"/>
      <c r="M37" s="505"/>
      <c r="N37" s="420"/>
    </row>
    <row r="38" spans="1:14" x14ac:dyDescent="0.25">
      <c r="A38" s="680">
        <v>28</v>
      </c>
      <c r="B38" s="394" t="s">
        <v>70</v>
      </c>
      <c r="C38" s="395" t="s">
        <v>71</v>
      </c>
      <c r="D38" s="505"/>
      <c r="E38" s="410"/>
      <c r="F38" s="410"/>
      <c r="G38" s="521">
        <f t="shared" si="4"/>
        <v>0</v>
      </c>
      <c r="H38" s="410"/>
      <c r="I38" s="410"/>
      <c r="J38" s="522">
        <f t="shared" si="5"/>
        <v>0</v>
      </c>
      <c r="K38" s="696"/>
      <c r="L38" s="523"/>
      <c r="M38" s="505"/>
      <c r="N38" s="420"/>
    </row>
    <row r="39" spans="1:14" x14ac:dyDescent="0.25">
      <c r="A39" s="680">
        <v>29</v>
      </c>
      <c r="B39" s="389" t="s">
        <v>72</v>
      </c>
      <c r="C39" s="390" t="s">
        <v>73</v>
      </c>
      <c r="D39" s="505"/>
      <c r="E39" s="410"/>
      <c r="F39" s="410"/>
      <c r="G39" s="521">
        <f t="shared" si="4"/>
        <v>0</v>
      </c>
      <c r="H39" s="410"/>
      <c r="I39" s="410"/>
      <c r="J39" s="522">
        <f t="shared" si="5"/>
        <v>0</v>
      </c>
      <c r="K39" s="696"/>
      <c r="L39" s="523"/>
      <c r="M39" s="505"/>
      <c r="N39" s="420"/>
    </row>
    <row r="40" spans="1:14" ht="25.5" x14ac:dyDescent="0.25">
      <c r="A40" s="680">
        <v>30</v>
      </c>
      <c r="B40" s="389" t="s">
        <v>74</v>
      </c>
      <c r="C40" s="397" t="s">
        <v>377</v>
      </c>
      <c r="D40" s="505"/>
      <c r="E40" s="410"/>
      <c r="F40" s="410"/>
      <c r="G40" s="521">
        <f t="shared" si="4"/>
        <v>0</v>
      </c>
      <c r="H40" s="410"/>
      <c r="I40" s="410"/>
      <c r="J40" s="522">
        <f t="shared" si="5"/>
        <v>0</v>
      </c>
      <c r="K40" s="696"/>
      <c r="L40" s="523"/>
      <c r="M40" s="505"/>
      <c r="N40" s="420"/>
    </row>
    <row r="41" spans="1:14" x14ac:dyDescent="0.25">
      <c r="A41" s="680">
        <v>31</v>
      </c>
      <c r="B41" s="389" t="s">
        <v>75</v>
      </c>
      <c r="C41" s="390" t="s">
        <v>76</v>
      </c>
      <c r="D41" s="505"/>
      <c r="E41" s="410"/>
      <c r="F41" s="410"/>
      <c r="G41" s="521">
        <f t="shared" si="4"/>
        <v>0</v>
      </c>
      <c r="H41" s="410"/>
      <c r="I41" s="410"/>
      <c r="J41" s="522">
        <f t="shared" si="5"/>
        <v>0</v>
      </c>
      <c r="K41" s="696"/>
      <c r="L41" s="523"/>
      <c r="M41" s="505"/>
      <c r="N41" s="420"/>
    </row>
    <row r="42" spans="1:14" x14ac:dyDescent="0.25">
      <c r="A42" s="680">
        <v>32</v>
      </c>
      <c r="B42" s="394" t="s">
        <v>77</v>
      </c>
      <c r="C42" s="395" t="s">
        <v>78</v>
      </c>
      <c r="D42" s="505"/>
      <c r="E42" s="410"/>
      <c r="F42" s="410"/>
      <c r="G42" s="521">
        <f t="shared" si="4"/>
        <v>0</v>
      </c>
      <c r="H42" s="410"/>
      <c r="I42" s="410"/>
      <c r="J42" s="522">
        <f t="shared" si="5"/>
        <v>0</v>
      </c>
      <c r="K42" s="696"/>
      <c r="L42" s="523"/>
      <c r="M42" s="505"/>
      <c r="N42" s="420"/>
    </row>
    <row r="43" spans="1:14" x14ac:dyDescent="0.25">
      <c r="A43" s="680">
        <v>33</v>
      </c>
      <c r="B43" s="389" t="s">
        <v>79</v>
      </c>
      <c r="C43" s="390" t="s">
        <v>80</v>
      </c>
      <c r="D43" s="505"/>
      <c r="E43" s="410"/>
      <c r="F43" s="410"/>
      <c r="G43" s="521">
        <f t="shared" si="4"/>
        <v>0</v>
      </c>
      <c r="H43" s="410"/>
      <c r="I43" s="410"/>
      <c r="J43" s="522">
        <f t="shared" si="5"/>
        <v>0</v>
      </c>
      <c r="K43" s="696"/>
      <c r="L43" s="523"/>
      <c r="M43" s="505"/>
      <c r="N43" s="420"/>
    </row>
    <row r="44" spans="1:14" x14ac:dyDescent="0.25">
      <c r="A44" s="680">
        <v>34</v>
      </c>
      <c r="B44" s="683" t="s">
        <v>81</v>
      </c>
      <c r="C44" s="397" t="s">
        <v>82</v>
      </c>
      <c r="D44" s="505">
        <v>3750</v>
      </c>
      <c r="E44" s="410"/>
      <c r="F44" s="410"/>
      <c r="G44" s="521">
        <f t="shared" si="4"/>
        <v>3750</v>
      </c>
      <c r="H44" s="410">
        <f>625+30</f>
        <v>655</v>
      </c>
      <c r="I44" s="410"/>
      <c r="J44" s="522">
        <f t="shared" si="5"/>
        <v>655</v>
      </c>
      <c r="K44" s="696"/>
      <c r="L44" s="523"/>
      <c r="M44" s="505"/>
      <c r="N44" s="420"/>
    </row>
    <row r="45" spans="1:14" x14ac:dyDescent="0.25">
      <c r="A45" s="680">
        <v>35</v>
      </c>
      <c r="B45" s="389" t="s">
        <v>83</v>
      </c>
      <c r="C45" s="390" t="s">
        <v>84</v>
      </c>
      <c r="D45" s="505"/>
      <c r="E45" s="410"/>
      <c r="F45" s="410"/>
      <c r="G45" s="521">
        <f t="shared" si="4"/>
        <v>0</v>
      </c>
      <c r="H45" s="410"/>
      <c r="I45" s="410"/>
      <c r="J45" s="522">
        <f t="shared" si="5"/>
        <v>0</v>
      </c>
      <c r="K45" s="696"/>
      <c r="L45" s="523"/>
      <c r="M45" s="505"/>
      <c r="N45" s="420"/>
    </row>
    <row r="46" spans="1:14" x14ac:dyDescent="0.25">
      <c r="A46" s="680">
        <v>36</v>
      </c>
      <c r="B46" s="389" t="s">
        <v>85</v>
      </c>
      <c r="C46" s="390" t="s">
        <v>86</v>
      </c>
      <c r="D46" s="505">
        <f>3750+141+250-50</f>
        <v>4091</v>
      </c>
      <c r="E46" s="410"/>
      <c r="F46" s="410"/>
      <c r="G46" s="521">
        <f t="shared" si="4"/>
        <v>4091</v>
      </c>
      <c r="H46" s="410">
        <v>625</v>
      </c>
      <c r="I46" s="410"/>
      <c r="J46" s="522">
        <f t="shared" si="5"/>
        <v>625</v>
      </c>
      <c r="K46" s="696"/>
      <c r="L46" s="523"/>
      <c r="M46" s="505"/>
      <c r="N46" s="420"/>
    </row>
    <row r="47" spans="1:14" x14ac:dyDescent="0.25">
      <c r="A47" s="680">
        <v>37</v>
      </c>
      <c r="B47" s="394" t="s">
        <v>87</v>
      </c>
      <c r="C47" s="395" t="s">
        <v>88</v>
      </c>
      <c r="D47" s="505">
        <v>11250</v>
      </c>
      <c r="E47" s="410"/>
      <c r="F47" s="410"/>
      <c r="G47" s="521">
        <f t="shared" si="4"/>
        <v>11250</v>
      </c>
      <c r="H47" s="410">
        <v>1875</v>
      </c>
      <c r="I47" s="410"/>
      <c r="J47" s="522">
        <f t="shared" si="5"/>
        <v>1875</v>
      </c>
      <c r="K47" s="696"/>
      <c r="L47" s="523"/>
      <c r="M47" s="505"/>
      <c r="N47" s="420"/>
    </row>
    <row r="48" spans="1:14" x14ac:dyDescent="0.25">
      <c r="A48" s="680">
        <v>38</v>
      </c>
      <c r="B48" s="389" t="s">
        <v>89</v>
      </c>
      <c r="C48" s="390" t="s">
        <v>90</v>
      </c>
      <c r="D48" s="505">
        <v>3000</v>
      </c>
      <c r="E48" s="410"/>
      <c r="F48" s="410"/>
      <c r="G48" s="521">
        <f t="shared" si="4"/>
        <v>3000</v>
      </c>
      <c r="H48" s="410">
        <v>500</v>
      </c>
      <c r="I48" s="410"/>
      <c r="J48" s="522">
        <f t="shared" si="5"/>
        <v>500</v>
      </c>
      <c r="K48" s="696"/>
      <c r="L48" s="523"/>
      <c r="M48" s="505"/>
      <c r="N48" s="420"/>
    </row>
    <row r="49" spans="1:14" ht="20.25" customHeight="1" x14ac:dyDescent="0.25">
      <c r="A49" s="680">
        <v>39</v>
      </c>
      <c r="B49" s="389" t="s">
        <v>91</v>
      </c>
      <c r="C49" s="390" t="s">
        <v>92</v>
      </c>
      <c r="D49" s="505">
        <f>2700+40</f>
        <v>2740</v>
      </c>
      <c r="E49" s="410"/>
      <c r="F49" s="410"/>
      <c r="G49" s="521">
        <f t="shared" si="4"/>
        <v>2740</v>
      </c>
      <c r="H49" s="410">
        <f>450+30</f>
        <v>480</v>
      </c>
      <c r="I49" s="410"/>
      <c r="J49" s="522">
        <f t="shared" si="5"/>
        <v>480</v>
      </c>
      <c r="K49" s="696"/>
      <c r="L49" s="523"/>
      <c r="M49" s="505"/>
      <c r="N49" s="420"/>
    </row>
    <row r="50" spans="1:14" x14ac:dyDescent="0.25">
      <c r="A50" s="680">
        <v>40</v>
      </c>
      <c r="B50" s="402" t="s">
        <v>93</v>
      </c>
      <c r="C50" s="403" t="s">
        <v>94</v>
      </c>
      <c r="D50" s="505">
        <f>5025+65+500</f>
        <v>5590</v>
      </c>
      <c r="E50" s="410"/>
      <c r="F50" s="410"/>
      <c r="G50" s="521">
        <f t="shared" si="4"/>
        <v>5590</v>
      </c>
      <c r="H50" s="410">
        <f>838+42+70+15</f>
        <v>965</v>
      </c>
      <c r="I50" s="410"/>
      <c r="J50" s="522">
        <f t="shared" si="5"/>
        <v>965</v>
      </c>
      <c r="K50" s="696"/>
      <c r="L50" s="523"/>
      <c r="M50" s="505"/>
      <c r="N50" s="420"/>
    </row>
    <row r="51" spans="1:14" x14ac:dyDescent="0.25">
      <c r="A51" s="680">
        <v>41</v>
      </c>
      <c r="B51" s="389" t="s">
        <v>95</v>
      </c>
      <c r="C51" s="390" t="s">
        <v>96</v>
      </c>
      <c r="D51" s="505">
        <f>2819+40</f>
        <v>2859</v>
      </c>
      <c r="E51" s="410"/>
      <c r="F51" s="410"/>
      <c r="G51" s="521">
        <f t="shared" si="4"/>
        <v>2859</v>
      </c>
      <c r="H51" s="410">
        <f>470+20+40</f>
        <v>530</v>
      </c>
      <c r="I51" s="410"/>
      <c r="J51" s="522">
        <f t="shared" si="5"/>
        <v>530</v>
      </c>
      <c r="K51" s="696"/>
      <c r="L51" s="523"/>
      <c r="M51" s="505"/>
      <c r="N51" s="420"/>
    </row>
    <row r="52" spans="1:14" x14ac:dyDescent="0.25">
      <c r="A52" s="680">
        <v>42</v>
      </c>
      <c r="B52" s="683" t="s">
        <v>97</v>
      </c>
      <c r="C52" s="397" t="s">
        <v>98</v>
      </c>
      <c r="D52" s="505"/>
      <c r="E52" s="410"/>
      <c r="F52" s="410"/>
      <c r="G52" s="521">
        <f t="shared" si="4"/>
        <v>0</v>
      </c>
      <c r="H52" s="410"/>
      <c r="I52" s="410"/>
      <c r="J52" s="522">
        <f t="shared" si="5"/>
        <v>0</v>
      </c>
      <c r="K52" s="696"/>
      <c r="L52" s="523"/>
      <c r="M52" s="505"/>
      <c r="N52" s="420"/>
    </row>
    <row r="53" spans="1:14" x14ac:dyDescent="0.25">
      <c r="A53" s="680">
        <v>43</v>
      </c>
      <c r="B53" s="394" t="s">
        <v>99</v>
      </c>
      <c r="C53" s="395" t="s">
        <v>100</v>
      </c>
      <c r="D53" s="505"/>
      <c r="E53" s="410"/>
      <c r="F53" s="410"/>
      <c r="G53" s="521">
        <f t="shared" si="4"/>
        <v>0</v>
      </c>
      <c r="H53" s="410"/>
      <c r="I53" s="410"/>
      <c r="J53" s="522">
        <f t="shared" si="5"/>
        <v>0</v>
      </c>
      <c r="K53" s="696"/>
      <c r="L53" s="523"/>
      <c r="M53" s="505"/>
      <c r="N53" s="420"/>
    </row>
    <row r="54" spans="1:14" x14ac:dyDescent="0.25">
      <c r="A54" s="680">
        <v>44</v>
      </c>
      <c r="B54" s="389" t="s">
        <v>101</v>
      </c>
      <c r="C54" s="390" t="s">
        <v>102</v>
      </c>
      <c r="D54" s="505">
        <v>3000</v>
      </c>
      <c r="E54" s="410"/>
      <c r="F54" s="410"/>
      <c r="G54" s="521">
        <f t="shared" si="4"/>
        <v>3000</v>
      </c>
      <c r="H54" s="410">
        <f>500+20</f>
        <v>520</v>
      </c>
      <c r="I54" s="410"/>
      <c r="J54" s="522">
        <f t="shared" si="5"/>
        <v>520</v>
      </c>
      <c r="K54" s="696"/>
      <c r="L54" s="523"/>
      <c r="M54" s="505"/>
      <c r="N54" s="420"/>
    </row>
    <row r="55" spans="1:14" x14ac:dyDescent="0.25">
      <c r="A55" s="680">
        <v>45</v>
      </c>
      <c r="B55" s="394" t="s">
        <v>103</v>
      </c>
      <c r="C55" s="395" t="s">
        <v>104</v>
      </c>
      <c r="D55" s="505">
        <v>6000</v>
      </c>
      <c r="E55" s="410"/>
      <c r="F55" s="410"/>
      <c r="G55" s="521">
        <f t="shared" si="4"/>
        <v>6000</v>
      </c>
      <c r="H55" s="410">
        <f>1000-100-136</f>
        <v>764</v>
      </c>
      <c r="I55" s="410"/>
      <c r="J55" s="522">
        <f t="shared" si="5"/>
        <v>764</v>
      </c>
      <c r="K55" s="696"/>
      <c r="L55" s="523"/>
      <c r="M55" s="505"/>
      <c r="N55" s="420"/>
    </row>
    <row r="56" spans="1:14" x14ac:dyDescent="0.25">
      <c r="A56" s="680">
        <v>46</v>
      </c>
      <c r="B56" s="389" t="s">
        <v>105</v>
      </c>
      <c r="C56" s="390" t="s">
        <v>106</v>
      </c>
      <c r="D56" s="505">
        <v>3375</v>
      </c>
      <c r="E56" s="410"/>
      <c r="F56" s="410"/>
      <c r="G56" s="521">
        <f t="shared" si="4"/>
        <v>3375</v>
      </c>
      <c r="H56" s="410">
        <f>562+70+100+10</f>
        <v>742</v>
      </c>
      <c r="I56" s="410"/>
      <c r="J56" s="522">
        <f t="shared" si="5"/>
        <v>742</v>
      </c>
      <c r="K56" s="696"/>
      <c r="L56" s="523"/>
      <c r="M56" s="505"/>
      <c r="N56" s="420"/>
    </row>
    <row r="57" spans="1:14" x14ac:dyDescent="0.25">
      <c r="A57" s="680">
        <v>47</v>
      </c>
      <c r="B57" s="389" t="s">
        <v>107</v>
      </c>
      <c r="C57" s="390" t="s">
        <v>108</v>
      </c>
      <c r="D57" s="505">
        <f>3750-1200</f>
        <v>2550</v>
      </c>
      <c r="E57" s="410"/>
      <c r="F57" s="410"/>
      <c r="G57" s="521">
        <f t="shared" si="4"/>
        <v>2550</v>
      </c>
      <c r="H57" s="410">
        <f>625-600</f>
        <v>25</v>
      </c>
      <c r="I57" s="410"/>
      <c r="J57" s="522">
        <f t="shared" si="5"/>
        <v>25</v>
      </c>
      <c r="K57" s="696"/>
      <c r="L57" s="523"/>
      <c r="M57" s="505"/>
      <c r="N57" s="420"/>
    </row>
    <row r="58" spans="1:14" x14ac:dyDescent="0.25">
      <c r="A58" s="680">
        <v>48</v>
      </c>
      <c r="B58" s="394" t="s">
        <v>109</v>
      </c>
      <c r="C58" s="395" t="s">
        <v>110</v>
      </c>
      <c r="D58" s="505">
        <v>5625</v>
      </c>
      <c r="E58" s="410"/>
      <c r="F58" s="410"/>
      <c r="G58" s="521">
        <f t="shared" si="4"/>
        <v>5625</v>
      </c>
      <c r="H58" s="410">
        <f>938+130+50+37</f>
        <v>1155</v>
      </c>
      <c r="I58" s="410"/>
      <c r="J58" s="522">
        <f t="shared" si="5"/>
        <v>1155</v>
      </c>
      <c r="K58" s="696"/>
      <c r="L58" s="523"/>
      <c r="M58" s="505"/>
      <c r="N58" s="420"/>
    </row>
    <row r="59" spans="1:14" x14ac:dyDescent="0.25">
      <c r="A59" s="680">
        <v>49</v>
      </c>
      <c r="B59" s="394" t="s">
        <v>111</v>
      </c>
      <c r="C59" s="395" t="s">
        <v>112</v>
      </c>
      <c r="D59" s="505">
        <v>2250</v>
      </c>
      <c r="E59" s="410"/>
      <c r="F59" s="410"/>
      <c r="G59" s="521">
        <f t="shared" si="4"/>
        <v>2250</v>
      </c>
      <c r="H59" s="410">
        <f>375+30</f>
        <v>405</v>
      </c>
      <c r="I59" s="410"/>
      <c r="J59" s="522">
        <f t="shared" si="5"/>
        <v>405</v>
      </c>
      <c r="K59" s="696"/>
      <c r="L59" s="523"/>
      <c r="M59" s="505"/>
      <c r="N59" s="420"/>
    </row>
    <row r="60" spans="1:14" x14ac:dyDescent="0.25">
      <c r="A60" s="680">
        <v>50</v>
      </c>
      <c r="B60" s="389" t="s">
        <v>113</v>
      </c>
      <c r="C60" s="390" t="s">
        <v>114</v>
      </c>
      <c r="D60" s="505">
        <f>3750+44+200</f>
        <v>3994</v>
      </c>
      <c r="E60" s="410"/>
      <c r="F60" s="410"/>
      <c r="G60" s="521">
        <f t="shared" si="4"/>
        <v>3994</v>
      </c>
      <c r="H60" s="410">
        <v>625</v>
      </c>
      <c r="I60" s="410"/>
      <c r="J60" s="522">
        <f t="shared" si="5"/>
        <v>625</v>
      </c>
      <c r="K60" s="696"/>
      <c r="L60" s="523"/>
      <c r="M60" s="505"/>
      <c r="N60" s="420"/>
    </row>
    <row r="61" spans="1:14" x14ac:dyDescent="0.25">
      <c r="A61" s="680">
        <v>51</v>
      </c>
      <c r="B61" s="394" t="s">
        <v>115</v>
      </c>
      <c r="C61" s="395" t="s">
        <v>116</v>
      </c>
      <c r="D61" s="505">
        <f>5850+227+900</f>
        <v>6977</v>
      </c>
      <c r="E61" s="410"/>
      <c r="F61" s="410"/>
      <c r="G61" s="521">
        <f t="shared" si="4"/>
        <v>6977</v>
      </c>
      <c r="H61" s="410">
        <f>975+80+100+145</f>
        <v>1300</v>
      </c>
      <c r="I61" s="410"/>
      <c r="J61" s="522">
        <f t="shared" si="5"/>
        <v>1300</v>
      </c>
      <c r="K61" s="696"/>
      <c r="L61" s="523"/>
      <c r="M61" s="505"/>
      <c r="N61" s="420"/>
    </row>
    <row r="62" spans="1:14" x14ac:dyDescent="0.25">
      <c r="A62" s="680">
        <v>52</v>
      </c>
      <c r="B62" s="389" t="s">
        <v>117</v>
      </c>
      <c r="C62" s="390" t="s">
        <v>118</v>
      </c>
      <c r="D62" s="505">
        <v>11250</v>
      </c>
      <c r="E62" s="410"/>
      <c r="F62" s="410"/>
      <c r="G62" s="521">
        <f t="shared" si="4"/>
        <v>11250</v>
      </c>
      <c r="H62" s="410">
        <v>1875</v>
      </c>
      <c r="I62" s="410"/>
      <c r="J62" s="522">
        <f t="shared" si="5"/>
        <v>1875</v>
      </c>
      <c r="K62" s="696"/>
      <c r="L62" s="523"/>
      <c r="M62" s="505"/>
      <c r="N62" s="420"/>
    </row>
    <row r="63" spans="1:14" x14ac:dyDescent="0.25">
      <c r="A63" s="680">
        <v>53</v>
      </c>
      <c r="B63" s="394" t="s">
        <v>119</v>
      </c>
      <c r="C63" s="395" t="s">
        <v>120</v>
      </c>
      <c r="D63" s="505">
        <f>3075+150</f>
        <v>3225</v>
      </c>
      <c r="E63" s="410"/>
      <c r="F63" s="410"/>
      <c r="G63" s="521">
        <f t="shared" si="4"/>
        <v>3225</v>
      </c>
      <c r="H63" s="410">
        <f>512+20+40</f>
        <v>572</v>
      </c>
      <c r="I63" s="410"/>
      <c r="J63" s="522">
        <f t="shared" si="5"/>
        <v>572</v>
      </c>
      <c r="K63" s="696"/>
      <c r="L63" s="523"/>
      <c r="M63" s="505"/>
      <c r="N63" s="420"/>
    </row>
    <row r="64" spans="1:14" s="508" customFormat="1" x14ac:dyDescent="0.25">
      <c r="A64" s="680">
        <v>54</v>
      </c>
      <c r="B64" s="394" t="s">
        <v>121</v>
      </c>
      <c r="C64" s="395" t="s">
        <v>122</v>
      </c>
      <c r="D64" s="505"/>
      <c r="E64" s="410"/>
      <c r="F64" s="410"/>
      <c r="G64" s="521">
        <f t="shared" si="4"/>
        <v>0</v>
      </c>
      <c r="H64" s="410"/>
      <c r="I64" s="410"/>
      <c r="J64" s="522">
        <f t="shared" si="5"/>
        <v>0</v>
      </c>
      <c r="K64" s="696"/>
      <c r="L64" s="523"/>
      <c r="M64" s="505"/>
      <c r="N64" s="420"/>
    </row>
    <row r="65" spans="1:14" s="508" customFormat="1" x14ac:dyDescent="0.25">
      <c r="A65" s="680">
        <v>55</v>
      </c>
      <c r="B65" s="394" t="s">
        <v>123</v>
      </c>
      <c r="C65" s="395" t="s">
        <v>124</v>
      </c>
      <c r="D65" s="505"/>
      <c r="E65" s="410"/>
      <c r="F65" s="410"/>
      <c r="G65" s="521">
        <f t="shared" si="4"/>
        <v>0</v>
      </c>
      <c r="H65" s="410"/>
      <c r="I65" s="410"/>
      <c r="J65" s="522">
        <f t="shared" si="5"/>
        <v>0</v>
      </c>
      <c r="K65" s="696"/>
      <c r="L65" s="523"/>
      <c r="M65" s="505"/>
      <c r="N65" s="420"/>
    </row>
    <row r="66" spans="1:14" x14ac:dyDescent="0.25">
      <c r="A66" s="680">
        <v>56</v>
      </c>
      <c r="B66" s="681" t="s">
        <v>125</v>
      </c>
      <c r="C66" s="405" t="s">
        <v>126</v>
      </c>
      <c r="D66" s="505"/>
      <c r="E66" s="410"/>
      <c r="F66" s="410"/>
      <c r="G66" s="521">
        <f t="shared" si="4"/>
        <v>0</v>
      </c>
      <c r="H66" s="410"/>
      <c r="I66" s="410"/>
      <c r="J66" s="522">
        <f t="shared" si="5"/>
        <v>0</v>
      </c>
      <c r="K66" s="696"/>
      <c r="L66" s="523"/>
      <c r="M66" s="505"/>
      <c r="N66" s="420"/>
    </row>
    <row r="67" spans="1:14" s="530" customFormat="1" ht="25.5" x14ac:dyDescent="0.25">
      <c r="A67" s="680">
        <v>57</v>
      </c>
      <c r="B67" s="394" t="s">
        <v>127</v>
      </c>
      <c r="C67" s="395" t="s">
        <v>128</v>
      </c>
      <c r="D67" s="505"/>
      <c r="E67" s="526"/>
      <c r="F67" s="526"/>
      <c r="G67" s="521">
        <f t="shared" si="4"/>
        <v>0</v>
      </c>
      <c r="H67" s="410"/>
      <c r="I67" s="410"/>
      <c r="J67" s="522">
        <f t="shared" si="5"/>
        <v>0</v>
      </c>
      <c r="K67" s="698"/>
      <c r="L67" s="527"/>
      <c r="M67" s="528"/>
      <c r="N67" s="529"/>
    </row>
    <row r="68" spans="1:14" ht="25.5" x14ac:dyDescent="0.25">
      <c r="A68" s="680">
        <v>58</v>
      </c>
      <c r="B68" s="394" t="s">
        <v>129</v>
      </c>
      <c r="C68" s="395" t="s">
        <v>457</v>
      </c>
      <c r="D68" s="505"/>
      <c r="E68" s="410"/>
      <c r="F68" s="410"/>
      <c r="G68" s="521">
        <f t="shared" si="4"/>
        <v>0</v>
      </c>
      <c r="H68" s="410"/>
      <c r="I68" s="410"/>
      <c r="J68" s="522">
        <f t="shared" si="5"/>
        <v>0</v>
      </c>
      <c r="K68" s="696"/>
      <c r="L68" s="501"/>
      <c r="M68" s="502"/>
      <c r="N68" s="503"/>
    </row>
    <row r="69" spans="1:14" ht="25.5" x14ac:dyDescent="0.25">
      <c r="A69" s="680">
        <v>59</v>
      </c>
      <c r="B69" s="394" t="s">
        <v>131</v>
      </c>
      <c r="C69" s="395" t="s">
        <v>132</v>
      </c>
      <c r="D69" s="505"/>
      <c r="E69" s="410"/>
      <c r="F69" s="410"/>
      <c r="G69" s="521">
        <f t="shared" si="4"/>
        <v>0</v>
      </c>
      <c r="H69" s="410"/>
      <c r="I69" s="410"/>
      <c r="J69" s="522">
        <f t="shared" si="5"/>
        <v>0</v>
      </c>
      <c r="K69" s="696"/>
      <c r="L69" s="523"/>
      <c r="M69" s="505"/>
      <c r="N69" s="420"/>
    </row>
    <row r="70" spans="1:14" ht="25.5" x14ac:dyDescent="0.25">
      <c r="A70" s="680">
        <v>60</v>
      </c>
      <c r="B70" s="389" t="s">
        <v>133</v>
      </c>
      <c r="C70" s="395" t="s">
        <v>299</v>
      </c>
      <c r="D70" s="505"/>
      <c r="E70" s="410"/>
      <c r="F70" s="410"/>
      <c r="G70" s="521">
        <f t="shared" si="4"/>
        <v>0</v>
      </c>
      <c r="H70" s="410"/>
      <c r="I70" s="410"/>
      <c r="J70" s="522">
        <f t="shared" si="5"/>
        <v>0</v>
      </c>
      <c r="K70" s="696"/>
      <c r="L70" s="523"/>
      <c r="M70" s="505"/>
      <c r="N70" s="420"/>
    </row>
    <row r="71" spans="1:14" ht="25.5" x14ac:dyDescent="0.25">
      <c r="A71" s="680">
        <v>61</v>
      </c>
      <c r="B71" s="683" t="s">
        <v>135</v>
      </c>
      <c r="C71" s="395" t="s">
        <v>459</v>
      </c>
      <c r="D71" s="505"/>
      <c r="E71" s="410"/>
      <c r="F71" s="410"/>
      <c r="G71" s="521">
        <f t="shared" si="4"/>
        <v>0</v>
      </c>
      <c r="H71" s="410"/>
      <c r="I71" s="410"/>
      <c r="J71" s="522">
        <f t="shared" si="5"/>
        <v>0</v>
      </c>
      <c r="K71" s="696"/>
      <c r="L71" s="523"/>
      <c r="M71" s="505"/>
      <c r="N71" s="420"/>
    </row>
    <row r="72" spans="1:14" ht="25.5" x14ac:dyDescent="0.25">
      <c r="A72" s="680">
        <v>62</v>
      </c>
      <c r="B72" s="389" t="s">
        <v>137</v>
      </c>
      <c r="C72" s="395" t="s">
        <v>635</v>
      </c>
      <c r="D72" s="505"/>
      <c r="E72" s="410"/>
      <c r="F72" s="410"/>
      <c r="G72" s="521">
        <f t="shared" si="4"/>
        <v>0</v>
      </c>
      <c r="H72" s="410"/>
      <c r="I72" s="410"/>
      <c r="J72" s="522">
        <f t="shared" si="5"/>
        <v>0</v>
      </c>
      <c r="K72" s="696"/>
      <c r="L72" s="523"/>
      <c r="M72" s="505"/>
      <c r="N72" s="420"/>
    </row>
    <row r="73" spans="1:14" ht="25.5" x14ac:dyDescent="0.25">
      <c r="A73" s="680">
        <v>63</v>
      </c>
      <c r="B73" s="394" t="s">
        <v>139</v>
      </c>
      <c r="C73" s="395" t="s">
        <v>636</v>
      </c>
      <c r="D73" s="505"/>
      <c r="E73" s="410"/>
      <c r="F73" s="410"/>
      <c r="G73" s="521">
        <f t="shared" si="4"/>
        <v>0</v>
      </c>
      <c r="H73" s="410"/>
      <c r="I73" s="410"/>
      <c r="J73" s="522">
        <f t="shared" si="5"/>
        <v>0</v>
      </c>
      <c r="K73" s="696"/>
      <c r="L73" s="523"/>
      <c r="M73" s="505"/>
      <c r="N73" s="420"/>
    </row>
    <row r="74" spans="1:14" x14ac:dyDescent="0.25">
      <c r="A74" s="680">
        <v>64</v>
      </c>
      <c r="B74" s="389" t="s">
        <v>141</v>
      </c>
      <c r="C74" s="395" t="s">
        <v>454</v>
      </c>
      <c r="D74" s="505"/>
      <c r="E74" s="410"/>
      <c r="F74" s="410"/>
      <c r="G74" s="521">
        <f t="shared" si="4"/>
        <v>0</v>
      </c>
      <c r="H74" s="410"/>
      <c r="I74" s="410"/>
      <c r="J74" s="522">
        <f t="shared" si="5"/>
        <v>0</v>
      </c>
      <c r="K74" s="696"/>
      <c r="L74" s="523"/>
      <c r="M74" s="505"/>
      <c r="N74" s="420"/>
    </row>
    <row r="75" spans="1:14" x14ac:dyDescent="0.25">
      <c r="A75" s="680">
        <v>65</v>
      </c>
      <c r="B75" s="389" t="s">
        <v>143</v>
      </c>
      <c r="C75" s="395" t="s">
        <v>144</v>
      </c>
      <c r="D75" s="505"/>
      <c r="E75" s="410"/>
      <c r="F75" s="410"/>
      <c r="G75" s="521">
        <f t="shared" si="4"/>
        <v>0</v>
      </c>
      <c r="H75" s="410"/>
      <c r="I75" s="410"/>
      <c r="J75" s="522">
        <f t="shared" si="5"/>
        <v>0</v>
      </c>
      <c r="K75" s="696"/>
      <c r="L75" s="523"/>
      <c r="M75" s="505"/>
      <c r="N75" s="420"/>
    </row>
    <row r="76" spans="1:14" x14ac:dyDescent="0.25">
      <c r="A76" s="680">
        <v>66</v>
      </c>
      <c r="B76" s="389" t="s">
        <v>145</v>
      </c>
      <c r="C76" s="395" t="s">
        <v>455</v>
      </c>
      <c r="D76" s="505"/>
      <c r="E76" s="410"/>
      <c r="F76" s="410"/>
      <c r="G76" s="521">
        <f t="shared" ref="G76:G139" si="6">SUM(D76:F76)</f>
        <v>0</v>
      </c>
      <c r="H76" s="410"/>
      <c r="I76" s="410"/>
      <c r="J76" s="522">
        <f t="shared" ref="J76:J139" si="7">SUM(H76:I76)</f>
        <v>0</v>
      </c>
      <c r="K76" s="696"/>
      <c r="L76" s="523"/>
      <c r="M76" s="505"/>
      <c r="N76" s="420"/>
    </row>
    <row r="77" spans="1:14" ht="25.5" x14ac:dyDescent="0.25">
      <c r="A77" s="680">
        <v>67</v>
      </c>
      <c r="B77" s="389" t="s">
        <v>147</v>
      </c>
      <c r="C77" s="395" t="s">
        <v>637</v>
      </c>
      <c r="D77" s="505"/>
      <c r="E77" s="410"/>
      <c r="F77" s="410"/>
      <c r="G77" s="521">
        <f t="shared" si="6"/>
        <v>0</v>
      </c>
      <c r="H77" s="410"/>
      <c r="I77" s="410"/>
      <c r="J77" s="522">
        <f t="shared" si="7"/>
        <v>0</v>
      </c>
      <c r="K77" s="696"/>
      <c r="L77" s="523"/>
      <c r="M77" s="505"/>
      <c r="N77" s="420"/>
    </row>
    <row r="78" spans="1:14" ht="25.5" x14ac:dyDescent="0.25">
      <c r="A78" s="680">
        <v>68</v>
      </c>
      <c r="B78" s="389" t="s">
        <v>149</v>
      </c>
      <c r="C78" s="395" t="s">
        <v>461</v>
      </c>
      <c r="D78" s="505"/>
      <c r="E78" s="410"/>
      <c r="F78" s="410"/>
      <c r="G78" s="521">
        <f t="shared" si="6"/>
        <v>0</v>
      </c>
      <c r="H78" s="410"/>
      <c r="I78" s="410"/>
      <c r="J78" s="522">
        <f t="shared" si="7"/>
        <v>0</v>
      </c>
      <c r="K78" s="696"/>
      <c r="L78" s="523"/>
      <c r="M78" s="505"/>
      <c r="N78" s="420"/>
    </row>
    <row r="79" spans="1:14" ht="25.5" x14ac:dyDescent="0.25">
      <c r="A79" s="680">
        <v>69</v>
      </c>
      <c r="B79" s="389" t="s">
        <v>151</v>
      </c>
      <c r="C79" s="395" t="s">
        <v>638</v>
      </c>
      <c r="D79" s="505"/>
      <c r="E79" s="410"/>
      <c r="F79" s="410"/>
      <c r="G79" s="521">
        <f t="shared" si="6"/>
        <v>0</v>
      </c>
      <c r="H79" s="410"/>
      <c r="I79" s="410"/>
      <c r="J79" s="522">
        <f t="shared" si="7"/>
        <v>0</v>
      </c>
      <c r="K79" s="696"/>
      <c r="L79" s="523"/>
      <c r="M79" s="505"/>
      <c r="N79" s="420"/>
    </row>
    <row r="80" spans="1:14" ht="25.5" x14ac:dyDescent="0.25">
      <c r="A80" s="680">
        <v>70</v>
      </c>
      <c r="B80" s="389" t="s">
        <v>153</v>
      </c>
      <c r="C80" s="395" t="s">
        <v>639</v>
      </c>
      <c r="D80" s="505"/>
      <c r="E80" s="410"/>
      <c r="F80" s="410"/>
      <c r="G80" s="521">
        <f t="shared" si="6"/>
        <v>0</v>
      </c>
      <c r="H80" s="410"/>
      <c r="I80" s="410"/>
      <c r="J80" s="522">
        <f t="shared" si="7"/>
        <v>0</v>
      </c>
      <c r="K80" s="696"/>
      <c r="L80" s="523"/>
      <c r="M80" s="505"/>
      <c r="N80" s="420"/>
    </row>
    <row r="81" spans="1:14" ht="25.5" x14ac:dyDescent="0.25">
      <c r="A81" s="680">
        <v>71</v>
      </c>
      <c r="B81" s="394" t="s">
        <v>155</v>
      </c>
      <c r="C81" s="395" t="s">
        <v>640</v>
      </c>
      <c r="D81" s="505"/>
      <c r="E81" s="410"/>
      <c r="F81" s="410"/>
      <c r="G81" s="521">
        <f t="shared" si="6"/>
        <v>0</v>
      </c>
      <c r="H81" s="410"/>
      <c r="I81" s="410"/>
      <c r="J81" s="522">
        <f t="shared" si="7"/>
        <v>0</v>
      </c>
      <c r="K81" s="696"/>
      <c r="L81" s="523"/>
      <c r="M81" s="505"/>
      <c r="N81" s="420"/>
    </row>
    <row r="82" spans="1:14" ht="25.5" x14ac:dyDescent="0.25">
      <c r="A82" s="680">
        <v>72</v>
      </c>
      <c r="B82" s="389" t="s">
        <v>157</v>
      </c>
      <c r="C82" s="390" t="s">
        <v>641</v>
      </c>
      <c r="D82" s="505"/>
      <c r="E82" s="410"/>
      <c r="F82" s="410"/>
      <c r="G82" s="521">
        <f t="shared" si="6"/>
        <v>0</v>
      </c>
      <c r="H82" s="410"/>
      <c r="I82" s="410"/>
      <c r="J82" s="522">
        <f t="shared" si="7"/>
        <v>0</v>
      </c>
      <c r="K82" s="696"/>
      <c r="L82" s="523"/>
      <c r="M82" s="505"/>
      <c r="N82" s="420"/>
    </row>
    <row r="83" spans="1:14" ht="25.5" x14ac:dyDescent="0.25">
      <c r="A83" s="680">
        <v>73</v>
      </c>
      <c r="B83" s="394" t="s">
        <v>159</v>
      </c>
      <c r="C83" s="395" t="s">
        <v>642</v>
      </c>
      <c r="D83" s="505"/>
      <c r="E83" s="410"/>
      <c r="F83" s="410"/>
      <c r="G83" s="521">
        <f t="shared" si="6"/>
        <v>0</v>
      </c>
      <c r="H83" s="410"/>
      <c r="I83" s="410"/>
      <c r="J83" s="522">
        <f t="shared" si="7"/>
        <v>0</v>
      </c>
      <c r="K83" s="696"/>
      <c r="L83" s="523"/>
      <c r="M83" s="505"/>
      <c r="N83" s="420"/>
    </row>
    <row r="84" spans="1:14" x14ac:dyDescent="0.25">
      <c r="A84" s="680">
        <v>74</v>
      </c>
      <c r="B84" s="389" t="s">
        <v>161</v>
      </c>
      <c r="C84" s="395" t="s">
        <v>162</v>
      </c>
      <c r="D84" s="505"/>
      <c r="E84" s="410"/>
      <c r="F84" s="410"/>
      <c r="G84" s="521">
        <f t="shared" si="6"/>
        <v>0</v>
      </c>
      <c r="H84" s="410"/>
      <c r="I84" s="410"/>
      <c r="J84" s="522">
        <f t="shared" si="7"/>
        <v>0</v>
      </c>
      <c r="K84" s="696"/>
      <c r="L84" s="523"/>
      <c r="M84" s="505"/>
      <c r="N84" s="420"/>
    </row>
    <row r="85" spans="1:14" x14ac:dyDescent="0.25">
      <c r="A85" s="680">
        <v>75</v>
      </c>
      <c r="B85" s="394" t="s">
        <v>163</v>
      </c>
      <c r="C85" s="395" t="s">
        <v>456</v>
      </c>
      <c r="D85" s="505"/>
      <c r="E85" s="410"/>
      <c r="F85" s="410"/>
      <c r="G85" s="521">
        <f t="shared" si="6"/>
        <v>0</v>
      </c>
      <c r="H85" s="410"/>
      <c r="I85" s="410"/>
      <c r="J85" s="522">
        <f t="shared" si="7"/>
        <v>0</v>
      </c>
      <c r="K85" s="696"/>
      <c r="L85" s="523"/>
      <c r="M85" s="505"/>
      <c r="N85" s="420"/>
    </row>
    <row r="86" spans="1:14" x14ac:dyDescent="0.25">
      <c r="A86" s="680">
        <v>76</v>
      </c>
      <c r="B86" s="394" t="s">
        <v>165</v>
      </c>
      <c r="C86" s="395" t="s">
        <v>166</v>
      </c>
      <c r="D86" s="505"/>
      <c r="E86" s="410"/>
      <c r="F86" s="410"/>
      <c r="G86" s="521">
        <f t="shared" si="6"/>
        <v>0</v>
      </c>
      <c r="H86" s="410"/>
      <c r="I86" s="410"/>
      <c r="J86" s="522">
        <f t="shared" si="7"/>
        <v>0</v>
      </c>
      <c r="K86" s="696"/>
      <c r="L86" s="523"/>
      <c r="M86" s="505"/>
      <c r="N86" s="420"/>
    </row>
    <row r="87" spans="1:14" x14ac:dyDescent="0.25">
      <c r="A87" s="680">
        <v>77</v>
      </c>
      <c r="B87" s="389" t="s">
        <v>167</v>
      </c>
      <c r="C87" s="395" t="s">
        <v>168</v>
      </c>
      <c r="D87" s="505"/>
      <c r="E87" s="410"/>
      <c r="F87" s="410"/>
      <c r="G87" s="521">
        <f t="shared" si="6"/>
        <v>0</v>
      </c>
      <c r="H87" s="410"/>
      <c r="I87" s="410"/>
      <c r="J87" s="522">
        <f t="shared" si="7"/>
        <v>0</v>
      </c>
      <c r="K87" s="696"/>
      <c r="L87" s="523"/>
      <c r="M87" s="505"/>
      <c r="N87" s="420"/>
    </row>
    <row r="88" spans="1:14" x14ac:dyDescent="0.25">
      <c r="A88" s="680">
        <v>78</v>
      </c>
      <c r="B88" s="389" t="s">
        <v>169</v>
      </c>
      <c r="C88" s="395" t="s">
        <v>170</v>
      </c>
      <c r="D88" s="505"/>
      <c r="E88" s="410"/>
      <c r="F88" s="410"/>
      <c r="G88" s="521">
        <f t="shared" si="6"/>
        <v>0</v>
      </c>
      <c r="H88" s="410"/>
      <c r="I88" s="410"/>
      <c r="J88" s="522">
        <f t="shared" si="7"/>
        <v>0</v>
      </c>
      <c r="K88" s="696"/>
      <c r="L88" s="523"/>
      <c r="M88" s="505"/>
      <c r="N88" s="420"/>
    </row>
    <row r="89" spans="1:14" x14ac:dyDescent="0.25">
      <c r="A89" s="680">
        <v>79</v>
      </c>
      <c r="B89" s="389" t="s">
        <v>171</v>
      </c>
      <c r="C89" s="395" t="s">
        <v>172</v>
      </c>
      <c r="D89" s="505"/>
      <c r="E89" s="410"/>
      <c r="F89" s="410"/>
      <c r="G89" s="521">
        <f t="shared" si="6"/>
        <v>0</v>
      </c>
      <c r="H89" s="410"/>
      <c r="I89" s="410"/>
      <c r="J89" s="522">
        <f t="shared" si="7"/>
        <v>0</v>
      </c>
      <c r="K89" s="696"/>
      <c r="L89" s="523"/>
      <c r="M89" s="505"/>
      <c r="N89" s="420"/>
    </row>
    <row r="90" spans="1:14" x14ac:dyDescent="0.25">
      <c r="A90" s="680">
        <v>80</v>
      </c>
      <c r="B90" s="389" t="s">
        <v>173</v>
      </c>
      <c r="C90" s="395" t="s">
        <v>613</v>
      </c>
      <c r="D90" s="505"/>
      <c r="E90" s="410"/>
      <c r="F90" s="410"/>
      <c r="G90" s="521">
        <f t="shared" si="6"/>
        <v>0</v>
      </c>
      <c r="H90" s="410"/>
      <c r="I90" s="410"/>
      <c r="J90" s="522">
        <f t="shared" si="7"/>
        <v>0</v>
      </c>
      <c r="K90" s="696"/>
      <c r="L90" s="523"/>
      <c r="M90" s="505"/>
      <c r="N90" s="420"/>
    </row>
    <row r="91" spans="1:14" x14ac:dyDescent="0.25">
      <c r="A91" s="680">
        <v>81</v>
      </c>
      <c r="B91" s="389" t="s">
        <v>175</v>
      </c>
      <c r="C91" s="395" t="s">
        <v>176</v>
      </c>
      <c r="D91" s="505"/>
      <c r="E91" s="410"/>
      <c r="F91" s="410"/>
      <c r="G91" s="521">
        <f t="shared" si="6"/>
        <v>0</v>
      </c>
      <c r="H91" s="410"/>
      <c r="I91" s="410"/>
      <c r="J91" s="522">
        <f t="shared" si="7"/>
        <v>0</v>
      </c>
      <c r="K91" s="696"/>
      <c r="L91" s="523"/>
      <c r="M91" s="505"/>
      <c r="N91" s="420"/>
    </row>
    <row r="92" spans="1:14" x14ac:dyDescent="0.25">
      <c r="A92" s="680">
        <v>82</v>
      </c>
      <c r="B92" s="406" t="s">
        <v>177</v>
      </c>
      <c r="C92" s="405" t="s">
        <v>745</v>
      </c>
      <c r="D92" s="505"/>
      <c r="E92" s="410"/>
      <c r="F92" s="410"/>
      <c r="G92" s="521">
        <f t="shared" si="6"/>
        <v>0</v>
      </c>
      <c r="H92" s="410"/>
      <c r="I92" s="410"/>
      <c r="J92" s="522">
        <f t="shared" si="7"/>
        <v>0</v>
      </c>
      <c r="K92" s="696"/>
      <c r="L92" s="523"/>
      <c r="M92" s="505"/>
      <c r="N92" s="420"/>
    </row>
    <row r="93" spans="1:14" ht="25.5" x14ac:dyDescent="0.25">
      <c r="A93" s="1243">
        <v>83</v>
      </c>
      <c r="B93" s="1244" t="s">
        <v>178</v>
      </c>
      <c r="C93" s="407" t="s">
        <v>746</v>
      </c>
      <c r="D93" s="505"/>
      <c r="E93" s="410"/>
      <c r="F93" s="410"/>
      <c r="G93" s="521">
        <f t="shared" si="6"/>
        <v>0</v>
      </c>
      <c r="H93" s="410"/>
      <c r="I93" s="410"/>
      <c r="J93" s="522">
        <f t="shared" si="7"/>
        <v>0</v>
      </c>
      <c r="K93" s="696"/>
      <c r="L93" s="523"/>
      <c r="M93" s="505"/>
      <c r="N93" s="420"/>
    </row>
    <row r="94" spans="1:14" ht="25.5" x14ac:dyDescent="0.25">
      <c r="A94" s="1243"/>
      <c r="B94" s="1244"/>
      <c r="C94" s="405" t="s">
        <v>179</v>
      </c>
      <c r="D94" s="505"/>
      <c r="E94" s="410"/>
      <c r="F94" s="410"/>
      <c r="G94" s="521">
        <f t="shared" si="6"/>
        <v>0</v>
      </c>
      <c r="H94" s="410"/>
      <c r="I94" s="410"/>
      <c r="J94" s="522">
        <f t="shared" si="7"/>
        <v>0</v>
      </c>
      <c r="K94" s="696"/>
      <c r="L94" s="523"/>
      <c r="M94" s="505"/>
      <c r="N94" s="420"/>
    </row>
    <row r="95" spans="1:14" ht="25.5" x14ac:dyDescent="0.25">
      <c r="A95" s="1243"/>
      <c r="B95" s="1244"/>
      <c r="C95" s="405" t="s">
        <v>180</v>
      </c>
      <c r="D95" s="505"/>
      <c r="E95" s="410"/>
      <c r="F95" s="410"/>
      <c r="G95" s="521">
        <f t="shared" si="6"/>
        <v>0</v>
      </c>
      <c r="H95" s="410"/>
      <c r="I95" s="410"/>
      <c r="J95" s="522">
        <f t="shared" si="7"/>
        <v>0</v>
      </c>
      <c r="K95" s="696"/>
      <c r="L95" s="523"/>
      <c r="M95" s="505"/>
      <c r="N95" s="420"/>
    </row>
    <row r="96" spans="1:14" ht="38.25" x14ac:dyDescent="0.25">
      <c r="A96" s="1243"/>
      <c r="B96" s="1244"/>
      <c r="C96" s="408" t="s">
        <v>507</v>
      </c>
      <c r="D96" s="505"/>
      <c r="E96" s="410"/>
      <c r="F96" s="410"/>
      <c r="G96" s="521">
        <f t="shared" si="6"/>
        <v>0</v>
      </c>
      <c r="H96" s="410"/>
      <c r="I96" s="410"/>
      <c r="J96" s="522">
        <f t="shared" si="7"/>
        <v>0</v>
      </c>
      <c r="K96" s="696"/>
      <c r="L96" s="523"/>
      <c r="M96" s="505"/>
      <c r="N96" s="420"/>
    </row>
    <row r="97" spans="1:14" ht="25.5" x14ac:dyDescent="0.25">
      <c r="A97" s="680">
        <v>84</v>
      </c>
      <c r="B97" s="394" t="s">
        <v>181</v>
      </c>
      <c r="C97" s="395" t="s">
        <v>182</v>
      </c>
      <c r="D97" s="505"/>
      <c r="E97" s="410"/>
      <c r="F97" s="410"/>
      <c r="G97" s="521">
        <f t="shared" si="6"/>
        <v>0</v>
      </c>
      <c r="H97" s="410"/>
      <c r="I97" s="410"/>
      <c r="J97" s="522">
        <f t="shared" si="7"/>
        <v>0</v>
      </c>
      <c r="K97" s="696"/>
      <c r="L97" s="523"/>
      <c r="M97" s="505"/>
      <c r="N97" s="420"/>
    </row>
    <row r="98" spans="1:14" x14ac:dyDescent="0.25">
      <c r="A98" s="680">
        <v>85</v>
      </c>
      <c r="B98" s="389" t="s">
        <v>183</v>
      </c>
      <c r="C98" s="395" t="s">
        <v>184</v>
      </c>
      <c r="D98" s="505"/>
      <c r="E98" s="410"/>
      <c r="F98" s="410"/>
      <c r="G98" s="521">
        <f t="shared" si="6"/>
        <v>0</v>
      </c>
      <c r="H98" s="410"/>
      <c r="I98" s="410"/>
      <c r="J98" s="522">
        <f t="shared" si="7"/>
        <v>0</v>
      </c>
      <c r="K98" s="696"/>
      <c r="L98" s="523"/>
      <c r="M98" s="505"/>
      <c r="N98" s="420"/>
    </row>
    <row r="99" spans="1:14" x14ac:dyDescent="0.25">
      <c r="A99" s="680">
        <v>86</v>
      </c>
      <c r="B99" s="394" t="s">
        <v>185</v>
      </c>
      <c r="C99" s="395" t="s">
        <v>186</v>
      </c>
      <c r="D99" s="505"/>
      <c r="E99" s="410"/>
      <c r="F99" s="410"/>
      <c r="G99" s="521">
        <f t="shared" si="6"/>
        <v>0</v>
      </c>
      <c r="H99" s="410"/>
      <c r="I99" s="410"/>
      <c r="J99" s="522">
        <f t="shared" si="7"/>
        <v>0</v>
      </c>
      <c r="K99" s="696"/>
      <c r="L99" s="523"/>
      <c r="M99" s="505"/>
      <c r="N99" s="420"/>
    </row>
    <row r="100" spans="1:14" x14ac:dyDescent="0.25">
      <c r="A100" s="680">
        <v>87</v>
      </c>
      <c r="B100" s="683" t="s">
        <v>187</v>
      </c>
      <c r="C100" s="397" t="s">
        <v>188</v>
      </c>
      <c r="D100" s="505">
        <v>2475</v>
      </c>
      <c r="E100" s="410"/>
      <c r="F100" s="410"/>
      <c r="G100" s="521">
        <f t="shared" si="6"/>
        <v>2475</v>
      </c>
      <c r="H100" s="410">
        <f>413-100-50</f>
        <v>263</v>
      </c>
      <c r="I100" s="410"/>
      <c r="J100" s="522">
        <f t="shared" si="7"/>
        <v>263</v>
      </c>
      <c r="K100" s="696"/>
      <c r="L100" s="523"/>
      <c r="M100" s="505"/>
      <c r="N100" s="420"/>
    </row>
    <row r="101" spans="1:14" x14ac:dyDescent="0.25">
      <c r="A101" s="680">
        <v>88</v>
      </c>
      <c r="B101" s="389" t="s">
        <v>189</v>
      </c>
      <c r="C101" s="395" t="s">
        <v>190</v>
      </c>
      <c r="D101" s="505">
        <v>3375</v>
      </c>
      <c r="E101" s="410"/>
      <c r="F101" s="410"/>
      <c r="G101" s="521">
        <f t="shared" si="6"/>
        <v>3375</v>
      </c>
      <c r="H101" s="410">
        <f>562+30</f>
        <v>592</v>
      </c>
      <c r="I101" s="410"/>
      <c r="J101" s="522">
        <f t="shared" si="7"/>
        <v>592</v>
      </c>
      <c r="K101" s="696"/>
      <c r="L101" s="523"/>
      <c r="M101" s="505"/>
      <c r="N101" s="420"/>
    </row>
    <row r="102" spans="1:14" x14ac:dyDescent="0.25">
      <c r="A102" s="680">
        <v>89</v>
      </c>
      <c r="B102" s="389" t="s">
        <v>191</v>
      </c>
      <c r="C102" s="395" t="s">
        <v>192</v>
      </c>
      <c r="D102" s="505">
        <f>6450+300</f>
        <v>6750</v>
      </c>
      <c r="E102" s="410"/>
      <c r="F102" s="410"/>
      <c r="G102" s="521">
        <f t="shared" si="6"/>
        <v>6750</v>
      </c>
      <c r="H102" s="410">
        <f>1075+60+150+50</f>
        <v>1335</v>
      </c>
      <c r="I102" s="410"/>
      <c r="J102" s="522">
        <f t="shared" si="7"/>
        <v>1335</v>
      </c>
      <c r="K102" s="696"/>
      <c r="L102" s="523"/>
      <c r="M102" s="505"/>
      <c r="N102" s="420"/>
    </row>
    <row r="103" spans="1:14" x14ac:dyDescent="0.25">
      <c r="A103" s="680">
        <v>90</v>
      </c>
      <c r="B103" s="683" t="s">
        <v>193</v>
      </c>
      <c r="C103" s="397" t="s">
        <v>194</v>
      </c>
      <c r="D103" s="505">
        <f>3375-50</f>
        <v>3325</v>
      </c>
      <c r="E103" s="410"/>
      <c r="F103" s="410"/>
      <c r="G103" s="521">
        <f t="shared" si="6"/>
        <v>3325</v>
      </c>
      <c r="H103" s="410">
        <f>562-100-40</f>
        <v>422</v>
      </c>
      <c r="I103" s="410"/>
      <c r="J103" s="522">
        <f t="shared" si="7"/>
        <v>422</v>
      </c>
      <c r="K103" s="696"/>
      <c r="L103" s="523"/>
      <c r="M103" s="505"/>
      <c r="N103" s="420"/>
    </row>
    <row r="104" spans="1:14" x14ac:dyDescent="0.25">
      <c r="A104" s="680">
        <v>91</v>
      </c>
      <c r="B104" s="389" t="s">
        <v>195</v>
      </c>
      <c r="C104" s="395" t="s">
        <v>196</v>
      </c>
      <c r="D104" s="505">
        <f>3750+107+500</f>
        <v>4357</v>
      </c>
      <c r="E104" s="410"/>
      <c r="F104" s="410"/>
      <c r="G104" s="521">
        <f t="shared" si="6"/>
        <v>4357</v>
      </c>
      <c r="H104" s="410">
        <f>625+20+40+8</f>
        <v>693</v>
      </c>
      <c r="I104" s="410"/>
      <c r="J104" s="522">
        <f t="shared" si="7"/>
        <v>693</v>
      </c>
      <c r="K104" s="696"/>
      <c r="L104" s="523"/>
      <c r="M104" s="505"/>
      <c r="N104" s="420"/>
    </row>
    <row r="105" spans="1:14" x14ac:dyDescent="0.25">
      <c r="A105" s="680">
        <v>92</v>
      </c>
      <c r="B105" s="683" t="s">
        <v>197</v>
      </c>
      <c r="C105" s="397" t="s">
        <v>198</v>
      </c>
      <c r="D105" s="505">
        <f>6125+100</f>
        <v>6225</v>
      </c>
      <c r="E105" s="410"/>
      <c r="F105" s="410"/>
      <c r="G105" s="521">
        <f t="shared" si="6"/>
        <v>6225</v>
      </c>
      <c r="H105" s="410">
        <f>1028-150+50</f>
        <v>928</v>
      </c>
      <c r="I105" s="410"/>
      <c r="J105" s="522">
        <f t="shared" si="7"/>
        <v>928</v>
      </c>
      <c r="K105" s="696"/>
      <c r="L105" s="523"/>
      <c r="M105" s="505"/>
      <c r="N105" s="420"/>
    </row>
    <row r="106" spans="1:14" x14ac:dyDescent="0.25">
      <c r="A106" s="680">
        <v>93</v>
      </c>
      <c r="B106" s="389" t="s">
        <v>199</v>
      </c>
      <c r="C106" s="395" t="s">
        <v>200</v>
      </c>
      <c r="D106" s="505">
        <f>4125+28</f>
        <v>4153</v>
      </c>
      <c r="E106" s="410"/>
      <c r="F106" s="410"/>
      <c r="G106" s="521">
        <f t="shared" si="6"/>
        <v>4153</v>
      </c>
      <c r="H106" s="410">
        <f>687-25</f>
        <v>662</v>
      </c>
      <c r="I106" s="410"/>
      <c r="J106" s="522">
        <f t="shared" si="7"/>
        <v>662</v>
      </c>
      <c r="K106" s="696"/>
      <c r="L106" s="523"/>
      <c r="M106" s="505"/>
      <c r="N106" s="420"/>
    </row>
    <row r="107" spans="1:14" x14ac:dyDescent="0.25">
      <c r="A107" s="680">
        <v>94</v>
      </c>
      <c r="B107" s="394" t="s">
        <v>201</v>
      </c>
      <c r="C107" s="395" t="s">
        <v>202</v>
      </c>
      <c r="D107" s="505">
        <v>2250</v>
      </c>
      <c r="E107" s="410"/>
      <c r="F107" s="410"/>
      <c r="G107" s="521">
        <f t="shared" si="6"/>
        <v>2250</v>
      </c>
      <c r="H107" s="410">
        <f>375+50</f>
        <v>425</v>
      </c>
      <c r="I107" s="410"/>
      <c r="J107" s="522">
        <f t="shared" si="7"/>
        <v>425</v>
      </c>
      <c r="K107" s="696"/>
      <c r="L107" s="523"/>
      <c r="M107" s="505"/>
      <c r="N107" s="420"/>
    </row>
    <row r="108" spans="1:14" x14ac:dyDescent="0.25">
      <c r="A108" s="680">
        <v>95</v>
      </c>
      <c r="B108" s="389" t="s">
        <v>203</v>
      </c>
      <c r="C108" s="390" t="s">
        <v>204</v>
      </c>
      <c r="D108" s="505">
        <f>3000-800</f>
        <v>2200</v>
      </c>
      <c r="E108" s="410"/>
      <c r="F108" s="410"/>
      <c r="G108" s="521">
        <f t="shared" si="6"/>
        <v>2200</v>
      </c>
      <c r="H108" s="410">
        <f>500-125</f>
        <v>375</v>
      </c>
      <c r="I108" s="410"/>
      <c r="J108" s="522">
        <f t="shared" si="7"/>
        <v>375</v>
      </c>
      <c r="K108" s="696"/>
      <c r="L108" s="523"/>
      <c r="M108" s="505"/>
      <c r="N108" s="420"/>
    </row>
    <row r="109" spans="1:14" x14ac:dyDescent="0.25">
      <c r="A109" s="680">
        <v>96</v>
      </c>
      <c r="B109" s="389" t="s">
        <v>205</v>
      </c>
      <c r="C109" s="397" t="s">
        <v>206</v>
      </c>
      <c r="D109" s="505">
        <f>3000+100</f>
        <v>3100</v>
      </c>
      <c r="E109" s="410"/>
      <c r="F109" s="410"/>
      <c r="G109" s="521">
        <f t="shared" si="6"/>
        <v>3100</v>
      </c>
      <c r="H109" s="410">
        <f>500+100</f>
        <v>600</v>
      </c>
      <c r="I109" s="410"/>
      <c r="J109" s="522">
        <f t="shared" si="7"/>
        <v>600</v>
      </c>
      <c r="K109" s="696"/>
      <c r="L109" s="523"/>
      <c r="M109" s="505"/>
      <c r="N109" s="420"/>
    </row>
    <row r="110" spans="1:14" x14ac:dyDescent="0.25">
      <c r="A110" s="680">
        <v>97</v>
      </c>
      <c r="B110" s="394" t="s">
        <v>207</v>
      </c>
      <c r="C110" s="395" t="s">
        <v>208</v>
      </c>
      <c r="D110" s="505">
        <f>3750+83+700</f>
        <v>4533</v>
      </c>
      <c r="E110" s="410"/>
      <c r="F110" s="410"/>
      <c r="G110" s="521">
        <f t="shared" si="6"/>
        <v>4533</v>
      </c>
      <c r="H110" s="410">
        <f>625+100+100</f>
        <v>825</v>
      </c>
      <c r="I110" s="410"/>
      <c r="J110" s="522">
        <f t="shared" si="7"/>
        <v>825</v>
      </c>
      <c r="K110" s="696"/>
      <c r="L110" s="523"/>
      <c r="M110" s="505"/>
      <c r="N110" s="420"/>
    </row>
    <row r="111" spans="1:14" x14ac:dyDescent="0.25">
      <c r="A111" s="680">
        <v>98</v>
      </c>
      <c r="B111" s="389" t="s">
        <v>209</v>
      </c>
      <c r="C111" s="390" t="s">
        <v>210</v>
      </c>
      <c r="D111" s="505">
        <f>2850+51</f>
        <v>2901</v>
      </c>
      <c r="E111" s="410"/>
      <c r="F111" s="410"/>
      <c r="G111" s="521">
        <f t="shared" si="6"/>
        <v>2901</v>
      </c>
      <c r="H111" s="410">
        <f>475+20</f>
        <v>495</v>
      </c>
      <c r="I111" s="410"/>
      <c r="J111" s="522">
        <f t="shared" si="7"/>
        <v>495</v>
      </c>
      <c r="K111" s="696"/>
      <c r="L111" s="523"/>
      <c r="M111" s="505"/>
      <c r="N111" s="420"/>
    </row>
    <row r="112" spans="1:14" x14ac:dyDescent="0.25">
      <c r="A112" s="680">
        <v>99</v>
      </c>
      <c r="B112" s="394" t="s">
        <v>211</v>
      </c>
      <c r="C112" s="395" t="s">
        <v>212</v>
      </c>
      <c r="D112" s="505">
        <v>4200</v>
      </c>
      <c r="E112" s="410"/>
      <c r="F112" s="410"/>
      <c r="G112" s="521">
        <f t="shared" si="6"/>
        <v>4200</v>
      </c>
      <c r="H112" s="410">
        <f>700+3</f>
        <v>703</v>
      </c>
      <c r="I112" s="410"/>
      <c r="J112" s="522">
        <f t="shared" si="7"/>
        <v>703</v>
      </c>
      <c r="K112" s="696"/>
      <c r="L112" s="523"/>
      <c r="M112" s="505"/>
      <c r="N112" s="420"/>
    </row>
    <row r="113" spans="1:14" x14ac:dyDescent="0.25">
      <c r="A113" s="680">
        <v>100</v>
      </c>
      <c r="B113" s="394" t="s">
        <v>213</v>
      </c>
      <c r="C113" s="395" t="s">
        <v>214</v>
      </c>
      <c r="D113" s="505">
        <v>6750</v>
      </c>
      <c r="E113" s="410"/>
      <c r="F113" s="410"/>
      <c r="G113" s="521">
        <f t="shared" si="6"/>
        <v>6750</v>
      </c>
      <c r="H113" s="410">
        <f>1125+8</f>
        <v>1133</v>
      </c>
      <c r="I113" s="410"/>
      <c r="J113" s="522">
        <f t="shared" si="7"/>
        <v>1133</v>
      </c>
      <c r="K113" s="696"/>
      <c r="L113" s="523"/>
      <c r="M113" s="505"/>
      <c r="N113" s="420"/>
    </row>
    <row r="114" spans="1:14" x14ac:dyDescent="0.25">
      <c r="A114" s="680">
        <v>101</v>
      </c>
      <c r="B114" s="389" t="s">
        <v>215</v>
      </c>
      <c r="C114" s="397" t="s">
        <v>216</v>
      </c>
      <c r="D114" s="505">
        <v>3225</v>
      </c>
      <c r="E114" s="410"/>
      <c r="F114" s="410"/>
      <c r="G114" s="521">
        <f t="shared" si="6"/>
        <v>3225</v>
      </c>
      <c r="H114" s="410">
        <f>538+20+8</f>
        <v>566</v>
      </c>
      <c r="I114" s="410"/>
      <c r="J114" s="522">
        <f t="shared" si="7"/>
        <v>566</v>
      </c>
      <c r="K114" s="696"/>
      <c r="L114" s="523"/>
      <c r="M114" s="505"/>
      <c r="N114" s="420"/>
    </row>
    <row r="115" spans="1:14" x14ac:dyDescent="0.25">
      <c r="A115" s="680">
        <v>102</v>
      </c>
      <c r="B115" s="389" t="s">
        <v>217</v>
      </c>
      <c r="C115" s="390" t="s">
        <v>218</v>
      </c>
      <c r="D115" s="505"/>
      <c r="E115" s="410"/>
      <c r="F115" s="410"/>
      <c r="G115" s="521">
        <f t="shared" si="6"/>
        <v>0</v>
      </c>
      <c r="H115" s="410"/>
      <c r="I115" s="410"/>
      <c r="J115" s="522">
        <f t="shared" si="7"/>
        <v>0</v>
      </c>
      <c r="K115" s="696"/>
      <c r="L115" s="523"/>
      <c r="M115" s="505"/>
      <c r="N115" s="420"/>
    </row>
    <row r="116" spans="1:14" x14ac:dyDescent="0.25">
      <c r="A116" s="680">
        <v>103</v>
      </c>
      <c r="B116" s="389" t="s">
        <v>219</v>
      </c>
      <c r="C116" s="390" t="s">
        <v>220</v>
      </c>
      <c r="D116" s="505"/>
      <c r="E116" s="410"/>
      <c r="F116" s="410"/>
      <c r="G116" s="521">
        <f t="shared" si="6"/>
        <v>0</v>
      </c>
      <c r="H116" s="410"/>
      <c r="I116" s="410"/>
      <c r="J116" s="522">
        <f t="shared" si="7"/>
        <v>0</v>
      </c>
      <c r="K116" s="696"/>
      <c r="L116" s="523"/>
      <c r="M116" s="505"/>
      <c r="N116" s="420"/>
    </row>
    <row r="117" spans="1:14" x14ac:dyDescent="0.25">
      <c r="A117" s="680">
        <v>104</v>
      </c>
      <c r="B117" s="389" t="s">
        <v>221</v>
      </c>
      <c r="C117" s="390" t="s">
        <v>222</v>
      </c>
      <c r="D117" s="505"/>
      <c r="E117" s="410"/>
      <c r="F117" s="410"/>
      <c r="G117" s="521">
        <f t="shared" si="6"/>
        <v>0</v>
      </c>
      <c r="H117" s="410"/>
      <c r="I117" s="410"/>
      <c r="J117" s="522">
        <f t="shared" si="7"/>
        <v>0</v>
      </c>
      <c r="K117" s="696"/>
      <c r="L117" s="523"/>
      <c r="M117" s="505"/>
      <c r="N117" s="420"/>
    </row>
    <row r="118" spans="1:14" x14ac:dyDescent="0.25">
      <c r="A118" s="680">
        <v>105</v>
      </c>
      <c r="B118" s="394" t="s">
        <v>223</v>
      </c>
      <c r="C118" s="395" t="s">
        <v>224</v>
      </c>
      <c r="D118" s="505"/>
      <c r="E118" s="410"/>
      <c r="F118" s="410"/>
      <c r="G118" s="521">
        <f t="shared" si="6"/>
        <v>0</v>
      </c>
      <c r="H118" s="410"/>
      <c r="I118" s="410"/>
      <c r="J118" s="522">
        <f t="shared" si="7"/>
        <v>0</v>
      </c>
      <c r="K118" s="696"/>
      <c r="L118" s="523"/>
      <c r="M118" s="505"/>
      <c r="N118" s="420"/>
    </row>
    <row r="119" spans="1:14" x14ac:dyDescent="0.25">
      <c r="A119" s="680">
        <v>106</v>
      </c>
      <c r="B119" s="683" t="s">
        <v>225</v>
      </c>
      <c r="C119" s="397" t="s">
        <v>226</v>
      </c>
      <c r="D119" s="505"/>
      <c r="E119" s="410"/>
      <c r="F119" s="410"/>
      <c r="G119" s="521">
        <f t="shared" si="6"/>
        <v>0</v>
      </c>
      <c r="H119" s="410"/>
      <c r="I119" s="410"/>
      <c r="J119" s="522">
        <f t="shared" si="7"/>
        <v>0</v>
      </c>
      <c r="K119" s="696"/>
      <c r="L119" s="523"/>
      <c r="M119" s="505"/>
      <c r="N119" s="420"/>
    </row>
    <row r="120" spans="1:14" ht="25.5" x14ac:dyDescent="0.25">
      <c r="A120" s="680">
        <v>107</v>
      </c>
      <c r="B120" s="389" t="s">
        <v>227</v>
      </c>
      <c r="C120" s="390" t="s">
        <v>228</v>
      </c>
      <c r="D120" s="505"/>
      <c r="E120" s="410"/>
      <c r="F120" s="410"/>
      <c r="G120" s="521">
        <f t="shared" si="6"/>
        <v>0</v>
      </c>
      <c r="H120" s="410"/>
      <c r="I120" s="410"/>
      <c r="J120" s="522">
        <f t="shared" si="7"/>
        <v>0</v>
      </c>
      <c r="K120" s="696"/>
      <c r="L120" s="523"/>
      <c r="M120" s="505"/>
      <c r="N120" s="420"/>
    </row>
    <row r="121" spans="1:14" x14ac:dyDescent="0.25">
      <c r="A121" s="680">
        <v>108</v>
      </c>
      <c r="B121" s="389" t="s">
        <v>229</v>
      </c>
      <c r="C121" s="390" t="s">
        <v>230</v>
      </c>
      <c r="D121" s="505"/>
      <c r="E121" s="410"/>
      <c r="F121" s="410"/>
      <c r="G121" s="521">
        <f t="shared" si="6"/>
        <v>0</v>
      </c>
      <c r="H121" s="410"/>
      <c r="I121" s="410"/>
      <c r="J121" s="522">
        <f t="shared" si="7"/>
        <v>0</v>
      </c>
      <c r="K121" s="696"/>
      <c r="L121" s="523"/>
      <c r="M121" s="505"/>
      <c r="N121" s="420"/>
    </row>
    <row r="122" spans="1:14" x14ac:dyDescent="0.25">
      <c r="A122" s="680">
        <v>109</v>
      </c>
      <c r="B122" s="394" t="s">
        <v>231</v>
      </c>
      <c r="C122" s="395" t="s">
        <v>232</v>
      </c>
      <c r="D122" s="505"/>
      <c r="E122" s="410"/>
      <c r="F122" s="410"/>
      <c r="G122" s="521">
        <f t="shared" si="6"/>
        <v>0</v>
      </c>
      <c r="H122" s="410"/>
      <c r="I122" s="410"/>
      <c r="J122" s="522">
        <f t="shared" si="7"/>
        <v>0</v>
      </c>
      <c r="K122" s="696"/>
      <c r="L122" s="523"/>
      <c r="M122" s="505"/>
      <c r="N122" s="420"/>
    </row>
    <row r="123" spans="1:14" x14ac:dyDescent="0.25">
      <c r="A123" s="680">
        <v>110</v>
      </c>
      <c r="B123" s="394" t="s">
        <v>233</v>
      </c>
      <c r="C123" s="395" t="s">
        <v>234</v>
      </c>
      <c r="D123" s="505"/>
      <c r="E123" s="410"/>
      <c r="F123" s="410"/>
      <c r="G123" s="521">
        <f t="shared" si="6"/>
        <v>0</v>
      </c>
      <c r="H123" s="410"/>
      <c r="I123" s="410"/>
      <c r="J123" s="522">
        <f t="shared" si="7"/>
        <v>0</v>
      </c>
      <c r="K123" s="696"/>
      <c r="L123" s="523"/>
      <c r="M123" s="505"/>
      <c r="N123" s="420"/>
    </row>
    <row r="124" spans="1:14" x14ac:dyDescent="0.25">
      <c r="A124" s="680">
        <v>111</v>
      </c>
      <c r="B124" s="409" t="s">
        <v>235</v>
      </c>
      <c r="C124" s="390" t="s">
        <v>236</v>
      </c>
      <c r="D124" s="505"/>
      <c r="E124" s="410"/>
      <c r="F124" s="410"/>
      <c r="G124" s="521">
        <f t="shared" si="6"/>
        <v>0</v>
      </c>
      <c r="H124" s="410"/>
      <c r="I124" s="410"/>
      <c r="J124" s="522">
        <f t="shared" si="7"/>
        <v>0</v>
      </c>
      <c r="K124" s="696"/>
      <c r="L124" s="523"/>
      <c r="M124" s="505"/>
      <c r="N124" s="420"/>
    </row>
    <row r="125" spans="1:14" x14ac:dyDescent="0.25">
      <c r="A125" s="680">
        <v>112</v>
      </c>
      <c r="B125" s="389" t="s">
        <v>237</v>
      </c>
      <c r="C125" s="390" t="s">
        <v>238</v>
      </c>
      <c r="D125" s="505"/>
      <c r="E125" s="410"/>
      <c r="F125" s="410"/>
      <c r="G125" s="521">
        <f t="shared" si="6"/>
        <v>0</v>
      </c>
      <c r="H125" s="410"/>
      <c r="I125" s="410"/>
      <c r="J125" s="522">
        <f t="shared" si="7"/>
        <v>0</v>
      </c>
      <c r="K125" s="696"/>
      <c r="L125" s="523"/>
      <c r="M125" s="505"/>
      <c r="N125" s="420"/>
    </row>
    <row r="126" spans="1:14" x14ac:dyDescent="0.25">
      <c r="A126" s="680">
        <v>113</v>
      </c>
      <c r="B126" s="389" t="s">
        <v>239</v>
      </c>
      <c r="C126" s="395" t="s">
        <v>240</v>
      </c>
      <c r="D126" s="505"/>
      <c r="E126" s="410"/>
      <c r="F126" s="410"/>
      <c r="G126" s="521">
        <f t="shared" si="6"/>
        <v>0</v>
      </c>
      <c r="H126" s="410"/>
      <c r="I126" s="410"/>
      <c r="J126" s="522">
        <f t="shared" si="7"/>
        <v>0</v>
      </c>
      <c r="K126" s="696"/>
      <c r="L126" s="523"/>
      <c r="M126" s="505"/>
      <c r="N126" s="420"/>
    </row>
    <row r="127" spans="1:14" x14ac:dyDescent="0.25">
      <c r="A127" s="680">
        <v>114</v>
      </c>
      <c r="B127" s="389" t="s">
        <v>241</v>
      </c>
      <c r="C127" s="390" t="s">
        <v>242</v>
      </c>
      <c r="D127" s="505"/>
      <c r="E127" s="410"/>
      <c r="F127" s="410"/>
      <c r="G127" s="521">
        <f t="shared" si="6"/>
        <v>0</v>
      </c>
      <c r="H127" s="410"/>
      <c r="I127" s="410"/>
      <c r="J127" s="522">
        <f t="shared" si="7"/>
        <v>0</v>
      </c>
      <c r="K127" s="696"/>
      <c r="L127" s="523"/>
      <c r="M127" s="505"/>
      <c r="N127" s="420"/>
    </row>
    <row r="128" spans="1:14" x14ac:dyDescent="0.25">
      <c r="A128" s="680">
        <v>115</v>
      </c>
      <c r="B128" s="681" t="s">
        <v>243</v>
      </c>
      <c r="C128" s="405" t="s">
        <v>385</v>
      </c>
      <c r="D128" s="505"/>
      <c r="E128" s="410"/>
      <c r="F128" s="410"/>
      <c r="G128" s="521">
        <f t="shared" si="6"/>
        <v>0</v>
      </c>
      <c r="H128" s="410"/>
      <c r="I128" s="410"/>
      <c r="J128" s="522">
        <f t="shared" si="7"/>
        <v>0</v>
      </c>
      <c r="K128" s="696"/>
      <c r="L128" s="523"/>
      <c r="M128" s="505"/>
      <c r="N128" s="420"/>
    </row>
    <row r="129" spans="1:14" x14ac:dyDescent="0.25">
      <c r="A129" s="680">
        <v>116</v>
      </c>
      <c r="B129" s="394" t="s">
        <v>244</v>
      </c>
      <c r="C129" s="395" t="s">
        <v>644</v>
      </c>
      <c r="D129" s="505"/>
      <c r="E129" s="410"/>
      <c r="F129" s="410"/>
      <c r="G129" s="521">
        <f t="shared" si="6"/>
        <v>0</v>
      </c>
      <c r="H129" s="410"/>
      <c r="I129" s="410"/>
      <c r="J129" s="522">
        <f t="shared" si="7"/>
        <v>0</v>
      </c>
      <c r="K129" s="696"/>
      <c r="L129" s="523"/>
      <c r="M129" s="505"/>
      <c r="N129" s="420"/>
    </row>
    <row r="130" spans="1:14" x14ac:dyDescent="0.25">
      <c r="A130" s="680">
        <v>117</v>
      </c>
      <c r="B130" s="394" t="s">
        <v>246</v>
      </c>
      <c r="C130" s="395" t="s">
        <v>247</v>
      </c>
      <c r="D130" s="505"/>
      <c r="E130" s="410"/>
      <c r="F130" s="410"/>
      <c r="G130" s="521">
        <f t="shared" si="6"/>
        <v>0</v>
      </c>
      <c r="H130" s="410"/>
      <c r="I130" s="410"/>
      <c r="J130" s="522">
        <f t="shared" si="7"/>
        <v>0</v>
      </c>
      <c r="K130" s="696"/>
      <c r="L130" s="523"/>
      <c r="M130" s="505"/>
      <c r="N130" s="420"/>
    </row>
    <row r="131" spans="1:14" x14ac:dyDescent="0.25">
      <c r="A131" s="680">
        <v>118</v>
      </c>
      <c r="B131" s="394" t="s">
        <v>248</v>
      </c>
      <c r="C131" s="395" t="s">
        <v>249</v>
      </c>
      <c r="D131" s="505"/>
      <c r="E131" s="410"/>
      <c r="F131" s="410"/>
      <c r="G131" s="521">
        <f t="shared" si="6"/>
        <v>0</v>
      </c>
      <c r="H131" s="410"/>
      <c r="I131" s="410"/>
      <c r="J131" s="522">
        <f t="shared" si="7"/>
        <v>0</v>
      </c>
      <c r="K131" s="696"/>
      <c r="L131" s="523"/>
      <c r="M131" s="505"/>
      <c r="N131" s="420"/>
    </row>
    <row r="132" spans="1:14" x14ac:dyDescent="0.25">
      <c r="A132" s="680">
        <v>119</v>
      </c>
      <c r="B132" s="394" t="s">
        <v>250</v>
      </c>
      <c r="C132" s="395" t="s">
        <v>251</v>
      </c>
      <c r="D132" s="505"/>
      <c r="E132" s="410"/>
      <c r="F132" s="410"/>
      <c r="G132" s="521">
        <f t="shared" si="6"/>
        <v>0</v>
      </c>
      <c r="H132" s="410"/>
      <c r="I132" s="410"/>
      <c r="J132" s="522">
        <f t="shared" si="7"/>
        <v>0</v>
      </c>
      <c r="K132" s="696"/>
      <c r="L132" s="523"/>
      <c r="M132" s="505"/>
      <c r="N132" s="420"/>
    </row>
    <row r="133" spans="1:14" x14ac:dyDescent="0.25">
      <c r="A133" s="680">
        <v>120</v>
      </c>
      <c r="B133" s="410" t="s">
        <v>252</v>
      </c>
      <c r="C133" s="411" t="s">
        <v>253</v>
      </c>
      <c r="D133" s="505"/>
      <c r="E133" s="410"/>
      <c r="F133" s="410"/>
      <c r="G133" s="521">
        <f t="shared" si="6"/>
        <v>0</v>
      </c>
      <c r="H133" s="410"/>
      <c r="I133" s="410"/>
      <c r="J133" s="522">
        <f t="shared" si="7"/>
        <v>0</v>
      </c>
      <c r="K133" s="696"/>
      <c r="L133" s="523"/>
      <c r="M133" s="505"/>
      <c r="N133" s="420"/>
    </row>
    <row r="134" spans="1:14" x14ac:dyDescent="0.25">
      <c r="A134" s="680">
        <v>121</v>
      </c>
      <c r="B134" s="389" t="s">
        <v>254</v>
      </c>
      <c r="C134" s="390" t="s">
        <v>255</v>
      </c>
      <c r="D134" s="505"/>
      <c r="E134" s="410"/>
      <c r="F134" s="410"/>
      <c r="G134" s="521">
        <f t="shared" si="6"/>
        <v>0</v>
      </c>
      <c r="H134" s="410"/>
      <c r="I134" s="410"/>
      <c r="J134" s="522">
        <f t="shared" si="7"/>
        <v>0</v>
      </c>
      <c r="K134" s="696"/>
      <c r="L134" s="523"/>
      <c r="M134" s="505"/>
      <c r="N134" s="420"/>
    </row>
    <row r="135" spans="1:14" x14ac:dyDescent="0.25">
      <c r="A135" s="680">
        <v>122</v>
      </c>
      <c r="B135" s="394" t="s">
        <v>256</v>
      </c>
      <c r="C135" s="395" t="s">
        <v>257</v>
      </c>
      <c r="D135" s="505"/>
      <c r="E135" s="410"/>
      <c r="F135" s="410"/>
      <c r="G135" s="521">
        <f t="shared" si="6"/>
        <v>0</v>
      </c>
      <c r="H135" s="410"/>
      <c r="I135" s="410"/>
      <c r="J135" s="522">
        <f t="shared" si="7"/>
        <v>0</v>
      </c>
      <c r="K135" s="696"/>
      <c r="L135" s="523"/>
      <c r="M135" s="505"/>
      <c r="N135" s="420"/>
    </row>
    <row r="136" spans="1:14" x14ac:dyDescent="0.25">
      <c r="A136" s="680">
        <v>123</v>
      </c>
      <c r="B136" s="389" t="s">
        <v>258</v>
      </c>
      <c r="C136" s="395" t="s">
        <v>259</v>
      </c>
      <c r="D136" s="505"/>
      <c r="E136" s="410"/>
      <c r="F136" s="410"/>
      <c r="G136" s="521">
        <f t="shared" si="6"/>
        <v>0</v>
      </c>
      <c r="H136" s="410"/>
      <c r="I136" s="410"/>
      <c r="J136" s="522">
        <f t="shared" si="7"/>
        <v>0</v>
      </c>
      <c r="K136" s="696"/>
      <c r="L136" s="523"/>
      <c r="M136" s="505"/>
      <c r="N136" s="420"/>
    </row>
    <row r="137" spans="1:14" x14ac:dyDescent="0.25">
      <c r="A137" s="680">
        <v>124</v>
      </c>
      <c r="B137" s="394" t="s">
        <v>260</v>
      </c>
      <c r="C137" s="395" t="s">
        <v>261</v>
      </c>
      <c r="D137" s="505"/>
      <c r="E137" s="410"/>
      <c r="F137" s="410"/>
      <c r="G137" s="521">
        <f t="shared" si="6"/>
        <v>0</v>
      </c>
      <c r="H137" s="410"/>
      <c r="I137" s="410"/>
      <c r="J137" s="522">
        <f t="shared" si="7"/>
        <v>0</v>
      </c>
      <c r="K137" s="696"/>
      <c r="L137" s="523"/>
      <c r="M137" s="505"/>
      <c r="N137" s="420"/>
    </row>
    <row r="138" spans="1:14" x14ac:dyDescent="0.25">
      <c r="A138" s="680">
        <v>125</v>
      </c>
      <c r="B138" s="394" t="s">
        <v>262</v>
      </c>
      <c r="C138" s="395" t="s">
        <v>263</v>
      </c>
      <c r="D138" s="505"/>
      <c r="E138" s="410"/>
      <c r="F138" s="410"/>
      <c r="G138" s="521">
        <f t="shared" si="6"/>
        <v>0</v>
      </c>
      <c r="H138" s="410"/>
      <c r="I138" s="410"/>
      <c r="J138" s="522">
        <f t="shared" si="7"/>
        <v>0</v>
      </c>
      <c r="K138" s="696"/>
      <c r="L138" s="523"/>
      <c r="M138" s="505"/>
      <c r="N138" s="420"/>
    </row>
    <row r="139" spans="1:14" x14ac:dyDescent="0.25">
      <c r="A139" s="680">
        <v>126</v>
      </c>
      <c r="B139" s="389" t="s">
        <v>264</v>
      </c>
      <c r="C139" s="395" t="s">
        <v>265</v>
      </c>
      <c r="D139" s="505"/>
      <c r="E139" s="410"/>
      <c r="F139" s="410"/>
      <c r="G139" s="521">
        <f t="shared" si="6"/>
        <v>0</v>
      </c>
      <c r="H139" s="410"/>
      <c r="I139" s="410"/>
      <c r="J139" s="522">
        <f t="shared" si="7"/>
        <v>0</v>
      </c>
      <c r="K139" s="696"/>
      <c r="L139" s="523"/>
      <c r="M139" s="505"/>
      <c r="N139" s="420"/>
    </row>
    <row r="140" spans="1:14" x14ac:dyDescent="0.25">
      <c r="A140" s="680">
        <v>127</v>
      </c>
      <c r="B140" s="394" t="s">
        <v>266</v>
      </c>
      <c r="C140" s="395" t="s">
        <v>267</v>
      </c>
      <c r="D140" s="505"/>
      <c r="E140" s="410"/>
      <c r="F140" s="410"/>
      <c r="G140" s="521">
        <f t="shared" ref="G140:G155" si="8">SUM(D140:F140)</f>
        <v>0</v>
      </c>
      <c r="H140" s="410"/>
      <c r="I140" s="410"/>
      <c r="J140" s="522">
        <f t="shared" ref="J140:J155" si="9">SUM(H140:I140)</f>
        <v>0</v>
      </c>
      <c r="K140" s="696"/>
      <c r="L140" s="523"/>
      <c r="M140" s="505"/>
      <c r="N140" s="420"/>
    </row>
    <row r="141" spans="1:14" x14ac:dyDescent="0.25">
      <c r="A141" s="680">
        <v>128</v>
      </c>
      <c r="B141" s="389" t="s">
        <v>268</v>
      </c>
      <c r="C141" s="390" t="s">
        <v>269</v>
      </c>
      <c r="D141" s="505"/>
      <c r="E141" s="410"/>
      <c r="F141" s="410"/>
      <c r="G141" s="521">
        <f t="shared" si="8"/>
        <v>0</v>
      </c>
      <c r="H141" s="410"/>
      <c r="I141" s="410"/>
      <c r="J141" s="522">
        <f t="shared" si="9"/>
        <v>0</v>
      </c>
      <c r="K141" s="696"/>
      <c r="L141" s="523"/>
      <c r="M141" s="505"/>
      <c r="N141" s="420"/>
    </row>
    <row r="142" spans="1:14" x14ac:dyDescent="0.25">
      <c r="A142" s="680">
        <v>129</v>
      </c>
      <c r="B142" s="389" t="s">
        <v>270</v>
      </c>
      <c r="C142" s="390" t="s">
        <v>271</v>
      </c>
      <c r="D142" s="505"/>
      <c r="E142" s="410"/>
      <c r="F142" s="410"/>
      <c r="G142" s="521">
        <f t="shared" si="8"/>
        <v>0</v>
      </c>
      <c r="H142" s="410"/>
      <c r="I142" s="410"/>
      <c r="J142" s="522">
        <f t="shared" si="9"/>
        <v>0</v>
      </c>
      <c r="K142" s="696"/>
      <c r="L142" s="523"/>
      <c r="M142" s="505"/>
      <c r="N142" s="420"/>
    </row>
    <row r="143" spans="1:14" x14ac:dyDescent="0.25">
      <c r="A143" s="680">
        <v>130</v>
      </c>
      <c r="B143" s="394" t="s">
        <v>272</v>
      </c>
      <c r="C143" s="395" t="s">
        <v>273</v>
      </c>
      <c r="D143" s="505"/>
      <c r="E143" s="410"/>
      <c r="F143" s="410"/>
      <c r="G143" s="521">
        <f t="shared" si="8"/>
        <v>0</v>
      </c>
      <c r="H143" s="410"/>
      <c r="I143" s="410"/>
      <c r="J143" s="522">
        <f t="shared" si="9"/>
        <v>0</v>
      </c>
      <c r="K143" s="696"/>
      <c r="L143" s="523"/>
      <c r="M143" s="505"/>
      <c r="N143" s="420"/>
    </row>
    <row r="144" spans="1:14" x14ac:dyDescent="0.25">
      <c r="A144" s="680">
        <v>131</v>
      </c>
      <c r="B144" s="394" t="s">
        <v>274</v>
      </c>
      <c r="C144" s="395" t="s">
        <v>275</v>
      </c>
      <c r="D144" s="505"/>
      <c r="E144" s="410"/>
      <c r="F144" s="410"/>
      <c r="G144" s="521">
        <f t="shared" si="8"/>
        <v>0</v>
      </c>
      <c r="H144" s="410"/>
      <c r="I144" s="410"/>
      <c r="J144" s="522">
        <f t="shared" si="9"/>
        <v>0</v>
      </c>
      <c r="K144" s="696"/>
      <c r="L144" s="523"/>
      <c r="M144" s="505"/>
      <c r="N144" s="420"/>
    </row>
    <row r="145" spans="1:14" x14ac:dyDescent="0.25">
      <c r="A145" s="680">
        <v>132</v>
      </c>
      <c r="B145" s="394" t="s">
        <v>276</v>
      </c>
      <c r="C145" s="395" t="s">
        <v>277</v>
      </c>
      <c r="D145" s="505"/>
      <c r="E145" s="410"/>
      <c r="F145" s="410"/>
      <c r="G145" s="521">
        <f t="shared" si="8"/>
        <v>0</v>
      </c>
      <c r="H145" s="410"/>
      <c r="I145" s="410"/>
      <c r="J145" s="522">
        <f t="shared" si="9"/>
        <v>0</v>
      </c>
      <c r="K145" s="696"/>
      <c r="L145" s="523"/>
      <c r="M145" s="505"/>
      <c r="N145" s="420"/>
    </row>
    <row r="146" spans="1:14" x14ac:dyDescent="0.25">
      <c r="A146" s="680">
        <v>133</v>
      </c>
      <c r="B146" s="394" t="s">
        <v>278</v>
      </c>
      <c r="C146" s="395" t="s">
        <v>279</v>
      </c>
      <c r="D146" s="505">
        <v>6750</v>
      </c>
      <c r="E146" s="410"/>
      <c r="F146" s="410"/>
      <c r="G146" s="521">
        <f t="shared" si="8"/>
        <v>6750</v>
      </c>
      <c r="H146" s="410">
        <f>1125+40</f>
        <v>1165</v>
      </c>
      <c r="I146" s="410"/>
      <c r="J146" s="522">
        <f t="shared" si="9"/>
        <v>1165</v>
      </c>
      <c r="K146" s="696"/>
      <c r="L146" s="523"/>
      <c r="M146" s="505"/>
      <c r="N146" s="420"/>
    </row>
    <row r="147" spans="1:14" x14ac:dyDescent="0.25">
      <c r="A147" s="680">
        <v>134</v>
      </c>
      <c r="B147" s="394" t="s">
        <v>280</v>
      </c>
      <c r="C147" s="395" t="s">
        <v>281</v>
      </c>
      <c r="D147" s="505"/>
      <c r="E147" s="410"/>
      <c r="F147" s="410"/>
      <c r="G147" s="521">
        <f t="shared" si="8"/>
        <v>0</v>
      </c>
      <c r="H147" s="410"/>
      <c r="I147" s="410"/>
      <c r="J147" s="522">
        <f t="shared" si="9"/>
        <v>0</v>
      </c>
      <c r="K147" s="696"/>
      <c r="L147" s="523"/>
      <c r="M147" s="505"/>
      <c r="N147" s="420"/>
    </row>
    <row r="148" spans="1:14" x14ac:dyDescent="0.25">
      <c r="A148" s="680">
        <v>135</v>
      </c>
      <c r="B148" s="389" t="s">
        <v>282</v>
      </c>
      <c r="C148" s="390" t="s">
        <v>283</v>
      </c>
      <c r="D148" s="505"/>
      <c r="E148" s="410"/>
      <c r="F148" s="410"/>
      <c r="G148" s="521">
        <f t="shared" si="8"/>
        <v>0</v>
      </c>
      <c r="H148" s="410"/>
      <c r="I148" s="410"/>
      <c r="J148" s="522">
        <f t="shared" si="9"/>
        <v>0</v>
      </c>
      <c r="K148" s="696"/>
      <c r="L148" s="523"/>
      <c r="M148" s="505"/>
      <c r="N148" s="420"/>
    </row>
    <row r="149" spans="1:14" x14ac:dyDescent="0.25">
      <c r="A149" s="680">
        <v>136</v>
      </c>
      <c r="B149" s="394" t="s">
        <v>284</v>
      </c>
      <c r="C149" s="395" t="s">
        <v>285</v>
      </c>
      <c r="D149" s="505"/>
      <c r="E149" s="410"/>
      <c r="F149" s="410"/>
      <c r="G149" s="521">
        <f t="shared" si="8"/>
        <v>0</v>
      </c>
      <c r="H149" s="410"/>
      <c r="I149" s="410"/>
      <c r="J149" s="522">
        <f t="shared" si="9"/>
        <v>0</v>
      </c>
      <c r="K149" s="696"/>
      <c r="L149" s="523"/>
      <c r="M149" s="505"/>
      <c r="N149" s="420"/>
    </row>
    <row r="150" spans="1:14" x14ac:dyDescent="0.25">
      <c r="A150" s="680">
        <v>137</v>
      </c>
      <c r="B150" s="412" t="s">
        <v>387</v>
      </c>
      <c r="C150" s="588" t="s">
        <v>388</v>
      </c>
      <c r="D150" s="505"/>
      <c r="E150" s="410"/>
      <c r="F150" s="410"/>
      <c r="G150" s="521">
        <f t="shared" si="8"/>
        <v>0</v>
      </c>
      <c r="H150" s="410"/>
      <c r="I150" s="410"/>
      <c r="J150" s="522">
        <f t="shared" si="9"/>
        <v>0</v>
      </c>
      <c r="K150" s="696"/>
      <c r="L150" s="523"/>
      <c r="M150" s="505"/>
      <c r="N150" s="420"/>
    </row>
    <row r="151" spans="1:14" x14ac:dyDescent="0.25">
      <c r="A151" s="680">
        <v>138</v>
      </c>
      <c r="B151" s="413" t="s">
        <v>389</v>
      </c>
      <c r="C151" s="593" t="s">
        <v>390</v>
      </c>
      <c r="D151" s="505"/>
      <c r="E151" s="410"/>
      <c r="F151" s="410"/>
      <c r="G151" s="521">
        <f t="shared" si="8"/>
        <v>0</v>
      </c>
      <c r="H151" s="410"/>
      <c r="I151" s="410"/>
      <c r="J151" s="525">
        <f t="shared" si="9"/>
        <v>0</v>
      </c>
      <c r="K151" s="505"/>
      <c r="L151" s="420"/>
      <c r="M151" s="696"/>
      <c r="N151" s="420"/>
    </row>
    <row r="152" spans="1:14" x14ac:dyDescent="0.25">
      <c r="A152" s="680">
        <v>139</v>
      </c>
      <c r="B152" s="412" t="s">
        <v>391</v>
      </c>
      <c r="C152" s="588" t="s">
        <v>392</v>
      </c>
      <c r="D152" s="597"/>
      <c r="E152" s="410">
        <v>419945</v>
      </c>
      <c r="F152" s="410">
        <v>99924</v>
      </c>
      <c r="G152" s="521">
        <f t="shared" si="8"/>
        <v>519869</v>
      </c>
      <c r="H152" s="598"/>
      <c r="I152" s="410">
        <v>151965</v>
      </c>
      <c r="J152" s="525">
        <f t="shared" si="9"/>
        <v>151965</v>
      </c>
      <c r="K152" s="505">
        <v>6603</v>
      </c>
      <c r="L152" s="420">
        <v>526080</v>
      </c>
      <c r="M152" s="696">
        <v>799</v>
      </c>
      <c r="N152" s="420">
        <v>41540</v>
      </c>
    </row>
    <row r="153" spans="1:14" x14ac:dyDescent="0.25">
      <c r="A153" s="680">
        <v>140</v>
      </c>
      <c r="B153" s="679" t="s">
        <v>393</v>
      </c>
      <c r="C153" s="599" t="s">
        <v>394</v>
      </c>
      <c r="D153" s="696"/>
      <c r="E153" s="410"/>
      <c r="F153" s="410"/>
      <c r="G153" s="521">
        <f t="shared" si="8"/>
        <v>0</v>
      </c>
      <c r="H153" s="410"/>
      <c r="I153" s="410"/>
      <c r="J153" s="525">
        <f t="shared" si="9"/>
        <v>0</v>
      </c>
      <c r="K153" s="505"/>
      <c r="L153" s="420"/>
      <c r="M153" s="696"/>
      <c r="N153" s="420"/>
    </row>
    <row r="154" spans="1:14" x14ac:dyDescent="0.25">
      <c r="A154" s="227">
        <v>141</v>
      </c>
      <c r="B154" s="600" t="s">
        <v>791</v>
      </c>
      <c r="C154" s="601" t="s">
        <v>790</v>
      </c>
      <c r="D154" s="696"/>
      <c r="E154" s="410"/>
      <c r="F154" s="410"/>
      <c r="G154" s="521">
        <f t="shared" si="8"/>
        <v>0</v>
      </c>
      <c r="H154" s="410"/>
      <c r="I154" s="410"/>
      <c r="J154" s="525">
        <f t="shared" si="9"/>
        <v>0</v>
      </c>
      <c r="K154" s="505"/>
      <c r="L154" s="420"/>
      <c r="M154" s="696"/>
      <c r="N154" s="420"/>
    </row>
    <row r="155" spans="1:14" ht="13.5" thickBot="1" x14ac:dyDescent="0.3">
      <c r="A155" s="340">
        <v>142</v>
      </c>
      <c r="B155" s="602" t="s">
        <v>800</v>
      </c>
      <c r="C155" s="603" t="s">
        <v>801</v>
      </c>
      <c r="D155" s="514"/>
      <c r="E155" s="512"/>
      <c r="F155" s="512"/>
      <c r="G155" s="531">
        <f t="shared" si="8"/>
        <v>0</v>
      </c>
      <c r="H155" s="512"/>
      <c r="I155" s="512"/>
      <c r="J155" s="604">
        <f t="shared" si="9"/>
        <v>0</v>
      </c>
      <c r="K155" s="511"/>
      <c r="L155" s="513"/>
      <c r="M155" s="514"/>
      <c r="N155" s="513"/>
    </row>
    <row r="156" spans="1:14" x14ac:dyDescent="0.25">
      <c r="G156" s="508"/>
    </row>
    <row r="157" spans="1:14" x14ac:dyDescent="0.25">
      <c r="G157" s="508"/>
    </row>
  </sheetData>
  <mergeCells count="15">
    <mergeCell ref="A1:N1"/>
    <mergeCell ref="A3:A5"/>
    <mergeCell ref="B3:B5"/>
    <mergeCell ref="C3:C5"/>
    <mergeCell ref="K3:L4"/>
    <mergeCell ref="M3:N4"/>
    <mergeCell ref="D4:G4"/>
    <mergeCell ref="H4:J4"/>
    <mergeCell ref="D3:J3"/>
    <mergeCell ref="A7:C7"/>
    <mergeCell ref="A8:C8"/>
    <mergeCell ref="A9:C9"/>
    <mergeCell ref="A10:C10"/>
    <mergeCell ref="A93:A96"/>
    <mergeCell ref="B93:B9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  <pageSetUpPr fitToPage="1"/>
  </sheetPr>
  <dimension ref="A1:L70"/>
  <sheetViews>
    <sheetView zoomScaleNormal="100" workbookViewId="0">
      <pane xSplit="3" ySplit="7" topLeftCell="J8" activePane="bottomRight" state="frozen"/>
      <selection activeCell="M26" sqref="M26"/>
      <selection pane="topRight" activeCell="M26" sqref="M26"/>
      <selection pane="bottomLeft" activeCell="M26" sqref="M26"/>
      <selection pane="bottomRight" activeCell="O49" sqref="O49"/>
    </sheetView>
  </sheetViews>
  <sheetFormatPr defaultRowHeight="12.75" x14ac:dyDescent="0.25"/>
  <cols>
    <col min="1" max="1" width="6.140625" style="857" customWidth="1"/>
    <col min="2" max="2" width="10.5703125" style="858" customWidth="1"/>
    <col min="3" max="3" width="30.85546875" style="856" customWidth="1"/>
    <col min="4" max="4" width="10.7109375" style="856" customWidth="1"/>
    <col min="5" max="5" width="10.5703125" style="859" customWidth="1"/>
    <col min="6" max="6" width="11" style="859" customWidth="1"/>
    <col min="7" max="7" width="11.7109375" style="859" customWidth="1"/>
    <col min="8" max="8" width="10.85546875" style="859" customWidth="1"/>
    <col min="9" max="9" width="10.42578125" style="859" customWidth="1"/>
    <col min="10" max="10" width="9" style="859" customWidth="1"/>
    <col min="11" max="11" width="10.42578125" style="859" customWidth="1"/>
    <col min="12" max="12" width="13.85546875" style="859" customWidth="1"/>
    <col min="13" max="13" width="11.85546875" style="856" customWidth="1"/>
    <col min="14" max="16384" width="9.140625" style="856"/>
  </cols>
  <sheetData>
    <row r="1" spans="1:12" ht="22.5" customHeight="1" x14ac:dyDescent="0.25">
      <c r="A1" s="1350" t="s">
        <v>646</v>
      </c>
      <c r="B1" s="1350"/>
      <c r="C1" s="1350"/>
      <c r="D1" s="1350"/>
      <c r="E1" s="1350"/>
      <c r="F1" s="1350"/>
      <c r="G1" s="1350"/>
      <c r="H1" s="1350"/>
      <c r="I1" s="1350"/>
      <c r="J1" s="1350"/>
      <c r="K1" s="1350"/>
      <c r="L1" s="1350"/>
    </row>
    <row r="2" spans="1:12" ht="13.5" thickBot="1" x14ac:dyDescent="0.3"/>
    <row r="3" spans="1:12" ht="15.75" customHeight="1" x14ac:dyDescent="0.25">
      <c r="A3" s="1351" t="s">
        <v>0</v>
      </c>
      <c r="B3" s="1352" t="s">
        <v>302</v>
      </c>
      <c r="C3" s="1354" t="s">
        <v>292</v>
      </c>
      <c r="D3" s="860"/>
      <c r="E3" s="861" t="s">
        <v>647</v>
      </c>
      <c r="F3" s="862"/>
      <c r="G3" s="862"/>
      <c r="H3" s="863"/>
      <c r="I3" s="860"/>
      <c r="J3" s="864" t="s">
        <v>648</v>
      </c>
      <c r="K3" s="865"/>
      <c r="L3" s="866"/>
    </row>
    <row r="4" spans="1:12" ht="28.5" customHeight="1" x14ac:dyDescent="0.25">
      <c r="A4" s="1351"/>
      <c r="B4" s="1353"/>
      <c r="C4" s="1354"/>
      <c r="D4" s="867" t="s">
        <v>649</v>
      </c>
      <c r="E4" s="868" t="s">
        <v>650</v>
      </c>
      <c r="F4" s="868" t="s">
        <v>651</v>
      </c>
      <c r="G4" s="869" t="s">
        <v>652</v>
      </c>
      <c r="H4" s="870" t="s">
        <v>6</v>
      </c>
      <c r="I4" s="871" t="s">
        <v>650</v>
      </c>
      <c r="J4" s="868" t="s">
        <v>651</v>
      </c>
      <c r="K4" s="869" t="s">
        <v>652</v>
      </c>
      <c r="L4" s="870" t="s">
        <v>6</v>
      </c>
    </row>
    <row r="5" spans="1:12" ht="12.75" customHeight="1" x14ac:dyDescent="0.25">
      <c r="A5" s="872"/>
      <c r="B5" s="873"/>
      <c r="C5" s="874" t="s">
        <v>6</v>
      </c>
      <c r="D5" s="875">
        <f>D6+D7</f>
        <v>12653</v>
      </c>
      <c r="E5" s="876">
        <f t="shared" ref="E5:K5" si="0">E6+E7</f>
        <v>172160</v>
      </c>
      <c r="F5" s="876">
        <f t="shared" si="0"/>
        <v>3667</v>
      </c>
      <c r="G5" s="877">
        <f t="shared" si="0"/>
        <v>34418</v>
      </c>
      <c r="H5" s="878">
        <f t="shared" si="0"/>
        <v>222898</v>
      </c>
      <c r="I5" s="879">
        <f t="shared" si="0"/>
        <v>77334</v>
      </c>
      <c r="J5" s="876">
        <f t="shared" si="0"/>
        <v>3172</v>
      </c>
      <c r="K5" s="877">
        <f t="shared" si="0"/>
        <v>5466</v>
      </c>
      <c r="L5" s="878">
        <f>L6+L7</f>
        <v>85972</v>
      </c>
    </row>
    <row r="6" spans="1:12" ht="22.5" customHeight="1" x14ac:dyDescent="0.25">
      <c r="A6" s="872"/>
      <c r="B6" s="873"/>
      <c r="C6" s="880" t="s">
        <v>14</v>
      </c>
      <c r="D6" s="881">
        <f>D56</f>
        <v>0</v>
      </c>
      <c r="E6" s="882">
        <f>E56</f>
        <v>0</v>
      </c>
      <c r="F6" s="882">
        <f>F56</f>
        <v>0</v>
      </c>
      <c r="G6" s="882">
        <v>0</v>
      </c>
      <c r="H6" s="883">
        <f>D6+E6+F6+G6</f>
        <v>0</v>
      </c>
      <c r="I6" s="871">
        <f>I56</f>
        <v>0</v>
      </c>
      <c r="J6" s="868">
        <v>0</v>
      </c>
      <c r="K6" s="868">
        <f>K56</f>
        <v>0</v>
      </c>
      <c r="L6" s="883">
        <f>I6+J6+K6</f>
        <v>0</v>
      </c>
    </row>
    <row r="7" spans="1:12" ht="12.75" customHeight="1" x14ac:dyDescent="0.25">
      <c r="A7" s="872"/>
      <c r="B7" s="873"/>
      <c r="C7" s="880" t="s">
        <v>15</v>
      </c>
      <c r="D7" s="875">
        <f t="shared" ref="D7:K7" si="1">SUM(D8:D56)</f>
        <v>12653</v>
      </c>
      <c r="E7" s="877">
        <f>SUM(E8:E56)</f>
        <v>172160</v>
      </c>
      <c r="F7" s="877">
        <f t="shared" si="1"/>
        <v>3667</v>
      </c>
      <c r="G7" s="877">
        <f t="shared" si="1"/>
        <v>34418</v>
      </c>
      <c r="H7" s="878">
        <f t="shared" si="1"/>
        <v>222898</v>
      </c>
      <c r="I7" s="875">
        <f>SUM(I8:I56)</f>
        <v>77334</v>
      </c>
      <c r="J7" s="877">
        <f t="shared" si="1"/>
        <v>3172</v>
      </c>
      <c r="K7" s="877">
        <f t="shared" si="1"/>
        <v>5466</v>
      </c>
      <c r="L7" s="878">
        <f>SUM(L8:L56)</f>
        <v>85972</v>
      </c>
    </row>
    <row r="8" spans="1:12" ht="12.75" customHeight="1" x14ac:dyDescent="0.25">
      <c r="A8" s="884">
        <v>1</v>
      </c>
      <c r="B8" s="145" t="s">
        <v>20</v>
      </c>
      <c r="C8" s="885" t="s">
        <v>21</v>
      </c>
      <c r="D8" s="881"/>
      <c r="E8" s="882">
        <v>2334</v>
      </c>
      <c r="F8" s="882">
        <v>14</v>
      </c>
      <c r="G8" s="882">
        <v>347</v>
      </c>
      <c r="H8" s="883">
        <f t="shared" ref="H8:H14" si="2">D8+E8+F8+G8</f>
        <v>2695</v>
      </c>
      <c r="I8" s="871">
        <v>0</v>
      </c>
      <c r="J8" s="868">
        <v>0</v>
      </c>
      <c r="K8" s="868">
        <v>0</v>
      </c>
      <c r="L8" s="883">
        <f t="shared" ref="L8:L56" si="3">I8+J8+K8</f>
        <v>0</v>
      </c>
    </row>
    <row r="9" spans="1:12" ht="12.75" customHeight="1" x14ac:dyDescent="0.25">
      <c r="A9" s="884">
        <v>2</v>
      </c>
      <c r="B9" s="145" t="s">
        <v>26</v>
      </c>
      <c r="C9" s="885" t="s">
        <v>653</v>
      </c>
      <c r="D9" s="881"/>
      <c r="E9" s="882">
        <v>7507</v>
      </c>
      <c r="F9" s="882">
        <v>0</v>
      </c>
      <c r="G9" s="882">
        <v>2246</v>
      </c>
      <c r="H9" s="883">
        <f t="shared" si="2"/>
        <v>9753</v>
      </c>
      <c r="I9" s="871">
        <v>3542</v>
      </c>
      <c r="J9" s="868">
        <v>0</v>
      </c>
      <c r="K9" s="868">
        <v>0</v>
      </c>
      <c r="L9" s="883">
        <f>I9+J9+K9</f>
        <v>3542</v>
      </c>
    </row>
    <row r="10" spans="1:12" ht="12.75" customHeight="1" x14ac:dyDescent="0.25">
      <c r="A10" s="884">
        <v>3</v>
      </c>
      <c r="B10" s="145" t="s">
        <v>28</v>
      </c>
      <c r="C10" s="885" t="s">
        <v>29</v>
      </c>
      <c r="D10" s="881"/>
      <c r="E10" s="882">
        <v>2536</v>
      </c>
      <c r="F10" s="882">
        <v>4</v>
      </c>
      <c r="G10" s="882">
        <v>8</v>
      </c>
      <c r="H10" s="883">
        <f t="shared" si="2"/>
        <v>2548</v>
      </c>
      <c r="I10" s="871">
        <v>0</v>
      </c>
      <c r="J10" s="868">
        <v>0</v>
      </c>
      <c r="K10" s="868">
        <v>0</v>
      </c>
      <c r="L10" s="883">
        <f t="shared" si="3"/>
        <v>0</v>
      </c>
    </row>
    <row r="11" spans="1:12" ht="12.75" customHeight="1" x14ac:dyDescent="0.25">
      <c r="A11" s="884">
        <v>4</v>
      </c>
      <c r="B11" s="145" t="s">
        <v>48</v>
      </c>
      <c r="C11" s="885" t="s">
        <v>49</v>
      </c>
      <c r="D11" s="881"/>
      <c r="E11" s="882">
        <v>1609</v>
      </c>
      <c r="F11" s="882">
        <v>78</v>
      </c>
      <c r="G11" s="882">
        <v>432</v>
      </c>
      <c r="H11" s="883">
        <f t="shared" si="2"/>
        <v>2119</v>
      </c>
      <c r="I11" s="871">
        <v>0</v>
      </c>
      <c r="J11" s="868">
        <v>0</v>
      </c>
      <c r="K11" s="868">
        <v>0</v>
      </c>
      <c r="L11" s="883">
        <f t="shared" si="3"/>
        <v>0</v>
      </c>
    </row>
    <row r="12" spans="1:12" ht="12.75" customHeight="1" x14ac:dyDescent="0.25">
      <c r="A12" s="884">
        <v>5</v>
      </c>
      <c r="B12" s="145" t="s">
        <v>50</v>
      </c>
      <c r="C12" s="885" t="s">
        <v>51</v>
      </c>
      <c r="D12" s="881"/>
      <c r="E12" s="882">
        <v>5188</v>
      </c>
      <c r="F12" s="882">
        <v>4</v>
      </c>
      <c r="G12" s="882">
        <v>1356</v>
      </c>
      <c r="H12" s="883">
        <f t="shared" si="2"/>
        <v>6548</v>
      </c>
      <c r="I12" s="871">
        <v>1251</v>
      </c>
      <c r="J12" s="868">
        <v>0</v>
      </c>
      <c r="K12" s="868">
        <v>0</v>
      </c>
      <c r="L12" s="883">
        <f t="shared" si="3"/>
        <v>1251</v>
      </c>
    </row>
    <row r="13" spans="1:12" ht="12.75" customHeight="1" x14ac:dyDescent="0.25">
      <c r="A13" s="884">
        <v>6</v>
      </c>
      <c r="B13" s="145" t="s">
        <v>56</v>
      </c>
      <c r="C13" s="885" t="s">
        <v>654</v>
      </c>
      <c r="D13" s="881"/>
      <c r="E13" s="882">
        <v>991</v>
      </c>
      <c r="F13" s="882">
        <v>0</v>
      </c>
      <c r="G13" s="882">
        <v>0</v>
      </c>
      <c r="H13" s="883">
        <f t="shared" si="2"/>
        <v>991</v>
      </c>
      <c r="I13" s="871">
        <v>0</v>
      </c>
      <c r="J13" s="868">
        <v>0</v>
      </c>
      <c r="K13" s="868">
        <v>0</v>
      </c>
      <c r="L13" s="883">
        <f>I13+J13+K13</f>
        <v>0</v>
      </c>
    </row>
    <row r="14" spans="1:12" ht="12.75" customHeight="1" x14ac:dyDescent="0.25">
      <c r="A14" s="884">
        <v>7</v>
      </c>
      <c r="B14" s="145" t="s">
        <v>58</v>
      </c>
      <c r="C14" s="885" t="s">
        <v>59</v>
      </c>
      <c r="D14" s="881"/>
      <c r="E14" s="882">
        <v>3897</v>
      </c>
      <c r="F14" s="882">
        <v>107</v>
      </c>
      <c r="G14" s="882">
        <v>569</v>
      </c>
      <c r="H14" s="883">
        <f t="shared" si="2"/>
        <v>4573</v>
      </c>
      <c r="I14" s="871">
        <v>2247</v>
      </c>
      <c r="J14" s="868">
        <v>510</v>
      </c>
      <c r="K14" s="868">
        <v>101</v>
      </c>
      <c r="L14" s="883">
        <f t="shared" si="3"/>
        <v>2858</v>
      </c>
    </row>
    <row r="15" spans="1:12" ht="12.75" customHeight="1" x14ac:dyDescent="0.25">
      <c r="A15" s="884">
        <v>8</v>
      </c>
      <c r="B15" s="145" t="s">
        <v>62</v>
      </c>
      <c r="C15" s="885" t="s">
        <v>63</v>
      </c>
      <c r="D15" s="881"/>
      <c r="E15" s="882">
        <v>0</v>
      </c>
      <c r="F15" s="882">
        <v>0</v>
      </c>
      <c r="G15" s="882">
        <v>0</v>
      </c>
      <c r="H15" s="886">
        <v>0</v>
      </c>
      <c r="I15" s="871">
        <v>1749</v>
      </c>
      <c r="J15" s="868">
        <v>591</v>
      </c>
      <c r="K15" s="868">
        <v>163</v>
      </c>
      <c r="L15" s="883">
        <f t="shared" si="3"/>
        <v>2503</v>
      </c>
    </row>
    <row r="16" spans="1:12" ht="12.75" customHeight="1" x14ac:dyDescent="0.25">
      <c r="A16" s="884">
        <v>9</v>
      </c>
      <c r="B16" s="145" t="s">
        <v>66</v>
      </c>
      <c r="C16" s="885" t="s">
        <v>479</v>
      </c>
      <c r="D16" s="881"/>
      <c r="E16" s="882">
        <v>7392</v>
      </c>
      <c r="F16" s="882">
        <v>184</v>
      </c>
      <c r="G16" s="882">
        <v>1197</v>
      </c>
      <c r="H16" s="883">
        <f>D16+E16+F16+G16</f>
        <v>8773</v>
      </c>
      <c r="I16" s="871">
        <v>2849</v>
      </c>
      <c r="J16" s="868">
        <v>211</v>
      </c>
      <c r="K16" s="868">
        <v>0</v>
      </c>
      <c r="L16" s="883">
        <f>I16+J16+K16</f>
        <v>3060</v>
      </c>
    </row>
    <row r="17" spans="1:12" ht="12.75" customHeight="1" x14ac:dyDescent="0.25">
      <c r="A17" s="884">
        <v>10</v>
      </c>
      <c r="B17" s="145" t="s">
        <v>68</v>
      </c>
      <c r="C17" s="885" t="s">
        <v>69</v>
      </c>
      <c r="D17" s="881"/>
      <c r="E17" s="882">
        <v>1329</v>
      </c>
      <c r="F17" s="882">
        <v>124</v>
      </c>
      <c r="G17" s="882">
        <v>395</v>
      </c>
      <c r="H17" s="883">
        <f t="shared" ref="H17:H55" si="4">D17+E17+F17+G17</f>
        <v>1848</v>
      </c>
      <c r="I17" s="871">
        <v>0</v>
      </c>
      <c r="J17" s="868">
        <v>0</v>
      </c>
      <c r="K17" s="868">
        <v>0</v>
      </c>
      <c r="L17" s="883">
        <f t="shared" si="3"/>
        <v>0</v>
      </c>
    </row>
    <row r="18" spans="1:12" ht="12.75" customHeight="1" x14ac:dyDescent="0.25">
      <c r="A18" s="884">
        <v>11</v>
      </c>
      <c r="B18" s="145" t="s">
        <v>77</v>
      </c>
      <c r="C18" s="885" t="s">
        <v>78</v>
      </c>
      <c r="D18" s="881"/>
      <c r="E18" s="882">
        <v>3832</v>
      </c>
      <c r="F18" s="882">
        <v>30</v>
      </c>
      <c r="G18" s="882">
        <v>78</v>
      </c>
      <c r="H18" s="883">
        <f t="shared" si="4"/>
        <v>3940</v>
      </c>
      <c r="I18" s="871">
        <v>0</v>
      </c>
      <c r="J18" s="868">
        <v>0</v>
      </c>
      <c r="K18" s="868">
        <v>0</v>
      </c>
      <c r="L18" s="883">
        <f t="shared" si="3"/>
        <v>0</v>
      </c>
    </row>
    <row r="19" spans="1:12" ht="12.75" customHeight="1" x14ac:dyDescent="0.25">
      <c r="A19" s="884">
        <v>12</v>
      </c>
      <c r="B19" s="145" t="s">
        <v>79</v>
      </c>
      <c r="C19" s="885" t="s">
        <v>80</v>
      </c>
      <c r="D19" s="881"/>
      <c r="E19" s="882">
        <v>6085</v>
      </c>
      <c r="F19" s="882">
        <v>441</v>
      </c>
      <c r="G19" s="882">
        <v>0</v>
      </c>
      <c r="H19" s="883">
        <f t="shared" si="4"/>
        <v>6526</v>
      </c>
      <c r="I19" s="871">
        <v>0</v>
      </c>
      <c r="J19" s="868">
        <v>0</v>
      </c>
      <c r="K19" s="868">
        <v>0</v>
      </c>
      <c r="L19" s="883">
        <f t="shared" si="3"/>
        <v>0</v>
      </c>
    </row>
    <row r="20" spans="1:12" ht="12.75" customHeight="1" x14ac:dyDescent="0.25">
      <c r="A20" s="884">
        <v>13</v>
      </c>
      <c r="B20" s="145" t="s">
        <v>83</v>
      </c>
      <c r="C20" s="885" t="s">
        <v>84</v>
      </c>
      <c r="D20" s="881"/>
      <c r="E20" s="882">
        <v>3293</v>
      </c>
      <c r="F20" s="882">
        <v>98</v>
      </c>
      <c r="G20" s="882">
        <v>34</v>
      </c>
      <c r="H20" s="883">
        <f t="shared" si="4"/>
        <v>3425</v>
      </c>
      <c r="I20" s="871">
        <v>0</v>
      </c>
      <c r="J20" s="868">
        <v>0</v>
      </c>
      <c r="K20" s="868">
        <v>0</v>
      </c>
      <c r="L20" s="883">
        <f t="shared" si="3"/>
        <v>0</v>
      </c>
    </row>
    <row r="21" spans="1:12" ht="12.75" customHeight="1" x14ac:dyDescent="0.25">
      <c r="A21" s="884">
        <v>14</v>
      </c>
      <c r="B21" s="145" t="s">
        <v>87</v>
      </c>
      <c r="C21" s="885" t="s">
        <v>88</v>
      </c>
      <c r="D21" s="881"/>
      <c r="E21" s="882">
        <v>2877</v>
      </c>
      <c r="F21" s="882">
        <v>4</v>
      </c>
      <c r="G21" s="882">
        <v>646</v>
      </c>
      <c r="H21" s="883">
        <f t="shared" si="4"/>
        <v>3527</v>
      </c>
      <c r="I21" s="871">
        <v>0</v>
      </c>
      <c r="J21" s="868">
        <v>0</v>
      </c>
      <c r="K21" s="868">
        <v>0</v>
      </c>
      <c r="L21" s="883">
        <f t="shared" si="3"/>
        <v>0</v>
      </c>
    </row>
    <row r="22" spans="1:12" ht="12.75" customHeight="1" x14ac:dyDescent="0.25">
      <c r="A22" s="884">
        <v>15</v>
      </c>
      <c r="B22" s="145" t="s">
        <v>97</v>
      </c>
      <c r="C22" s="885" t="s">
        <v>655</v>
      </c>
      <c r="D22" s="881"/>
      <c r="E22" s="882">
        <v>547</v>
      </c>
      <c r="F22" s="882">
        <v>15</v>
      </c>
      <c r="G22" s="882">
        <v>109</v>
      </c>
      <c r="H22" s="883">
        <f>D22+E22+F22+G22</f>
        <v>671</v>
      </c>
      <c r="I22" s="871">
        <v>210</v>
      </c>
      <c r="J22" s="868">
        <v>0</v>
      </c>
      <c r="K22" s="868">
        <v>0</v>
      </c>
      <c r="L22" s="883">
        <f>I22+J22+K22</f>
        <v>210</v>
      </c>
    </row>
    <row r="23" spans="1:12" ht="12.75" customHeight="1" x14ac:dyDescent="0.25">
      <c r="A23" s="884">
        <v>16</v>
      </c>
      <c r="B23" s="145" t="s">
        <v>99</v>
      </c>
      <c r="C23" s="885" t="s">
        <v>656</v>
      </c>
      <c r="D23" s="881"/>
      <c r="E23" s="882">
        <v>4318</v>
      </c>
      <c r="F23" s="882">
        <v>203</v>
      </c>
      <c r="G23" s="882">
        <v>128</v>
      </c>
      <c r="H23" s="883">
        <f>D23+E23+F23+G23</f>
        <v>4649</v>
      </c>
      <c r="I23" s="871">
        <v>5204</v>
      </c>
      <c r="J23" s="868">
        <v>198</v>
      </c>
      <c r="K23" s="868">
        <v>139</v>
      </c>
      <c r="L23" s="883">
        <f>I23+J23+K23</f>
        <v>5541</v>
      </c>
    </row>
    <row r="24" spans="1:12" ht="12.75" customHeight="1" x14ac:dyDescent="0.25">
      <c r="A24" s="884">
        <v>17</v>
      </c>
      <c r="B24" s="145" t="s">
        <v>103</v>
      </c>
      <c r="C24" s="885" t="s">
        <v>104</v>
      </c>
      <c r="D24" s="881"/>
      <c r="E24" s="882">
        <v>1093</v>
      </c>
      <c r="F24" s="882">
        <v>37</v>
      </c>
      <c r="G24" s="882">
        <v>1</v>
      </c>
      <c r="H24" s="883">
        <f t="shared" si="4"/>
        <v>1131</v>
      </c>
      <c r="I24" s="871">
        <v>0</v>
      </c>
      <c r="J24" s="868">
        <v>0</v>
      </c>
      <c r="K24" s="868">
        <v>0</v>
      </c>
      <c r="L24" s="883">
        <f t="shared" si="3"/>
        <v>0</v>
      </c>
    </row>
    <row r="25" spans="1:12" ht="12.75" customHeight="1" x14ac:dyDescent="0.25">
      <c r="A25" s="884">
        <v>18</v>
      </c>
      <c r="B25" s="145" t="s">
        <v>109</v>
      </c>
      <c r="C25" s="885" t="s">
        <v>110</v>
      </c>
      <c r="D25" s="881"/>
      <c r="E25" s="882">
        <v>686</v>
      </c>
      <c r="F25" s="882"/>
      <c r="G25" s="882"/>
      <c r="H25" s="883">
        <f>D25+E25+F25+G25</f>
        <v>686</v>
      </c>
      <c r="I25" s="871"/>
      <c r="J25" s="868"/>
      <c r="K25" s="868"/>
      <c r="L25" s="883">
        <f t="shared" si="3"/>
        <v>0</v>
      </c>
    </row>
    <row r="26" spans="1:12" ht="12.75" customHeight="1" x14ac:dyDescent="0.25">
      <c r="A26" s="884">
        <v>19</v>
      </c>
      <c r="B26" s="145" t="s">
        <v>117</v>
      </c>
      <c r="C26" s="885" t="s">
        <v>118</v>
      </c>
      <c r="D26" s="881"/>
      <c r="E26" s="882">
        <v>5025</v>
      </c>
      <c r="F26" s="882">
        <v>0</v>
      </c>
      <c r="G26" s="882">
        <v>1</v>
      </c>
      <c r="H26" s="883">
        <f t="shared" si="4"/>
        <v>5026</v>
      </c>
      <c r="I26" s="871">
        <v>0</v>
      </c>
      <c r="J26" s="868">
        <v>0</v>
      </c>
      <c r="K26" s="868">
        <v>0</v>
      </c>
      <c r="L26" s="883">
        <f t="shared" si="3"/>
        <v>0</v>
      </c>
    </row>
    <row r="27" spans="1:12" ht="12.75" customHeight="1" x14ac:dyDescent="0.25">
      <c r="A27" s="884">
        <v>20</v>
      </c>
      <c r="B27" s="145" t="s">
        <v>143</v>
      </c>
      <c r="C27" s="885" t="s">
        <v>144</v>
      </c>
      <c r="D27" s="881"/>
      <c r="E27" s="882">
        <v>854</v>
      </c>
      <c r="F27" s="882">
        <v>0</v>
      </c>
      <c r="G27" s="882">
        <v>0</v>
      </c>
      <c r="H27" s="883">
        <f t="shared" si="4"/>
        <v>854</v>
      </c>
      <c r="I27" s="871">
        <v>0</v>
      </c>
      <c r="J27" s="868">
        <v>0</v>
      </c>
      <c r="K27" s="868">
        <v>0</v>
      </c>
      <c r="L27" s="883">
        <f t="shared" si="3"/>
        <v>0</v>
      </c>
    </row>
    <row r="28" spans="1:12" ht="12.75" customHeight="1" x14ac:dyDescent="0.25">
      <c r="A28" s="884">
        <v>21</v>
      </c>
      <c r="B28" s="145" t="s">
        <v>161</v>
      </c>
      <c r="C28" s="885" t="s">
        <v>657</v>
      </c>
      <c r="D28" s="881"/>
      <c r="E28" s="882">
        <v>2207</v>
      </c>
      <c r="F28" s="882">
        <v>148</v>
      </c>
      <c r="G28" s="882">
        <v>0</v>
      </c>
      <c r="H28" s="883">
        <f t="shared" si="4"/>
        <v>2355</v>
      </c>
      <c r="I28" s="871">
        <v>0</v>
      </c>
      <c r="J28" s="868">
        <v>0</v>
      </c>
      <c r="K28" s="868">
        <v>0</v>
      </c>
      <c r="L28" s="883">
        <f t="shared" si="3"/>
        <v>0</v>
      </c>
    </row>
    <row r="29" spans="1:12" ht="12.75" customHeight="1" x14ac:dyDescent="0.25">
      <c r="A29" s="884">
        <v>22</v>
      </c>
      <c r="B29" s="145" t="s">
        <v>163</v>
      </c>
      <c r="C29" s="885" t="s">
        <v>456</v>
      </c>
      <c r="D29" s="881">
        <v>0</v>
      </c>
      <c r="E29" s="882">
        <v>2557</v>
      </c>
      <c r="F29" s="882">
        <v>34</v>
      </c>
      <c r="G29" s="882">
        <v>3</v>
      </c>
      <c r="H29" s="883">
        <f t="shared" si="4"/>
        <v>2594</v>
      </c>
      <c r="I29" s="871">
        <v>0</v>
      </c>
      <c r="J29" s="868">
        <v>0</v>
      </c>
      <c r="K29" s="868">
        <v>0</v>
      </c>
      <c r="L29" s="883">
        <v>0</v>
      </c>
    </row>
    <row r="30" spans="1:12" ht="12.75" customHeight="1" x14ac:dyDescent="0.25">
      <c r="A30" s="884">
        <v>23</v>
      </c>
      <c r="B30" s="145" t="s">
        <v>165</v>
      </c>
      <c r="C30" s="885" t="s">
        <v>166</v>
      </c>
      <c r="D30" s="881">
        <v>462</v>
      </c>
      <c r="E30" s="882">
        <v>5835</v>
      </c>
      <c r="F30" s="882">
        <v>191</v>
      </c>
      <c r="G30" s="882">
        <v>332</v>
      </c>
      <c r="H30" s="883">
        <f t="shared" si="4"/>
        <v>6820</v>
      </c>
      <c r="I30" s="871">
        <v>0</v>
      </c>
      <c r="J30" s="868">
        <v>0</v>
      </c>
      <c r="K30" s="868">
        <v>0</v>
      </c>
      <c r="L30" s="883">
        <f t="shared" si="3"/>
        <v>0</v>
      </c>
    </row>
    <row r="31" spans="1:12" ht="12.75" customHeight="1" x14ac:dyDescent="0.25">
      <c r="A31" s="884">
        <v>24</v>
      </c>
      <c r="B31" s="145" t="s">
        <v>169</v>
      </c>
      <c r="C31" s="885" t="s">
        <v>170</v>
      </c>
      <c r="D31" s="881">
        <v>6179</v>
      </c>
      <c r="E31" s="882">
        <v>10994</v>
      </c>
      <c r="F31" s="882">
        <v>490</v>
      </c>
      <c r="G31" s="882">
        <v>1560</v>
      </c>
      <c r="H31" s="883">
        <f t="shared" si="4"/>
        <v>19223</v>
      </c>
      <c r="I31" s="871">
        <v>0</v>
      </c>
      <c r="J31" s="868">
        <v>0</v>
      </c>
      <c r="K31" s="868">
        <v>0</v>
      </c>
      <c r="L31" s="883">
        <f t="shared" si="3"/>
        <v>0</v>
      </c>
    </row>
    <row r="32" spans="1:12" x14ac:dyDescent="0.25">
      <c r="A32" s="884">
        <v>25</v>
      </c>
      <c r="B32" s="145" t="s">
        <v>171</v>
      </c>
      <c r="C32" s="885" t="s">
        <v>658</v>
      </c>
      <c r="D32" s="881"/>
      <c r="E32" s="882">
        <v>4566</v>
      </c>
      <c r="F32" s="882">
        <v>29</v>
      </c>
      <c r="G32" s="882">
        <v>216</v>
      </c>
      <c r="H32" s="883">
        <f t="shared" si="4"/>
        <v>4811</v>
      </c>
      <c r="I32" s="871">
        <v>1631</v>
      </c>
      <c r="J32" s="868">
        <v>0</v>
      </c>
      <c r="K32" s="868">
        <v>0</v>
      </c>
      <c r="L32" s="883">
        <f t="shared" si="3"/>
        <v>1631</v>
      </c>
    </row>
    <row r="33" spans="1:12" ht="12.75" customHeight="1" x14ac:dyDescent="0.25">
      <c r="A33" s="884">
        <v>26</v>
      </c>
      <c r="B33" s="145" t="s">
        <v>173</v>
      </c>
      <c r="C33" s="885" t="s">
        <v>659</v>
      </c>
      <c r="D33" s="881"/>
      <c r="E33" s="882">
        <v>1034</v>
      </c>
      <c r="F33" s="882">
        <v>42</v>
      </c>
      <c r="G33" s="882">
        <v>176</v>
      </c>
      <c r="H33" s="883">
        <f t="shared" si="4"/>
        <v>1252</v>
      </c>
      <c r="I33" s="871">
        <v>0</v>
      </c>
      <c r="J33" s="868">
        <v>0</v>
      </c>
      <c r="K33" s="868">
        <v>0</v>
      </c>
      <c r="L33" s="883">
        <f t="shared" si="3"/>
        <v>0</v>
      </c>
    </row>
    <row r="34" spans="1:12" ht="12.75" customHeight="1" x14ac:dyDescent="0.25">
      <c r="A34" s="884">
        <v>27</v>
      </c>
      <c r="B34" s="68" t="s">
        <v>178</v>
      </c>
      <c r="C34" s="885" t="s">
        <v>660</v>
      </c>
      <c r="D34" s="881"/>
      <c r="E34" s="882">
        <v>735</v>
      </c>
      <c r="F34" s="882">
        <v>9</v>
      </c>
      <c r="G34" s="882">
        <v>153</v>
      </c>
      <c r="H34" s="883">
        <f t="shared" si="4"/>
        <v>897</v>
      </c>
      <c r="I34" s="871">
        <v>141</v>
      </c>
      <c r="J34" s="868">
        <v>11</v>
      </c>
      <c r="K34" s="868">
        <v>0</v>
      </c>
      <c r="L34" s="883">
        <f t="shared" si="3"/>
        <v>152</v>
      </c>
    </row>
    <row r="35" spans="1:12" ht="12.75" customHeight="1" x14ac:dyDescent="0.25">
      <c r="A35" s="884">
        <v>28</v>
      </c>
      <c r="B35" s="145" t="s">
        <v>185</v>
      </c>
      <c r="C35" s="885" t="s">
        <v>661</v>
      </c>
      <c r="D35" s="881"/>
      <c r="E35" s="882">
        <v>4103</v>
      </c>
      <c r="F35" s="882">
        <v>112</v>
      </c>
      <c r="G35" s="882">
        <v>0</v>
      </c>
      <c r="H35" s="883">
        <f t="shared" si="4"/>
        <v>4215</v>
      </c>
      <c r="I35" s="871">
        <v>0</v>
      </c>
      <c r="J35" s="868">
        <v>0</v>
      </c>
      <c r="K35" s="868">
        <v>0</v>
      </c>
      <c r="L35" s="883">
        <f t="shared" si="3"/>
        <v>0</v>
      </c>
    </row>
    <row r="36" spans="1:12" ht="12.75" customHeight="1" x14ac:dyDescent="0.25">
      <c r="A36" s="884">
        <v>29</v>
      </c>
      <c r="B36" s="145" t="s">
        <v>191</v>
      </c>
      <c r="C36" s="885" t="s">
        <v>192</v>
      </c>
      <c r="D36" s="881"/>
      <c r="E36" s="882">
        <v>387</v>
      </c>
      <c r="F36" s="882">
        <v>0</v>
      </c>
      <c r="G36" s="882">
        <v>0</v>
      </c>
      <c r="H36" s="883">
        <f t="shared" si="4"/>
        <v>387</v>
      </c>
      <c r="I36" s="871">
        <v>0</v>
      </c>
      <c r="J36" s="868">
        <v>0</v>
      </c>
      <c r="K36" s="868">
        <v>0</v>
      </c>
      <c r="L36" s="883">
        <f t="shared" si="3"/>
        <v>0</v>
      </c>
    </row>
    <row r="37" spans="1:12" ht="12.75" customHeight="1" x14ac:dyDescent="0.25">
      <c r="A37" s="884">
        <v>30</v>
      </c>
      <c r="B37" s="145" t="s">
        <v>193</v>
      </c>
      <c r="C37" s="885" t="s">
        <v>194</v>
      </c>
      <c r="D37" s="881"/>
      <c r="E37" s="882">
        <v>951</v>
      </c>
      <c r="F37" s="882">
        <v>0</v>
      </c>
      <c r="G37" s="882">
        <v>0</v>
      </c>
      <c r="H37" s="883">
        <f t="shared" si="4"/>
        <v>951</v>
      </c>
      <c r="I37" s="871">
        <v>0</v>
      </c>
      <c r="J37" s="868">
        <v>0</v>
      </c>
      <c r="K37" s="868">
        <v>0</v>
      </c>
      <c r="L37" s="883">
        <f t="shared" si="3"/>
        <v>0</v>
      </c>
    </row>
    <row r="38" spans="1:12" ht="12.75" customHeight="1" x14ac:dyDescent="0.25">
      <c r="A38" s="884">
        <v>31</v>
      </c>
      <c r="B38" s="145" t="s">
        <v>195</v>
      </c>
      <c r="C38" s="885" t="s">
        <v>196</v>
      </c>
      <c r="D38" s="881"/>
      <c r="E38" s="882">
        <v>754</v>
      </c>
      <c r="F38" s="882">
        <v>25</v>
      </c>
      <c r="G38" s="882">
        <v>164</v>
      </c>
      <c r="H38" s="883">
        <f t="shared" si="4"/>
        <v>943</v>
      </c>
      <c r="I38" s="871">
        <v>0</v>
      </c>
      <c r="J38" s="868">
        <v>0</v>
      </c>
      <c r="K38" s="868">
        <v>0</v>
      </c>
      <c r="L38" s="883">
        <f t="shared" si="3"/>
        <v>0</v>
      </c>
    </row>
    <row r="39" spans="1:12" ht="12.75" customHeight="1" x14ac:dyDescent="0.25">
      <c r="A39" s="884">
        <v>32</v>
      </c>
      <c r="B39" s="145" t="s">
        <v>207</v>
      </c>
      <c r="C39" s="885" t="s">
        <v>208</v>
      </c>
      <c r="D39" s="881"/>
      <c r="E39" s="882">
        <v>1674</v>
      </c>
      <c r="F39" s="882">
        <v>79</v>
      </c>
      <c r="G39" s="882">
        <v>682</v>
      </c>
      <c r="H39" s="883">
        <f>D39+E39+F39+G39</f>
        <v>2435</v>
      </c>
      <c r="I39" s="871">
        <v>0</v>
      </c>
      <c r="J39" s="868">
        <v>0</v>
      </c>
      <c r="K39" s="868">
        <v>0</v>
      </c>
      <c r="L39" s="883">
        <f t="shared" si="3"/>
        <v>0</v>
      </c>
    </row>
    <row r="40" spans="1:12" ht="12.75" customHeight="1" x14ac:dyDescent="0.25">
      <c r="A40" s="884">
        <v>33</v>
      </c>
      <c r="B40" s="145" t="s">
        <v>213</v>
      </c>
      <c r="C40" s="885" t="s">
        <v>214</v>
      </c>
      <c r="D40" s="881"/>
      <c r="E40" s="882">
        <v>1189</v>
      </c>
      <c r="F40" s="882">
        <v>88</v>
      </c>
      <c r="G40" s="882">
        <v>0</v>
      </c>
      <c r="H40" s="883">
        <f t="shared" ref="H40:H54" si="5">D40+E40+F40+G40</f>
        <v>1277</v>
      </c>
      <c r="I40" s="871">
        <v>0</v>
      </c>
      <c r="J40" s="868">
        <v>0</v>
      </c>
      <c r="K40" s="868">
        <v>0</v>
      </c>
      <c r="L40" s="883">
        <f t="shared" si="3"/>
        <v>0</v>
      </c>
    </row>
    <row r="41" spans="1:12" ht="12.75" customHeight="1" x14ac:dyDescent="0.25">
      <c r="A41" s="884">
        <v>34</v>
      </c>
      <c r="B41" s="145" t="s">
        <v>215</v>
      </c>
      <c r="C41" s="885" t="s">
        <v>216</v>
      </c>
      <c r="D41" s="881">
        <v>0</v>
      </c>
      <c r="E41" s="882">
        <v>180</v>
      </c>
      <c r="F41" s="882">
        <v>0</v>
      </c>
      <c r="G41" s="882">
        <v>0</v>
      </c>
      <c r="H41" s="883">
        <f t="shared" si="5"/>
        <v>180</v>
      </c>
      <c r="I41" s="871">
        <v>0</v>
      </c>
      <c r="J41" s="868">
        <v>0</v>
      </c>
      <c r="K41" s="868">
        <v>0</v>
      </c>
      <c r="L41" s="883">
        <f t="shared" si="3"/>
        <v>0</v>
      </c>
    </row>
    <row r="42" spans="1:12" ht="12.75" customHeight="1" x14ac:dyDescent="0.25">
      <c r="A42" s="884">
        <v>35</v>
      </c>
      <c r="B42" s="145" t="s">
        <v>229</v>
      </c>
      <c r="C42" s="885" t="s">
        <v>230</v>
      </c>
      <c r="D42" s="881"/>
      <c r="E42" s="882">
        <v>0</v>
      </c>
      <c r="F42" s="882">
        <v>0</v>
      </c>
      <c r="G42" s="882">
        <v>0</v>
      </c>
      <c r="H42" s="883">
        <f t="shared" si="5"/>
        <v>0</v>
      </c>
      <c r="I42" s="871">
        <v>1070</v>
      </c>
      <c r="J42" s="868">
        <v>0</v>
      </c>
      <c r="K42" s="868">
        <v>0</v>
      </c>
      <c r="L42" s="883">
        <f t="shared" si="3"/>
        <v>1070</v>
      </c>
    </row>
    <row r="43" spans="1:12" ht="12.75" customHeight="1" x14ac:dyDescent="0.25">
      <c r="A43" s="884">
        <v>36</v>
      </c>
      <c r="B43" s="145" t="s">
        <v>233</v>
      </c>
      <c r="C43" s="885" t="s">
        <v>662</v>
      </c>
      <c r="D43" s="881"/>
      <c r="E43" s="882">
        <v>6868</v>
      </c>
      <c r="F43" s="882">
        <v>148</v>
      </c>
      <c r="G43" s="882">
        <v>1442</v>
      </c>
      <c r="H43" s="883">
        <f t="shared" si="5"/>
        <v>8458</v>
      </c>
      <c r="I43" s="871">
        <v>11526</v>
      </c>
      <c r="J43" s="868">
        <v>407</v>
      </c>
      <c r="K43" s="868">
        <v>203</v>
      </c>
      <c r="L43" s="883">
        <f t="shared" si="3"/>
        <v>12136</v>
      </c>
    </row>
    <row r="44" spans="1:12" ht="12.75" customHeight="1" x14ac:dyDescent="0.25">
      <c r="A44" s="884">
        <v>37</v>
      </c>
      <c r="B44" s="145" t="s">
        <v>237</v>
      </c>
      <c r="C44" s="885" t="s">
        <v>663</v>
      </c>
      <c r="D44" s="881"/>
      <c r="E44" s="882">
        <v>0</v>
      </c>
      <c r="F44" s="882">
        <v>0</v>
      </c>
      <c r="G44" s="882">
        <v>0</v>
      </c>
      <c r="H44" s="883">
        <f t="shared" si="5"/>
        <v>0</v>
      </c>
      <c r="I44" s="871">
        <v>2310</v>
      </c>
      <c r="J44" s="868">
        <v>274</v>
      </c>
      <c r="K44" s="868">
        <v>0</v>
      </c>
      <c r="L44" s="883">
        <f t="shared" si="3"/>
        <v>2584</v>
      </c>
    </row>
    <row r="45" spans="1:12" ht="12.75" customHeight="1" x14ac:dyDescent="0.25">
      <c r="A45" s="884">
        <v>38</v>
      </c>
      <c r="B45" s="145" t="s">
        <v>243</v>
      </c>
      <c r="C45" s="885" t="s">
        <v>385</v>
      </c>
      <c r="D45" s="881"/>
      <c r="E45" s="882"/>
      <c r="F45" s="882"/>
      <c r="G45" s="882"/>
      <c r="H45" s="883">
        <f t="shared" si="5"/>
        <v>0</v>
      </c>
      <c r="I45" s="871">
        <v>1447</v>
      </c>
      <c r="J45" s="868">
        <v>0</v>
      </c>
      <c r="K45" s="868">
        <v>0</v>
      </c>
      <c r="L45" s="883">
        <f t="shared" si="3"/>
        <v>1447</v>
      </c>
    </row>
    <row r="46" spans="1:12" ht="12.75" customHeight="1" x14ac:dyDescent="0.25">
      <c r="A46" s="884">
        <v>39</v>
      </c>
      <c r="B46" s="145" t="s">
        <v>244</v>
      </c>
      <c r="C46" s="885" t="s">
        <v>515</v>
      </c>
      <c r="D46" s="881"/>
      <c r="E46" s="882">
        <v>941</v>
      </c>
      <c r="F46" s="882">
        <v>47</v>
      </c>
      <c r="G46" s="882">
        <v>0</v>
      </c>
      <c r="H46" s="883">
        <f t="shared" si="5"/>
        <v>988</v>
      </c>
      <c r="I46" s="871">
        <v>876</v>
      </c>
      <c r="J46" s="868">
        <v>61</v>
      </c>
      <c r="K46" s="868">
        <v>0</v>
      </c>
      <c r="L46" s="883">
        <f t="shared" si="3"/>
        <v>937</v>
      </c>
    </row>
    <row r="47" spans="1:12" ht="12.75" customHeight="1" x14ac:dyDescent="0.25">
      <c r="A47" s="884">
        <v>40</v>
      </c>
      <c r="B47" s="67" t="s">
        <v>258</v>
      </c>
      <c r="C47" s="885" t="s">
        <v>259</v>
      </c>
      <c r="D47" s="881">
        <v>1965</v>
      </c>
      <c r="E47" s="882">
        <v>12714</v>
      </c>
      <c r="F47" s="882">
        <v>98</v>
      </c>
      <c r="G47" s="882">
        <v>4471</v>
      </c>
      <c r="H47" s="883">
        <f t="shared" si="5"/>
        <v>19248</v>
      </c>
      <c r="I47" s="871">
        <v>6600</v>
      </c>
      <c r="J47" s="868">
        <v>0</v>
      </c>
      <c r="K47" s="868">
        <v>1291</v>
      </c>
      <c r="L47" s="883">
        <f t="shared" si="3"/>
        <v>7891</v>
      </c>
    </row>
    <row r="48" spans="1:12" ht="12.75" customHeight="1" x14ac:dyDescent="0.25">
      <c r="A48" s="884">
        <v>41</v>
      </c>
      <c r="B48" s="68" t="s">
        <v>260</v>
      </c>
      <c r="C48" s="885" t="s">
        <v>398</v>
      </c>
      <c r="D48" s="881"/>
      <c r="E48" s="882">
        <v>29000</v>
      </c>
      <c r="F48" s="882">
        <v>0</v>
      </c>
      <c r="G48" s="882">
        <v>11038</v>
      </c>
      <c r="H48" s="883">
        <f t="shared" si="5"/>
        <v>40038</v>
      </c>
      <c r="I48" s="871">
        <v>16557</v>
      </c>
      <c r="J48" s="868">
        <v>0</v>
      </c>
      <c r="K48" s="868">
        <v>2795</v>
      </c>
      <c r="L48" s="883">
        <f t="shared" si="3"/>
        <v>19352</v>
      </c>
    </row>
    <row r="49" spans="1:12" ht="13.5" customHeight="1" x14ac:dyDescent="0.25">
      <c r="A49" s="884">
        <v>42</v>
      </c>
      <c r="B49" s="68" t="s">
        <v>262</v>
      </c>
      <c r="C49" s="885" t="s">
        <v>263</v>
      </c>
      <c r="D49" s="881"/>
      <c r="E49" s="882">
        <v>501</v>
      </c>
      <c r="F49" s="882">
        <v>0</v>
      </c>
      <c r="G49" s="882">
        <v>2100</v>
      </c>
      <c r="H49" s="883">
        <f t="shared" si="5"/>
        <v>2601</v>
      </c>
      <c r="I49" s="871">
        <v>0</v>
      </c>
      <c r="J49" s="868">
        <v>0</v>
      </c>
      <c r="K49" s="868">
        <v>0</v>
      </c>
      <c r="L49" s="883">
        <f t="shared" si="3"/>
        <v>0</v>
      </c>
    </row>
    <row r="50" spans="1:12" ht="12.75" customHeight="1" x14ac:dyDescent="0.25">
      <c r="A50" s="884">
        <v>43</v>
      </c>
      <c r="B50" s="145" t="s">
        <v>264</v>
      </c>
      <c r="C50" s="885" t="s">
        <v>265</v>
      </c>
      <c r="D50" s="881"/>
      <c r="E50" s="882">
        <v>4764</v>
      </c>
      <c r="F50" s="882">
        <v>4</v>
      </c>
      <c r="G50" s="882">
        <v>11</v>
      </c>
      <c r="H50" s="883">
        <f t="shared" si="5"/>
        <v>4779</v>
      </c>
      <c r="I50" s="871">
        <v>3804</v>
      </c>
      <c r="J50" s="868">
        <v>0</v>
      </c>
      <c r="K50" s="868">
        <v>0</v>
      </c>
      <c r="L50" s="883">
        <f t="shared" si="3"/>
        <v>3804</v>
      </c>
    </row>
    <row r="51" spans="1:12" ht="12.75" customHeight="1" x14ac:dyDescent="0.25">
      <c r="A51" s="884">
        <v>44</v>
      </c>
      <c r="B51" s="145" t="s">
        <v>268</v>
      </c>
      <c r="C51" s="885" t="s">
        <v>269</v>
      </c>
      <c r="D51" s="881"/>
      <c r="E51" s="882">
        <v>0</v>
      </c>
      <c r="F51" s="882">
        <v>0</v>
      </c>
      <c r="G51" s="882">
        <v>0</v>
      </c>
      <c r="H51" s="883">
        <f t="shared" si="5"/>
        <v>0</v>
      </c>
      <c r="I51" s="871">
        <v>3330</v>
      </c>
      <c r="J51" s="868">
        <v>0</v>
      </c>
      <c r="K51" s="868">
        <v>87</v>
      </c>
      <c r="L51" s="883">
        <f t="shared" si="3"/>
        <v>3417</v>
      </c>
    </row>
    <row r="52" spans="1:12" ht="12.75" customHeight="1" x14ac:dyDescent="0.25">
      <c r="A52" s="884">
        <v>45</v>
      </c>
      <c r="B52" s="68" t="s">
        <v>274</v>
      </c>
      <c r="C52" s="885" t="s">
        <v>275</v>
      </c>
      <c r="D52" s="881"/>
      <c r="E52" s="882">
        <v>2553</v>
      </c>
      <c r="F52" s="882">
        <v>170</v>
      </c>
      <c r="G52" s="882">
        <v>512</v>
      </c>
      <c r="H52" s="883">
        <f t="shared" si="5"/>
        <v>3235</v>
      </c>
      <c r="I52" s="871">
        <v>0</v>
      </c>
      <c r="J52" s="868">
        <v>0</v>
      </c>
      <c r="K52" s="868">
        <v>0</v>
      </c>
      <c r="L52" s="883">
        <f t="shared" si="3"/>
        <v>0</v>
      </c>
    </row>
    <row r="53" spans="1:12" ht="12.75" customHeight="1" x14ac:dyDescent="0.25">
      <c r="A53" s="884">
        <v>46</v>
      </c>
      <c r="B53" s="68" t="s">
        <v>276</v>
      </c>
      <c r="C53" s="885" t="s">
        <v>277</v>
      </c>
      <c r="D53" s="881"/>
      <c r="E53" s="882">
        <v>10263</v>
      </c>
      <c r="F53" s="882">
        <v>473</v>
      </c>
      <c r="G53" s="882">
        <v>3053</v>
      </c>
      <c r="H53" s="883">
        <f t="shared" si="5"/>
        <v>13789</v>
      </c>
      <c r="I53" s="871">
        <v>8484</v>
      </c>
      <c r="J53" s="868">
        <v>815</v>
      </c>
      <c r="K53" s="868">
        <v>687</v>
      </c>
      <c r="L53" s="883">
        <f t="shared" si="3"/>
        <v>9986</v>
      </c>
    </row>
    <row r="54" spans="1:12" ht="12.75" customHeight="1" x14ac:dyDescent="0.25">
      <c r="A54" s="884">
        <v>47</v>
      </c>
      <c r="B54" s="145" t="s">
        <v>278</v>
      </c>
      <c r="C54" s="885" t="s">
        <v>664</v>
      </c>
      <c r="D54" s="881"/>
      <c r="E54" s="882">
        <v>5997</v>
      </c>
      <c r="F54" s="882">
        <v>137</v>
      </c>
      <c r="G54" s="882">
        <v>958</v>
      </c>
      <c r="H54" s="883">
        <f t="shared" si="5"/>
        <v>7092</v>
      </c>
      <c r="I54" s="871">
        <v>2506</v>
      </c>
      <c r="J54" s="868">
        <v>94</v>
      </c>
      <c r="K54" s="868">
        <v>0</v>
      </c>
      <c r="L54" s="883">
        <f t="shared" si="3"/>
        <v>2600</v>
      </c>
    </row>
    <row r="55" spans="1:12" ht="12.75" customHeight="1" x14ac:dyDescent="0.25">
      <c r="A55" s="884">
        <v>48</v>
      </c>
      <c r="B55" s="145" t="s">
        <v>280</v>
      </c>
      <c r="C55" s="885" t="s">
        <v>466</v>
      </c>
      <c r="D55" s="881">
        <v>4047</v>
      </c>
      <c r="E55" s="882">
        <v>0</v>
      </c>
      <c r="F55" s="882">
        <v>0</v>
      </c>
      <c r="G55" s="882">
        <v>0</v>
      </c>
      <c r="H55" s="883">
        <f t="shared" si="4"/>
        <v>4047</v>
      </c>
      <c r="I55" s="871">
        <v>0</v>
      </c>
      <c r="J55" s="868">
        <v>0</v>
      </c>
      <c r="K55" s="868">
        <v>0</v>
      </c>
      <c r="L55" s="883">
        <f t="shared" si="3"/>
        <v>0</v>
      </c>
    </row>
    <row r="56" spans="1:12" ht="12.75" customHeight="1" x14ac:dyDescent="0.25">
      <c r="A56" s="884"/>
      <c r="B56" s="887"/>
      <c r="C56" s="888" t="s">
        <v>442</v>
      </c>
      <c r="D56" s="881"/>
      <c r="E56" s="882"/>
      <c r="F56" s="882"/>
      <c r="G56" s="882"/>
      <c r="H56" s="883">
        <f>D56+E56+F56+G56</f>
        <v>0</v>
      </c>
      <c r="I56" s="871">
        <v>0</v>
      </c>
      <c r="J56" s="868">
        <v>0</v>
      </c>
      <c r="K56" s="868">
        <v>0</v>
      </c>
      <c r="L56" s="883">
        <f t="shared" si="3"/>
        <v>0</v>
      </c>
    </row>
    <row r="57" spans="1:12" ht="12.75" customHeight="1" thickBot="1" x14ac:dyDescent="0.3">
      <c r="A57" s="884"/>
      <c r="B57" s="889"/>
      <c r="C57" s="874" t="s">
        <v>467</v>
      </c>
      <c r="D57" s="890">
        <f t="shared" ref="D57:L57" si="6">SUM(D8:D56)</f>
        <v>12653</v>
      </c>
      <c r="E57" s="891">
        <f>SUM(E8:E56)</f>
        <v>172160</v>
      </c>
      <c r="F57" s="891">
        <f t="shared" si="6"/>
        <v>3667</v>
      </c>
      <c r="G57" s="891">
        <f t="shared" si="6"/>
        <v>34418</v>
      </c>
      <c r="H57" s="892">
        <f t="shared" si="6"/>
        <v>222898</v>
      </c>
      <c r="I57" s="890">
        <f>SUM(I8:I56)</f>
        <v>77334</v>
      </c>
      <c r="J57" s="891">
        <f t="shared" si="6"/>
        <v>3172</v>
      </c>
      <c r="K57" s="891">
        <f t="shared" si="6"/>
        <v>5466</v>
      </c>
      <c r="L57" s="892">
        <f t="shared" si="6"/>
        <v>85972</v>
      </c>
    </row>
    <row r="58" spans="1:12" s="897" customFormat="1" x14ac:dyDescent="0.25">
      <c r="A58" s="893"/>
      <c r="B58" s="894"/>
      <c r="C58" s="895"/>
      <c r="D58" s="896"/>
      <c r="E58" s="896"/>
      <c r="F58" s="896"/>
      <c r="G58" s="896"/>
      <c r="H58" s="896"/>
      <c r="I58" s="896"/>
      <c r="J58" s="896"/>
      <c r="K58" s="896"/>
      <c r="L58" s="896"/>
    </row>
    <row r="59" spans="1:12" s="901" customFormat="1" x14ac:dyDescent="0.25">
      <c r="A59" s="898"/>
      <c r="B59" s="899"/>
      <c r="C59" s="900"/>
      <c r="D59" s="896"/>
      <c r="E59" s="896"/>
      <c r="F59" s="896"/>
      <c r="G59" s="896"/>
      <c r="H59" s="896"/>
      <c r="I59" s="896"/>
      <c r="J59" s="896"/>
      <c r="K59" s="896"/>
      <c r="L59" s="896"/>
    </row>
    <row r="60" spans="1:12" x14ac:dyDescent="0.25">
      <c r="D60" s="902"/>
      <c r="E60" s="902"/>
      <c r="F60" s="902"/>
      <c r="G60" s="902"/>
      <c r="H60" s="902"/>
      <c r="I60" s="902"/>
      <c r="J60" s="902"/>
      <c r="K60" s="902"/>
      <c r="L60" s="902"/>
    </row>
    <row r="63" spans="1:12" s="859" customFormat="1" x14ac:dyDescent="0.25">
      <c r="A63" s="857"/>
      <c r="B63" s="858"/>
      <c r="C63" s="903" t="s">
        <v>818</v>
      </c>
      <c r="D63" s="904"/>
      <c r="E63" s="905"/>
      <c r="F63" s="905"/>
      <c r="G63" s="905"/>
      <c r="H63" s="905">
        <v>188219</v>
      </c>
      <c r="I63" s="905"/>
      <c r="J63" s="905"/>
      <c r="K63" s="905"/>
      <c r="L63" s="905">
        <v>67801</v>
      </c>
    </row>
    <row r="64" spans="1:12" x14ac:dyDescent="0.25">
      <c r="H64" s="859">
        <f>H63-H5</f>
        <v>-34679</v>
      </c>
      <c r="L64" s="859">
        <f>L63-L5</f>
        <v>-18171</v>
      </c>
    </row>
    <row r="67" spans="1:12" x14ac:dyDescent="0.25">
      <c r="I67" s="859">
        <v>60728</v>
      </c>
      <c r="J67" s="859">
        <v>2654</v>
      </c>
      <c r="K67" s="859">
        <v>4419</v>
      </c>
      <c r="L67" s="859">
        <v>67801</v>
      </c>
    </row>
    <row r="68" spans="1:12" x14ac:dyDescent="0.25">
      <c r="I68" s="859">
        <f>I5-I67</f>
        <v>16606</v>
      </c>
      <c r="J68" s="859">
        <f t="shared" ref="J68:L68" si="7">J5-J67</f>
        <v>518</v>
      </c>
      <c r="K68" s="859">
        <f t="shared" si="7"/>
        <v>1047</v>
      </c>
      <c r="L68" s="859">
        <f t="shared" si="7"/>
        <v>18171</v>
      </c>
    </row>
    <row r="69" spans="1:12" s="859" customFormat="1" x14ac:dyDescent="0.25">
      <c r="A69" s="857"/>
      <c r="B69" s="858"/>
      <c r="C69" s="856"/>
      <c r="D69" s="902"/>
    </row>
    <row r="70" spans="1:12" x14ac:dyDescent="0.25">
      <c r="K70" s="859">
        <f>L68-J68</f>
        <v>17653</v>
      </c>
    </row>
  </sheetData>
  <autoFilter ref="A7:M59" xr:uid="{00000000-0009-0000-0000-000017000000}"/>
  <mergeCells count="4">
    <mergeCell ref="A1:L1"/>
    <mergeCell ref="A3:A4"/>
    <mergeCell ref="B3:B4"/>
    <mergeCell ref="C3:C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N103"/>
  <sheetViews>
    <sheetView zoomScale="110" zoomScaleNormal="110" workbookViewId="0">
      <pane xSplit="3" ySplit="5" topLeftCell="F6" activePane="bottomRight" state="frozen"/>
      <selection activeCell="D67" sqref="D67"/>
      <selection pane="topRight" activeCell="D67" sqref="D67"/>
      <selection pane="bottomLeft" activeCell="D67" sqref="D67"/>
      <selection pane="bottomRight" activeCell="E109" sqref="E109"/>
    </sheetView>
  </sheetViews>
  <sheetFormatPr defaultRowHeight="12.75" x14ac:dyDescent="0.25"/>
  <cols>
    <col min="1" max="1" width="4.5703125" style="859" customWidth="1"/>
    <col min="2" max="2" width="9" style="859" customWidth="1"/>
    <col min="3" max="3" width="29.42578125" style="906" customWidth="1"/>
    <col min="4" max="4" width="15.140625" style="859" customWidth="1"/>
    <col min="5" max="5" width="18.5703125" style="859" customWidth="1"/>
    <col min="6" max="6" width="19.140625" style="859" customWidth="1"/>
    <col min="7" max="7" width="15.42578125" style="859" customWidth="1"/>
    <col min="8" max="16384" width="9.140625" style="859"/>
  </cols>
  <sheetData>
    <row r="1" spans="1:7" ht="43.5" customHeight="1" x14ac:dyDescent="0.25">
      <c r="A1" s="1355" t="s">
        <v>665</v>
      </c>
      <c r="B1" s="1355"/>
      <c r="C1" s="1356"/>
      <c r="D1" s="1356"/>
      <c r="E1" s="1356"/>
      <c r="F1" s="1356"/>
      <c r="G1" s="1356"/>
    </row>
    <row r="2" spans="1:7" ht="17.25" customHeight="1" thickBot="1" x14ac:dyDescent="0.3"/>
    <row r="3" spans="1:7" ht="15.75" customHeight="1" x14ac:dyDescent="0.25">
      <c r="A3" s="1357" t="s">
        <v>0</v>
      </c>
      <c r="B3" s="1359" t="s">
        <v>302</v>
      </c>
      <c r="C3" s="1361" t="s">
        <v>469</v>
      </c>
      <c r="D3" s="907" t="s">
        <v>666</v>
      </c>
      <c r="E3" s="907"/>
      <c r="F3" s="908"/>
      <c r="G3" s="909"/>
    </row>
    <row r="4" spans="1:7" ht="45.75" customHeight="1" x14ac:dyDescent="0.25">
      <c r="A4" s="1358"/>
      <c r="B4" s="1360"/>
      <c r="C4" s="1362"/>
      <c r="D4" s="869" t="s">
        <v>667</v>
      </c>
      <c r="E4" s="869" t="s">
        <v>668</v>
      </c>
      <c r="F4" s="869" t="s">
        <v>669</v>
      </c>
      <c r="G4" s="883" t="s">
        <v>6</v>
      </c>
    </row>
    <row r="5" spans="1:7" ht="11.25" customHeight="1" x14ac:dyDescent="0.25">
      <c r="A5" s="910"/>
      <c r="B5" s="911"/>
      <c r="C5" s="912" t="s">
        <v>6</v>
      </c>
      <c r="D5" s="877">
        <f>D7+D6</f>
        <v>206638</v>
      </c>
      <c r="E5" s="877">
        <f>E7+E6</f>
        <v>100227</v>
      </c>
      <c r="F5" s="877">
        <f t="shared" ref="F5" si="0">F7+F6</f>
        <v>71495</v>
      </c>
      <c r="G5" s="878">
        <f>G7+G6</f>
        <v>378360</v>
      </c>
    </row>
    <row r="6" spans="1:7" ht="11.25" customHeight="1" x14ac:dyDescent="0.25">
      <c r="A6" s="910"/>
      <c r="B6" s="911"/>
      <c r="C6" s="913" t="s">
        <v>14</v>
      </c>
      <c r="D6" s="869">
        <v>0</v>
      </c>
      <c r="E6" s="869">
        <v>0</v>
      </c>
      <c r="F6" s="869">
        <v>0</v>
      </c>
      <c r="G6" s="883">
        <v>0</v>
      </c>
    </row>
    <row r="7" spans="1:7" ht="11.25" customHeight="1" x14ac:dyDescent="0.25">
      <c r="A7" s="910"/>
      <c r="B7" s="911"/>
      <c r="C7" s="913" t="s">
        <v>15</v>
      </c>
      <c r="D7" s="877">
        <f>SUM(D8:D93)</f>
        <v>206638</v>
      </c>
      <c r="E7" s="877">
        <f>SUM(E8:E93)</f>
        <v>100227</v>
      </c>
      <c r="F7" s="877">
        <f>SUM(F8:F92)</f>
        <v>71495</v>
      </c>
      <c r="G7" s="914">
        <f>SUM(G8:G93)</f>
        <v>378360</v>
      </c>
    </row>
    <row r="8" spans="1:7" ht="11.25" customHeight="1" x14ac:dyDescent="0.25">
      <c r="A8" s="910">
        <v>1</v>
      </c>
      <c r="B8" s="872" t="s">
        <v>16</v>
      </c>
      <c r="C8" s="915" t="s">
        <v>17</v>
      </c>
      <c r="D8" s="869">
        <v>886</v>
      </c>
      <c r="E8" s="869">
        <v>489</v>
      </c>
      <c r="F8" s="869">
        <v>238</v>
      </c>
      <c r="G8" s="883">
        <f t="shared" ref="G8:G72" si="1">SUM(D8:F8)</f>
        <v>1613</v>
      </c>
    </row>
    <row r="9" spans="1:7" ht="11.25" customHeight="1" x14ac:dyDescent="0.25">
      <c r="A9" s="910">
        <v>2</v>
      </c>
      <c r="B9" s="872" t="s">
        <v>18</v>
      </c>
      <c r="C9" s="915" t="s">
        <v>19</v>
      </c>
      <c r="D9" s="869">
        <v>897</v>
      </c>
      <c r="E9" s="869">
        <v>482</v>
      </c>
      <c r="F9" s="869">
        <v>331</v>
      </c>
      <c r="G9" s="883">
        <f t="shared" si="1"/>
        <v>1710</v>
      </c>
    </row>
    <row r="10" spans="1:7" ht="11.25" customHeight="1" x14ac:dyDescent="0.25">
      <c r="A10" s="910">
        <v>3</v>
      </c>
      <c r="B10" s="872" t="s">
        <v>20</v>
      </c>
      <c r="C10" s="915" t="s">
        <v>21</v>
      </c>
      <c r="D10" s="869">
        <v>2848</v>
      </c>
      <c r="E10" s="869">
        <v>1474</v>
      </c>
      <c r="F10" s="869">
        <v>1628</v>
      </c>
      <c r="G10" s="883">
        <f t="shared" si="1"/>
        <v>5950</v>
      </c>
    </row>
    <row r="11" spans="1:7" ht="11.25" customHeight="1" x14ac:dyDescent="0.25">
      <c r="A11" s="910">
        <v>4</v>
      </c>
      <c r="B11" s="872" t="s">
        <v>22</v>
      </c>
      <c r="C11" s="915" t="s">
        <v>23</v>
      </c>
      <c r="D11" s="869">
        <v>624</v>
      </c>
      <c r="E11" s="869">
        <v>86</v>
      </c>
      <c r="F11" s="869"/>
      <c r="G11" s="883">
        <f t="shared" si="1"/>
        <v>710</v>
      </c>
    </row>
    <row r="12" spans="1:7" ht="11.25" customHeight="1" x14ac:dyDescent="0.25">
      <c r="A12" s="910">
        <v>5</v>
      </c>
      <c r="B12" s="872" t="s">
        <v>24</v>
      </c>
      <c r="C12" s="915" t="s">
        <v>25</v>
      </c>
      <c r="D12" s="869">
        <v>799</v>
      </c>
      <c r="E12" s="869">
        <v>531</v>
      </c>
      <c r="F12" s="869">
        <v>412</v>
      </c>
      <c r="G12" s="883">
        <f t="shared" si="1"/>
        <v>1742</v>
      </c>
    </row>
    <row r="13" spans="1:7" ht="11.25" customHeight="1" x14ac:dyDescent="0.25">
      <c r="A13" s="910">
        <v>6</v>
      </c>
      <c r="B13" s="872" t="s">
        <v>26</v>
      </c>
      <c r="C13" s="915" t="s">
        <v>27</v>
      </c>
      <c r="D13" s="869">
        <v>3358</v>
      </c>
      <c r="E13" s="869">
        <v>1169</v>
      </c>
      <c r="F13" s="869">
        <v>901</v>
      </c>
      <c r="G13" s="883">
        <f t="shared" si="1"/>
        <v>5428</v>
      </c>
    </row>
    <row r="14" spans="1:7" ht="11.25" customHeight="1" x14ac:dyDescent="0.25">
      <c r="A14" s="910">
        <v>7</v>
      </c>
      <c r="B14" s="872" t="s">
        <v>28</v>
      </c>
      <c r="C14" s="915" t="s">
        <v>29</v>
      </c>
      <c r="D14" s="869">
        <v>146</v>
      </c>
      <c r="E14" s="869">
        <v>0</v>
      </c>
      <c r="F14" s="869">
        <v>0</v>
      </c>
      <c r="G14" s="883">
        <f t="shared" si="1"/>
        <v>146</v>
      </c>
    </row>
    <row r="15" spans="1:7" ht="11.25" customHeight="1" x14ac:dyDescent="0.25">
      <c r="A15" s="910">
        <v>8</v>
      </c>
      <c r="B15" s="887" t="s">
        <v>30</v>
      </c>
      <c r="C15" s="916" t="s">
        <v>31</v>
      </c>
      <c r="D15" s="869"/>
      <c r="E15" s="869">
        <v>494</v>
      </c>
      <c r="F15" s="869">
        <v>380</v>
      </c>
      <c r="G15" s="883">
        <f t="shared" si="1"/>
        <v>874</v>
      </c>
    </row>
    <row r="16" spans="1:7" ht="11.25" customHeight="1" x14ac:dyDescent="0.25">
      <c r="A16" s="910">
        <v>9</v>
      </c>
      <c r="B16" s="872" t="s">
        <v>32</v>
      </c>
      <c r="C16" s="915" t="s">
        <v>33</v>
      </c>
      <c r="D16" s="869">
        <v>762</v>
      </c>
      <c r="E16" s="869">
        <v>496</v>
      </c>
      <c r="F16" s="869">
        <v>357</v>
      </c>
      <c r="G16" s="883">
        <f t="shared" si="1"/>
        <v>1615</v>
      </c>
    </row>
    <row r="17" spans="1:7" ht="11.25" customHeight="1" x14ac:dyDescent="0.25">
      <c r="A17" s="910">
        <v>10</v>
      </c>
      <c r="B17" s="872" t="s">
        <v>34</v>
      </c>
      <c r="C17" s="915" t="s">
        <v>35</v>
      </c>
      <c r="D17" s="869">
        <v>1003</v>
      </c>
      <c r="E17" s="869">
        <v>623</v>
      </c>
      <c r="F17" s="869">
        <v>510</v>
      </c>
      <c r="G17" s="883">
        <f t="shared" si="1"/>
        <v>2136</v>
      </c>
    </row>
    <row r="18" spans="1:7" ht="11.25" customHeight="1" x14ac:dyDescent="0.25">
      <c r="A18" s="910">
        <v>11</v>
      </c>
      <c r="B18" s="872" t="s">
        <v>36</v>
      </c>
      <c r="C18" s="915" t="s">
        <v>37</v>
      </c>
      <c r="D18" s="869">
        <v>926</v>
      </c>
      <c r="E18" s="869">
        <v>529</v>
      </c>
      <c r="F18" s="869">
        <v>317</v>
      </c>
      <c r="G18" s="883">
        <f t="shared" si="1"/>
        <v>1772</v>
      </c>
    </row>
    <row r="19" spans="1:7" ht="11.25" customHeight="1" x14ac:dyDescent="0.25">
      <c r="A19" s="910">
        <v>12</v>
      </c>
      <c r="B19" s="872" t="s">
        <v>38</v>
      </c>
      <c r="C19" s="915" t="s">
        <v>39</v>
      </c>
      <c r="D19" s="869">
        <v>992</v>
      </c>
      <c r="E19" s="869">
        <v>0</v>
      </c>
      <c r="F19" s="869"/>
      <c r="G19" s="883">
        <f t="shared" si="1"/>
        <v>992</v>
      </c>
    </row>
    <row r="20" spans="1:7" ht="11.25" customHeight="1" x14ac:dyDescent="0.25">
      <c r="A20" s="910">
        <v>13</v>
      </c>
      <c r="B20" s="889" t="s">
        <v>40</v>
      </c>
      <c r="C20" s="917" t="s">
        <v>41</v>
      </c>
      <c r="D20" s="868">
        <v>3488</v>
      </c>
      <c r="E20" s="868">
        <v>2005</v>
      </c>
      <c r="F20" s="868">
        <v>1555</v>
      </c>
      <c r="G20" s="883">
        <f t="shared" si="1"/>
        <v>7048</v>
      </c>
    </row>
    <row r="21" spans="1:7" ht="11.25" customHeight="1" x14ac:dyDescent="0.25">
      <c r="A21" s="910">
        <v>14</v>
      </c>
      <c r="B21" s="911" t="s">
        <v>44</v>
      </c>
      <c r="C21" s="915" t="s">
        <v>45</v>
      </c>
      <c r="D21" s="869">
        <v>515</v>
      </c>
      <c r="E21" s="869"/>
      <c r="F21" s="869"/>
      <c r="G21" s="883">
        <f t="shared" si="1"/>
        <v>515</v>
      </c>
    </row>
    <row r="22" spans="1:7" ht="11.25" customHeight="1" x14ac:dyDescent="0.25">
      <c r="A22" s="910">
        <v>15</v>
      </c>
      <c r="B22" s="872" t="s">
        <v>48</v>
      </c>
      <c r="C22" s="915" t="s">
        <v>49</v>
      </c>
      <c r="D22" s="869">
        <v>2591</v>
      </c>
      <c r="E22" s="869">
        <v>1195</v>
      </c>
      <c r="F22" s="869">
        <v>799</v>
      </c>
      <c r="G22" s="883">
        <f t="shared" si="1"/>
        <v>4585</v>
      </c>
    </row>
    <row r="23" spans="1:7" ht="11.25" customHeight="1" x14ac:dyDescent="0.25">
      <c r="A23" s="910">
        <v>16</v>
      </c>
      <c r="B23" s="872" t="s">
        <v>50</v>
      </c>
      <c r="C23" s="915" t="s">
        <v>51</v>
      </c>
      <c r="D23" s="869">
        <v>5452</v>
      </c>
      <c r="E23" s="869">
        <v>2519</v>
      </c>
      <c r="F23" s="869">
        <v>2492</v>
      </c>
      <c r="G23" s="883">
        <f t="shared" si="1"/>
        <v>10463</v>
      </c>
    </row>
    <row r="24" spans="1:7" ht="11.25" customHeight="1" x14ac:dyDescent="0.25">
      <c r="A24" s="910">
        <v>17</v>
      </c>
      <c r="B24" s="872" t="s">
        <v>52</v>
      </c>
      <c r="C24" s="915" t="s">
        <v>53</v>
      </c>
      <c r="D24" s="869">
        <v>542</v>
      </c>
      <c r="E24" s="869"/>
      <c r="F24" s="869"/>
      <c r="G24" s="883">
        <f t="shared" si="1"/>
        <v>542</v>
      </c>
    </row>
    <row r="25" spans="1:7" ht="11.25" customHeight="1" x14ac:dyDescent="0.25">
      <c r="A25" s="910">
        <v>18</v>
      </c>
      <c r="B25" s="872" t="s">
        <v>56</v>
      </c>
      <c r="C25" s="915" t="s">
        <v>57</v>
      </c>
      <c r="D25" s="869">
        <v>2619</v>
      </c>
      <c r="E25" s="869">
        <v>1625</v>
      </c>
      <c r="F25" s="869">
        <v>1101</v>
      </c>
      <c r="G25" s="883">
        <f t="shared" si="1"/>
        <v>5345</v>
      </c>
    </row>
    <row r="26" spans="1:7" ht="11.25" customHeight="1" x14ac:dyDescent="0.25">
      <c r="A26" s="910">
        <v>19</v>
      </c>
      <c r="B26" s="872" t="s">
        <v>58</v>
      </c>
      <c r="C26" s="915" t="s">
        <v>59</v>
      </c>
      <c r="D26" s="869">
        <v>4274</v>
      </c>
      <c r="E26" s="869">
        <v>2313</v>
      </c>
      <c r="F26" s="869">
        <v>2005</v>
      </c>
      <c r="G26" s="883">
        <f t="shared" si="1"/>
        <v>8592</v>
      </c>
    </row>
    <row r="27" spans="1:7" ht="11.25" customHeight="1" x14ac:dyDescent="0.25">
      <c r="A27" s="910">
        <v>20</v>
      </c>
      <c r="B27" s="872" t="s">
        <v>60</v>
      </c>
      <c r="C27" s="915" t="s">
        <v>61</v>
      </c>
      <c r="D27" s="869">
        <v>640</v>
      </c>
      <c r="E27" s="869">
        <v>334</v>
      </c>
      <c r="F27" s="869">
        <v>245</v>
      </c>
      <c r="G27" s="883">
        <f t="shared" si="1"/>
        <v>1219</v>
      </c>
    </row>
    <row r="28" spans="1:7" ht="11.25" customHeight="1" x14ac:dyDescent="0.25">
      <c r="A28" s="910">
        <v>21</v>
      </c>
      <c r="B28" s="872" t="s">
        <v>66</v>
      </c>
      <c r="C28" s="915" t="s">
        <v>67</v>
      </c>
      <c r="D28" s="869">
        <v>7466</v>
      </c>
      <c r="E28" s="869">
        <v>7157</v>
      </c>
      <c r="F28" s="869">
        <v>4270</v>
      </c>
      <c r="G28" s="883">
        <f t="shared" si="1"/>
        <v>18893</v>
      </c>
    </row>
    <row r="29" spans="1:7" ht="11.25" customHeight="1" x14ac:dyDescent="0.25">
      <c r="A29" s="910">
        <v>22</v>
      </c>
      <c r="B29" s="872" t="s">
        <v>68</v>
      </c>
      <c r="C29" s="915" t="s">
        <v>69</v>
      </c>
      <c r="D29" s="869">
        <v>3247</v>
      </c>
      <c r="E29" s="869">
        <v>1303</v>
      </c>
      <c r="F29" s="869">
        <v>1131</v>
      </c>
      <c r="G29" s="883">
        <f t="shared" si="1"/>
        <v>5681</v>
      </c>
    </row>
    <row r="30" spans="1:7" ht="11.25" customHeight="1" x14ac:dyDescent="0.25">
      <c r="A30" s="910">
        <v>23</v>
      </c>
      <c r="B30" s="872" t="s">
        <v>70</v>
      </c>
      <c r="C30" s="915" t="s">
        <v>71</v>
      </c>
      <c r="D30" s="869">
        <v>5379</v>
      </c>
      <c r="E30" s="869"/>
      <c r="F30" s="869"/>
      <c r="G30" s="883">
        <f t="shared" si="1"/>
        <v>5379</v>
      </c>
    </row>
    <row r="31" spans="1:7" ht="11.25" customHeight="1" x14ac:dyDescent="0.25">
      <c r="A31" s="910">
        <v>24</v>
      </c>
      <c r="B31" s="872" t="s">
        <v>75</v>
      </c>
      <c r="C31" s="915" t="s">
        <v>76</v>
      </c>
      <c r="D31" s="869">
        <v>503</v>
      </c>
      <c r="E31" s="869">
        <v>413</v>
      </c>
      <c r="F31" s="869">
        <v>194</v>
      </c>
      <c r="G31" s="883">
        <f t="shared" si="1"/>
        <v>1110</v>
      </c>
    </row>
    <row r="32" spans="1:7" ht="11.25" customHeight="1" x14ac:dyDescent="0.25">
      <c r="A32" s="910">
        <v>25</v>
      </c>
      <c r="B32" s="872" t="s">
        <v>77</v>
      </c>
      <c r="C32" s="915" t="s">
        <v>78</v>
      </c>
      <c r="D32" s="869">
        <v>3262</v>
      </c>
      <c r="E32" s="869">
        <v>1677</v>
      </c>
      <c r="F32" s="869">
        <v>1305</v>
      </c>
      <c r="G32" s="883">
        <f t="shared" si="1"/>
        <v>6244</v>
      </c>
    </row>
    <row r="33" spans="1:7" ht="11.25" customHeight="1" x14ac:dyDescent="0.25">
      <c r="A33" s="910">
        <v>26</v>
      </c>
      <c r="B33" s="872" t="s">
        <v>79</v>
      </c>
      <c r="C33" s="915" t="s">
        <v>80</v>
      </c>
      <c r="D33" s="869">
        <v>5204</v>
      </c>
      <c r="E33" s="869">
        <v>1117</v>
      </c>
      <c r="F33" s="869">
        <v>1240</v>
      </c>
      <c r="G33" s="883">
        <f t="shared" si="1"/>
        <v>7561</v>
      </c>
    </row>
    <row r="34" spans="1:7" ht="11.25" customHeight="1" x14ac:dyDescent="0.25">
      <c r="A34" s="910">
        <v>27</v>
      </c>
      <c r="B34" s="872" t="s">
        <v>81</v>
      </c>
      <c r="C34" s="915" t="s">
        <v>82</v>
      </c>
      <c r="D34" s="869">
        <v>324</v>
      </c>
      <c r="E34" s="869">
        <v>33</v>
      </c>
      <c r="F34" s="869">
        <v>16</v>
      </c>
      <c r="G34" s="883">
        <f t="shared" si="1"/>
        <v>373</v>
      </c>
    </row>
    <row r="35" spans="1:7" ht="11.25" customHeight="1" x14ac:dyDescent="0.25">
      <c r="A35" s="910">
        <v>28</v>
      </c>
      <c r="B35" s="872" t="s">
        <v>83</v>
      </c>
      <c r="C35" s="915" t="s">
        <v>84</v>
      </c>
      <c r="D35" s="869">
        <v>2930</v>
      </c>
      <c r="E35" s="869">
        <v>1543</v>
      </c>
      <c r="F35" s="869">
        <v>923</v>
      </c>
      <c r="G35" s="883">
        <f t="shared" si="1"/>
        <v>5396</v>
      </c>
    </row>
    <row r="36" spans="1:7" ht="11.25" customHeight="1" x14ac:dyDescent="0.25">
      <c r="A36" s="910">
        <v>29</v>
      </c>
      <c r="B36" s="872" t="s">
        <v>85</v>
      </c>
      <c r="C36" s="915" t="s">
        <v>86</v>
      </c>
      <c r="D36" s="869">
        <v>1493</v>
      </c>
      <c r="E36" s="869">
        <v>750</v>
      </c>
      <c r="F36" s="869">
        <v>487</v>
      </c>
      <c r="G36" s="883">
        <f t="shared" si="1"/>
        <v>2730</v>
      </c>
    </row>
    <row r="37" spans="1:7" ht="11.25" customHeight="1" x14ac:dyDescent="0.25">
      <c r="A37" s="910">
        <v>30</v>
      </c>
      <c r="B37" s="872" t="s">
        <v>87</v>
      </c>
      <c r="C37" s="915" t="s">
        <v>88</v>
      </c>
      <c r="D37" s="869">
        <v>5258</v>
      </c>
      <c r="E37" s="869">
        <v>1912</v>
      </c>
      <c r="F37" s="869">
        <v>1329</v>
      </c>
      <c r="G37" s="883">
        <f t="shared" si="1"/>
        <v>8499</v>
      </c>
    </row>
    <row r="38" spans="1:7" ht="11.25" customHeight="1" x14ac:dyDescent="0.25">
      <c r="A38" s="910">
        <v>31</v>
      </c>
      <c r="B38" s="872" t="s">
        <v>89</v>
      </c>
      <c r="C38" s="915" t="s">
        <v>90</v>
      </c>
      <c r="D38" s="869">
        <v>1217</v>
      </c>
      <c r="E38" s="869">
        <v>166</v>
      </c>
      <c r="F38" s="869">
        <v>102</v>
      </c>
      <c r="G38" s="883">
        <f t="shared" si="1"/>
        <v>1485</v>
      </c>
    </row>
    <row r="39" spans="1:7" ht="11.25" customHeight="1" x14ac:dyDescent="0.25">
      <c r="A39" s="910">
        <v>32</v>
      </c>
      <c r="B39" s="889" t="s">
        <v>91</v>
      </c>
      <c r="C39" s="917" t="s">
        <v>92</v>
      </c>
      <c r="D39" s="868">
        <v>488</v>
      </c>
      <c r="E39" s="868">
        <v>225</v>
      </c>
      <c r="F39" s="868">
        <v>2</v>
      </c>
      <c r="G39" s="883">
        <f t="shared" si="1"/>
        <v>715</v>
      </c>
    </row>
    <row r="40" spans="1:7" ht="11.25" customHeight="1" x14ac:dyDescent="0.25">
      <c r="A40" s="910">
        <v>33</v>
      </c>
      <c r="B40" s="872" t="s">
        <v>93</v>
      </c>
      <c r="C40" s="915" t="s">
        <v>94</v>
      </c>
      <c r="D40" s="869">
        <v>1225</v>
      </c>
      <c r="E40" s="869"/>
      <c r="F40" s="869"/>
      <c r="G40" s="883">
        <f t="shared" si="1"/>
        <v>1225</v>
      </c>
    </row>
    <row r="41" spans="1:7" ht="11.25" customHeight="1" x14ac:dyDescent="0.25">
      <c r="A41" s="910">
        <v>34</v>
      </c>
      <c r="B41" s="872" t="s">
        <v>95</v>
      </c>
      <c r="C41" s="915" t="s">
        <v>96</v>
      </c>
      <c r="D41" s="869">
        <v>0</v>
      </c>
      <c r="E41" s="869">
        <v>182</v>
      </c>
      <c r="F41" s="869">
        <v>177</v>
      </c>
      <c r="G41" s="883">
        <f t="shared" si="1"/>
        <v>359</v>
      </c>
    </row>
    <row r="42" spans="1:7" ht="11.25" customHeight="1" x14ac:dyDescent="0.25">
      <c r="A42" s="910">
        <v>35</v>
      </c>
      <c r="B42" s="872" t="s">
        <v>97</v>
      </c>
      <c r="C42" s="915" t="s">
        <v>98</v>
      </c>
      <c r="D42" s="869">
        <v>759</v>
      </c>
      <c r="E42" s="869">
        <v>514</v>
      </c>
      <c r="F42" s="926">
        <v>316</v>
      </c>
      <c r="G42" s="883">
        <f t="shared" si="1"/>
        <v>1589</v>
      </c>
    </row>
    <row r="43" spans="1:7" ht="11.25" customHeight="1" x14ac:dyDescent="0.25">
      <c r="A43" s="910">
        <v>36</v>
      </c>
      <c r="B43" s="872" t="s">
        <v>99</v>
      </c>
      <c r="C43" s="915" t="s">
        <v>100</v>
      </c>
      <c r="D43" s="869">
        <v>5480</v>
      </c>
      <c r="E43" s="869">
        <v>2830</v>
      </c>
      <c r="F43" s="869">
        <v>1689</v>
      </c>
      <c r="G43" s="883">
        <f t="shared" si="1"/>
        <v>9999</v>
      </c>
    </row>
    <row r="44" spans="1:7" ht="11.25" customHeight="1" x14ac:dyDescent="0.25">
      <c r="A44" s="910">
        <v>37</v>
      </c>
      <c r="B44" s="872" t="s">
        <v>101</v>
      </c>
      <c r="C44" s="915" t="s">
        <v>102</v>
      </c>
      <c r="D44" s="869">
        <v>928</v>
      </c>
      <c r="E44" s="869">
        <v>638</v>
      </c>
      <c r="F44" s="869">
        <v>420</v>
      </c>
      <c r="G44" s="883">
        <f t="shared" si="1"/>
        <v>1986</v>
      </c>
    </row>
    <row r="45" spans="1:7" ht="11.25" customHeight="1" x14ac:dyDescent="0.25">
      <c r="A45" s="910">
        <v>38</v>
      </c>
      <c r="B45" s="872" t="s">
        <v>103</v>
      </c>
      <c r="C45" s="915" t="s">
        <v>104</v>
      </c>
      <c r="D45" s="869">
        <v>3942</v>
      </c>
      <c r="E45" s="869">
        <v>1984</v>
      </c>
      <c r="F45" s="869">
        <v>1341</v>
      </c>
      <c r="G45" s="883">
        <f t="shared" si="1"/>
        <v>7267</v>
      </c>
    </row>
    <row r="46" spans="1:7" ht="11.25" customHeight="1" x14ac:dyDescent="0.25">
      <c r="A46" s="910">
        <v>39</v>
      </c>
      <c r="B46" s="872" t="s">
        <v>105</v>
      </c>
      <c r="C46" s="915" t="s">
        <v>106</v>
      </c>
      <c r="D46" s="869">
        <v>1137</v>
      </c>
      <c r="E46" s="869">
        <v>841</v>
      </c>
      <c r="F46" s="869">
        <v>514</v>
      </c>
      <c r="G46" s="883">
        <f t="shared" si="1"/>
        <v>2492</v>
      </c>
    </row>
    <row r="47" spans="1:7" ht="11.25" customHeight="1" x14ac:dyDescent="0.25">
      <c r="A47" s="910">
        <v>40</v>
      </c>
      <c r="B47" s="872" t="s">
        <v>107</v>
      </c>
      <c r="C47" s="915" t="s">
        <v>108</v>
      </c>
      <c r="D47" s="869">
        <v>1208</v>
      </c>
      <c r="E47" s="869"/>
      <c r="F47" s="869"/>
      <c r="G47" s="883">
        <f t="shared" si="1"/>
        <v>1208</v>
      </c>
    </row>
    <row r="48" spans="1:7" ht="11.25" customHeight="1" x14ac:dyDescent="0.25">
      <c r="A48" s="910">
        <v>41</v>
      </c>
      <c r="B48" s="872" t="s">
        <v>109</v>
      </c>
      <c r="C48" s="915" t="s">
        <v>110</v>
      </c>
      <c r="D48" s="869">
        <v>2749</v>
      </c>
      <c r="E48" s="869">
        <v>1177</v>
      </c>
      <c r="F48" s="869">
        <v>745</v>
      </c>
      <c r="G48" s="883">
        <f t="shared" si="1"/>
        <v>4671</v>
      </c>
    </row>
    <row r="49" spans="1:14" ht="11.25" customHeight="1" x14ac:dyDescent="0.25">
      <c r="A49" s="910">
        <v>42</v>
      </c>
      <c r="B49" s="887" t="s">
        <v>111</v>
      </c>
      <c r="C49" s="916" t="s">
        <v>112</v>
      </c>
      <c r="D49" s="869">
        <v>217</v>
      </c>
      <c r="E49" s="869"/>
      <c r="F49" s="869">
        <v>51</v>
      </c>
      <c r="G49" s="883">
        <f t="shared" si="1"/>
        <v>268</v>
      </c>
    </row>
    <row r="50" spans="1:14" ht="11.25" customHeight="1" x14ac:dyDescent="0.25">
      <c r="A50" s="910">
        <v>43</v>
      </c>
      <c r="B50" s="872" t="s">
        <v>113</v>
      </c>
      <c r="C50" s="915" t="s">
        <v>114</v>
      </c>
      <c r="D50" s="869">
        <v>303</v>
      </c>
      <c r="E50" s="869">
        <v>685</v>
      </c>
      <c r="F50" s="869">
        <v>541</v>
      </c>
      <c r="G50" s="883">
        <f t="shared" si="1"/>
        <v>1529</v>
      </c>
      <c r="N50" s="859">
        <f>+J3</f>
        <v>0</v>
      </c>
    </row>
    <row r="51" spans="1:14" ht="11.25" customHeight="1" x14ac:dyDescent="0.25">
      <c r="A51" s="910">
        <v>44</v>
      </c>
      <c r="B51" s="872" t="s">
        <v>115</v>
      </c>
      <c r="C51" s="915" t="s">
        <v>116</v>
      </c>
      <c r="D51" s="869">
        <v>1695</v>
      </c>
      <c r="E51" s="869">
        <v>912</v>
      </c>
      <c r="F51" s="869">
        <v>563</v>
      </c>
      <c r="G51" s="883">
        <f t="shared" si="1"/>
        <v>3170</v>
      </c>
    </row>
    <row r="52" spans="1:14" ht="11.25" customHeight="1" x14ac:dyDescent="0.25">
      <c r="A52" s="910">
        <v>45</v>
      </c>
      <c r="B52" s="872" t="s">
        <v>117</v>
      </c>
      <c r="C52" s="917" t="s">
        <v>118</v>
      </c>
      <c r="D52" s="868">
        <v>4278</v>
      </c>
      <c r="E52" s="868">
        <v>1542</v>
      </c>
      <c r="F52" s="868">
        <v>1725</v>
      </c>
      <c r="G52" s="883">
        <f t="shared" si="1"/>
        <v>7545</v>
      </c>
    </row>
    <row r="53" spans="1:14" ht="11.25" customHeight="1" x14ac:dyDescent="0.25">
      <c r="A53" s="910">
        <v>46</v>
      </c>
      <c r="B53" s="872" t="s">
        <v>119</v>
      </c>
      <c r="C53" s="915" t="s">
        <v>120</v>
      </c>
      <c r="D53" s="869">
        <v>951</v>
      </c>
      <c r="E53" s="869">
        <v>533</v>
      </c>
      <c r="F53" s="869">
        <v>376</v>
      </c>
      <c r="G53" s="883">
        <f t="shared" si="1"/>
        <v>1860</v>
      </c>
    </row>
    <row r="54" spans="1:14" ht="11.25" customHeight="1" x14ac:dyDescent="0.25">
      <c r="A54" s="910">
        <v>47</v>
      </c>
      <c r="B54" s="872" t="s">
        <v>127</v>
      </c>
      <c r="C54" s="915" t="s">
        <v>128</v>
      </c>
      <c r="D54" s="869">
        <v>2790</v>
      </c>
      <c r="E54" s="869"/>
      <c r="F54" s="869"/>
      <c r="G54" s="883">
        <f t="shared" si="1"/>
        <v>2790</v>
      </c>
    </row>
    <row r="55" spans="1:14" ht="11.25" customHeight="1" x14ac:dyDescent="0.25">
      <c r="A55" s="910">
        <v>48</v>
      </c>
      <c r="B55" s="872" t="s">
        <v>129</v>
      </c>
      <c r="C55" s="915" t="s">
        <v>457</v>
      </c>
      <c r="D55" s="869">
        <v>2446</v>
      </c>
      <c r="E55" s="869"/>
      <c r="F55" s="869"/>
      <c r="G55" s="883">
        <f t="shared" si="1"/>
        <v>2446</v>
      </c>
    </row>
    <row r="56" spans="1:14" ht="11.25" customHeight="1" x14ac:dyDescent="0.25">
      <c r="A56" s="910">
        <v>49</v>
      </c>
      <c r="B56" s="872" t="s">
        <v>131</v>
      </c>
      <c r="C56" s="915" t="s">
        <v>132</v>
      </c>
      <c r="D56" s="869">
        <v>3224</v>
      </c>
      <c r="E56" s="869"/>
      <c r="F56" s="869"/>
      <c r="G56" s="883">
        <f t="shared" si="1"/>
        <v>3224</v>
      </c>
    </row>
    <row r="57" spans="1:14" ht="11.25" customHeight="1" x14ac:dyDescent="0.25">
      <c r="A57" s="910">
        <v>50</v>
      </c>
      <c r="B57" s="872" t="s">
        <v>133</v>
      </c>
      <c r="C57" s="915" t="s">
        <v>299</v>
      </c>
      <c r="D57" s="869">
        <v>3124</v>
      </c>
      <c r="E57" s="869"/>
      <c r="F57" s="869"/>
      <c r="G57" s="883">
        <f t="shared" si="1"/>
        <v>3124</v>
      </c>
    </row>
    <row r="58" spans="1:14" ht="11.25" customHeight="1" x14ac:dyDescent="0.25">
      <c r="A58" s="910">
        <v>51</v>
      </c>
      <c r="B58" s="918" t="s">
        <v>135</v>
      </c>
      <c r="C58" s="919" t="s">
        <v>670</v>
      </c>
      <c r="D58" s="869">
        <v>2664</v>
      </c>
      <c r="E58" s="869"/>
      <c r="F58" s="869"/>
      <c r="G58" s="883">
        <f t="shared" si="1"/>
        <v>2664</v>
      </c>
    </row>
    <row r="59" spans="1:14" ht="11.25" customHeight="1" x14ac:dyDescent="0.25">
      <c r="A59" s="910">
        <v>52</v>
      </c>
      <c r="B59" s="872" t="s">
        <v>141</v>
      </c>
      <c r="C59" s="915" t="s">
        <v>454</v>
      </c>
      <c r="D59" s="869">
        <v>4328</v>
      </c>
      <c r="E59" s="869">
        <v>2883</v>
      </c>
      <c r="F59" s="869">
        <v>1873</v>
      </c>
      <c r="G59" s="883">
        <f t="shared" si="1"/>
        <v>9084</v>
      </c>
    </row>
    <row r="60" spans="1:14" ht="11.25" customHeight="1" x14ac:dyDescent="0.25">
      <c r="A60" s="910">
        <v>53</v>
      </c>
      <c r="B60" s="872" t="s">
        <v>143</v>
      </c>
      <c r="C60" s="915" t="s">
        <v>144</v>
      </c>
      <c r="D60" s="869">
        <v>2561</v>
      </c>
      <c r="E60" s="869">
        <v>2123</v>
      </c>
      <c r="F60" s="869">
        <v>1250</v>
      </c>
      <c r="G60" s="883">
        <f t="shared" si="1"/>
        <v>5934</v>
      </c>
    </row>
    <row r="61" spans="1:14" ht="11.25" customHeight="1" x14ac:dyDescent="0.25">
      <c r="A61" s="910">
        <v>54</v>
      </c>
      <c r="B61" s="872" t="s">
        <v>145</v>
      </c>
      <c r="C61" s="915" t="s">
        <v>455</v>
      </c>
      <c r="D61" s="869">
        <v>5119</v>
      </c>
      <c r="E61" s="869">
        <v>4866</v>
      </c>
      <c r="F61" s="869">
        <v>3574</v>
      </c>
      <c r="G61" s="883">
        <f t="shared" si="1"/>
        <v>13559</v>
      </c>
    </row>
    <row r="62" spans="1:14" ht="11.25" customHeight="1" x14ac:dyDescent="0.25">
      <c r="A62" s="910">
        <v>55</v>
      </c>
      <c r="B62" s="889" t="s">
        <v>161</v>
      </c>
      <c r="C62" s="917" t="s">
        <v>162</v>
      </c>
      <c r="D62" s="868">
        <v>4217</v>
      </c>
      <c r="E62" s="868">
        <v>1813</v>
      </c>
      <c r="F62" s="868">
        <v>1289</v>
      </c>
      <c r="G62" s="883">
        <f t="shared" si="1"/>
        <v>7319</v>
      </c>
    </row>
    <row r="63" spans="1:14" ht="11.25" customHeight="1" x14ac:dyDescent="0.25">
      <c r="A63" s="910">
        <v>56</v>
      </c>
      <c r="B63" s="889" t="s">
        <v>163</v>
      </c>
      <c r="C63" s="917" t="s">
        <v>456</v>
      </c>
      <c r="D63" s="868">
        <v>7839</v>
      </c>
      <c r="E63" s="868">
        <v>4681</v>
      </c>
      <c r="F63" s="868">
        <v>3510</v>
      </c>
      <c r="G63" s="883">
        <f t="shared" si="1"/>
        <v>16030</v>
      </c>
    </row>
    <row r="64" spans="1:14" ht="11.25" customHeight="1" x14ac:dyDescent="0.25">
      <c r="A64" s="910">
        <v>57</v>
      </c>
      <c r="B64" s="889" t="s">
        <v>165</v>
      </c>
      <c r="C64" s="917" t="s">
        <v>166</v>
      </c>
      <c r="D64" s="868">
        <v>6152</v>
      </c>
      <c r="E64" s="868">
        <v>4372</v>
      </c>
      <c r="F64" s="868">
        <v>3073</v>
      </c>
      <c r="G64" s="883">
        <f t="shared" si="1"/>
        <v>13597</v>
      </c>
    </row>
    <row r="65" spans="1:7" ht="11.25" customHeight="1" x14ac:dyDescent="0.25">
      <c r="A65" s="910">
        <v>58</v>
      </c>
      <c r="B65" s="889" t="s">
        <v>167</v>
      </c>
      <c r="C65" s="917" t="s">
        <v>168</v>
      </c>
      <c r="D65" s="868">
        <v>1672</v>
      </c>
      <c r="E65" s="868">
        <v>919</v>
      </c>
      <c r="F65" s="868">
        <v>833</v>
      </c>
      <c r="G65" s="883">
        <f t="shared" si="1"/>
        <v>3424</v>
      </c>
    </row>
    <row r="66" spans="1:7" ht="11.25" customHeight="1" x14ac:dyDescent="0.25">
      <c r="A66" s="910">
        <v>59</v>
      </c>
      <c r="B66" s="889" t="s">
        <v>169</v>
      </c>
      <c r="C66" s="917" t="s">
        <v>170</v>
      </c>
      <c r="D66" s="868">
        <v>6478</v>
      </c>
      <c r="E66" s="868">
        <v>4697</v>
      </c>
      <c r="F66" s="868">
        <v>3162</v>
      </c>
      <c r="G66" s="883">
        <f t="shared" si="1"/>
        <v>14337</v>
      </c>
    </row>
    <row r="67" spans="1:7" ht="11.25" customHeight="1" x14ac:dyDescent="0.25">
      <c r="A67" s="910">
        <v>60</v>
      </c>
      <c r="B67" s="889" t="s">
        <v>171</v>
      </c>
      <c r="C67" s="917" t="s">
        <v>172</v>
      </c>
      <c r="D67" s="868">
        <v>3127</v>
      </c>
      <c r="E67" s="868"/>
      <c r="F67" s="868"/>
      <c r="G67" s="883">
        <f t="shared" si="1"/>
        <v>3127</v>
      </c>
    </row>
    <row r="68" spans="1:7" ht="11.25" customHeight="1" x14ac:dyDescent="0.25">
      <c r="A68" s="910">
        <v>61</v>
      </c>
      <c r="B68" s="889" t="s">
        <v>173</v>
      </c>
      <c r="C68" s="917" t="s">
        <v>613</v>
      </c>
      <c r="D68" s="868">
        <v>6920</v>
      </c>
      <c r="E68" s="868">
        <v>4727</v>
      </c>
      <c r="F68" s="868">
        <v>3386</v>
      </c>
      <c r="G68" s="883">
        <f t="shared" si="1"/>
        <v>15033</v>
      </c>
    </row>
    <row r="69" spans="1:7" ht="11.25" customHeight="1" x14ac:dyDescent="0.25">
      <c r="A69" s="910">
        <v>62</v>
      </c>
      <c r="B69" s="889" t="s">
        <v>178</v>
      </c>
      <c r="C69" s="917" t="s">
        <v>324</v>
      </c>
      <c r="D69" s="868">
        <v>357</v>
      </c>
      <c r="E69" s="868">
        <v>191</v>
      </c>
      <c r="F69" s="868">
        <v>149</v>
      </c>
      <c r="G69" s="883">
        <f t="shared" si="1"/>
        <v>697</v>
      </c>
    </row>
    <row r="70" spans="1:7" ht="11.25" customHeight="1" x14ac:dyDescent="0.25">
      <c r="A70" s="910">
        <v>63</v>
      </c>
      <c r="B70" s="889" t="s">
        <v>183</v>
      </c>
      <c r="C70" s="917" t="s">
        <v>184</v>
      </c>
      <c r="D70" s="868">
        <v>279</v>
      </c>
      <c r="E70" s="868">
        <v>192</v>
      </c>
      <c r="F70" s="868">
        <v>115</v>
      </c>
      <c r="G70" s="883">
        <f t="shared" si="1"/>
        <v>586</v>
      </c>
    </row>
    <row r="71" spans="1:7" ht="11.25" customHeight="1" x14ac:dyDescent="0.25">
      <c r="A71" s="910">
        <v>64</v>
      </c>
      <c r="B71" s="889" t="s">
        <v>185</v>
      </c>
      <c r="C71" s="917" t="s">
        <v>186</v>
      </c>
      <c r="D71" s="868">
        <v>3270</v>
      </c>
      <c r="E71" s="868">
        <v>3008</v>
      </c>
      <c r="F71" s="868">
        <v>2245</v>
      </c>
      <c r="G71" s="883">
        <f t="shared" si="1"/>
        <v>8523</v>
      </c>
    </row>
    <row r="72" spans="1:7" ht="11.25" customHeight="1" x14ac:dyDescent="0.25">
      <c r="A72" s="910">
        <v>65</v>
      </c>
      <c r="B72" s="889" t="s">
        <v>187</v>
      </c>
      <c r="C72" s="915" t="s">
        <v>188</v>
      </c>
      <c r="D72" s="869">
        <v>965</v>
      </c>
      <c r="E72" s="869">
        <v>464</v>
      </c>
      <c r="F72" s="869">
        <v>301</v>
      </c>
      <c r="G72" s="883">
        <f t="shared" si="1"/>
        <v>1730</v>
      </c>
    </row>
    <row r="73" spans="1:7" ht="11.25" customHeight="1" x14ac:dyDescent="0.25">
      <c r="A73" s="910">
        <v>66</v>
      </c>
      <c r="B73" s="872" t="s">
        <v>189</v>
      </c>
      <c r="C73" s="915" t="s">
        <v>190</v>
      </c>
      <c r="D73" s="869">
        <v>0</v>
      </c>
      <c r="E73" s="869">
        <v>203</v>
      </c>
      <c r="F73" s="869">
        <v>136</v>
      </c>
      <c r="G73" s="883">
        <f t="shared" ref="G73:G93" si="2">SUM(D73:F73)</f>
        <v>339</v>
      </c>
    </row>
    <row r="74" spans="1:7" ht="11.25" customHeight="1" x14ac:dyDescent="0.25">
      <c r="A74" s="910">
        <v>67</v>
      </c>
      <c r="B74" s="889" t="s">
        <v>191</v>
      </c>
      <c r="C74" s="915" t="s">
        <v>192</v>
      </c>
      <c r="D74" s="869">
        <v>2345</v>
      </c>
      <c r="E74" s="869">
        <v>1120</v>
      </c>
      <c r="F74" s="869">
        <v>775</v>
      </c>
      <c r="G74" s="883">
        <f t="shared" si="2"/>
        <v>4240</v>
      </c>
    </row>
    <row r="75" spans="1:7" ht="11.25" customHeight="1" x14ac:dyDescent="0.25">
      <c r="A75" s="910">
        <v>68</v>
      </c>
      <c r="B75" s="889" t="s">
        <v>193</v>
      </c>
      <c r="C75" s="915" t="s">
        <v>194</v>
      </c>
      <c r="D75" s="869">
        <v>517</v>
      </c>
      <c r="E75" s="869">
        <v>629</v>
      </c>
      <c r="F75" s="869">
        <v>375</v>
      </c>
      <c r="G75" s="883">
        <f t="shared" si="2"/>
        <v>1521</v>
      </c>
    </row>
    <row r="76" spans="1:7" ht="11.25" customHeight="1" x14ac:dyDescent="0.25">
      <c r="A76" s="910">
        <v>69</v>
      </c>
      <c r="B76" s="889" t="s">
        <v>195</v>
      </c>
      <c r="C76" s="915" t="s">
        <v>196</v>
      </c>
      <c r="D76" s="869">
        <v>1344</v>
      </c>
      <c r="E76" s="869">
        <v>731</v>
      </c>
      <c r="F76" s="869">
        <v>605</v>
      </c>
      <c r="G76" s="883">
        <f t="shared" si="2"/>
        <v>2680</v>
      </c>
    </row>
    <row r="77" spans="1:7" ht="11.25" customHeight="1" x14ac:dyDescent="0.25">
      <c r="A77" s="910">
        <v>70</v>
      </c>
      <c r="B77" s="889" t="s">
        <v>201</v>
      </c>
      <c r="C77" s="917" t="s">
        <v>202</v>
      </c>
      <c r="D77" s="868">
        <v>563</v>
      </c>
      <c r="E77" s="868">
        <v>213</v>
      </c>
      <c r="F77" s="868">
        <v>129</v>
      </c>
      <c r="G77" s="883">
        <f t="shared" si="2"/>
        <v>905</v>
      </c>
    </row>
    <row r="78" spans="1:7" ht="11.25" customHeight="1" x14ac:dyDescent="0.25">
      <c r="A78" s="910">
        <v>71</v>
      </c>
      <c r="B78" s="920" t="s">
        <v>203</v>
      </c>
      <c r="C78" s="916" t="s">
        <v>204</v>
      </c>
      <c r="D78" s="868">
        <v>624</v>
      </c>
      <c r="E78" s="868">
        <v>172</v>
      </c>
      <c r="F78" s="868"/>
      <c r="G78" s="883">
        <f t="shared" si="2"/>
        <v>796</v>
      </c>
    </row>
    <row r="79" spans="1:7" ht="11.25" customHeight="1" x14ac:dyDescent="0.25">
      <c r="A79" s="910">
        <v>72</v>
      </c>
      <c r="B79" s="889" t="s">
        <v>205</v>
      </c>
      <c r="C79" s="917" t="s">
        <v>206</v>
      </c>
      <c r="D79" s="868">
        <v>1313</v>
      </c>
      <c r="E79" s="868">
        <v>561</v>
      </c>
      <c r="F79" s="868">
        <v>367</v>
      </c>
      <c r="G79" s="883">
        <f t="shared" si="2"/>
        <v>2241</v>
      </c>
    </row>
    <row r="80" spans="1:7" ht="11.25" customHeight="1" x14ac:dyDescent="0.25">
      <c r="A80" s="910">
        <v>73</v>
      </c>
      <c r="B80" s="889" t="s">
        <v>207</v>
      </c>
      <c r="C80" s="917" t="s">
        <v>208</v>
      </c>
      <c r="D80" s="868">
        <v>1959</v>
      </c>
      <c r="E80" s="868">
        <v>2212</v>
      </c>
      <c r="F80" s="868">
        <v>881</v>
      </c>
      <c r="G80" s="883">
        <f t="shared" si="2"/>
        <v>5052</v>
      </c>
    </row>
    <row r="81" spans="1:7" ht="11.25" customHeight="1" x14ac:dyDescent="0.25">
      <c r="A81" s="910">
        <v>74</v>
      </c>
      <c r="B81" s="889" t="s">
        <v>209</v>
      </c>
      <c r="C81" s="917" t="s">
        <v>210</v>
      </c>
      <c r="D81" s="868">
        <v>635</v>
      </c>
      <c r="E81" s="868">
        <v>436</v>
      </c>
      <c r="F81" s="868">
        <v>292</v>
      </c>
      <c r="G81" s="883">
        <f t="shared" si="2"/>
        <v>1363</v>
      </c>
    </row>
    <row r="82" spans="1:7" ht="11.25" customHeight="1" x14ac:dyDescent="0.25">
      <c r="A82" s="910">
        <v>75</v>
      </c>
      <c r="B82" s="889" t="s">
        <v>211</v>
      </c>
      <c r="C82" s="917" t="s">
        <v>212</v>
      </c>
      <c r="D82" s="868">
        <v>1909</v>
      </c>
      <c r="E82" s="868">
        <v>643</v>
      </c>
      <c r="F82" s="868">
        <v>436</v>
      </c>
      <c r="G82" s="883">
        <f t="shared" si="2"/>
        <v>2988</v>
      </c>
    </row>
    <row r="83" spans="1:7" ht="11.25" customHeight="1" x14ac:dyDescent="0.25">
      <c r="A83" s="910">
        <v>76</v>
      </c>
      <c r="B83" s="889" t="s">
        <v>213</v>
      </c>
      <c r="C83" s="917" t="s">
        <v>214</v>
      </c>
      <c r="D83" s="868">
        <v>2735</v>
      </c>
      <c r="E83" s="868">
        <v>1932</v>
      </c>
      <c r="F83" s="868">
        <v>1177</v>
      </c>
      <c r="G83" s="883">
        <f t="shared" si="2"/>
        <v>5844</v>
      </c>
    </row>
    <row r="84" spans="1:7" ht="11.25" customHeight="1" x14ac:dyDescent="0.25">
      <c r="A84" s="910">
        <v>77</v>
      </c>
      <c r="B84" s="889" t="s">
        <v>215</v>
      </c>
      <c r="C84" s="917" t="s">
        <v>216</v>
      </c>
      <c r="D84" s="868">
        <v>552</v>
      </c>
      <c r="E84" s="868">
        <v>226</v>
      </c>
      <c r="F84" s="868">
        <v>166</v>
      </c>
      <c r="G84" s="883">
        <f t="shared" si="2"/>
        <v>944</v>
      </c>
    </row>
    <row r="85" spans="1:7" ht="11.25" customHeight="1" x14ac:dyDescent="0.25">
      <c r="A85" s="910">
        <v>78</v>
      </c>
      <c r="B85" s="889" t="s">
        <v>258</v>
      </c>
      <c r="C85" s="917" t="s">
        <v>671</v>
      </c>
      <c r="D85" s="868">
        <v>3280</v>
      </c>
      <c r="E85" s="868">
        <v>2484</v>
      </c>
      <c r="F85" s="868">
        <v>2666</v>
      </c>
      <c r="G85" s="883">
        <f t="shared" si="2"/>
        <v>8430</v>
      </c>
    </row>
    <row r="86" spans="1:7" ht="11.25" customHeight="1" x14ac:dyDescent="0.25">
      <c r="A86" s="910">
        <v>79</v>
      </c>
      <c r="B86" s="889" t="s">
        <v>260</v>
      </c>
      <c r="C86" s="917" t="s">
        <v>261</v>
      </c>
      <c r="D86" s="868">
        <v>3124</v>
      </c>
      <c r="E86" s="868"/>
      <c r="F86" s="868"/>
      <c r="G86" s="883">
        <f t="shared" si="2"/>
        <v>3124</v>
      </c>
    </row>
    <row r="87" spans="1:7" ht="11.25" customHeight="1" x14ac:dyDescent="0.25">
      <c r="A87" s="910">
        <v>80</v>
      </c>
      <c r="B87" s="889" t="s">
        <v>262</v>
      </c>
      <c r="C87" s="917" t="s">
        <v>263</v>
      </c>
      <c r="D87" s="868">
        <v>11000</v>
      </c>
      <c r="E87" s="868">
        <v>1314</v>
      </c>
      <c r="F87" s="868">
        <v>550</v>
      </c>
      <c r="G87" s="883">
        <f t="shared" si="2"/>
        <v>12864</v>
      </c>
    </row>
    <row r="88" spans="1:7" ht="11.25" customHeight="1" x14ac:dyDescent="0.25">
      <c r="A88" s="910">
        <v>81</v>
      </c>
      <c r="B88" s="889" t="s">
        <v>264</v>
      </c>
      <c r="C88" s="917" t="s">
        <v>265</v>
      </c>
      <c r="D88" s="868">
        <v>3281</v>
      </c>
      <c r="E88" s="868">
        <v>2</v>
      </c>
      <c r="F88" s="868">
        <v>21</v>
      </c>
      <c r="G88" s="883">
        <f t="shared" si="2"/>
        <v>3304</v>
      </c>
    </row>
    <row r="89" spans="1:7" ht="11.25" customHeight="1" x14ac:dyDescent="0.25">
      <c r="A89" s="910">
        <v>82</v>
      </c>
      <c r="B89" s="889" t="s">
        <v>268</v>
      </c>
      <c r="C89" s="917" t="s">
        <v>269</v>
      </c>
      <c r="D89" s="868">
        <v>713</v>
      </c>
      <c r="E89" s="868"/>
      <c r="F89" s="868"/>
      <c r="G89" s="883">
        <f t="shared" si="2"/>
        <v>713</v>
      </c>
    </row>
    <row r="90" spans="1:7" ht="11.25" customHeight="1" x14ac:dyDescent="0.25">
      <c r="A90" s="910">
        <v>83</v>
      </c>
      <c r="B90" s="889" t="s">
        <v>274</v>
      </c>
      <c r="C90" s="917" t="s">
        <v>275</v>
      </c>
      <c r="D90" s="868">
        <v>440</v>
      </c>
      <c r="E90" s="868">
        <v>1055</v>
      </c>
      <c r="F90" s="868">
        <v>1285</v>
      </c>
      <c r="G90" s="883">
        <f t="shared" si="2"/>
        <v>2780</v>
      </c>
    </row>
    <row r="91" spans="1:7" ht="11.25" customHeight="1" x14ac:dyDescent="0.25">
      <c r="A91" s="910">
        <v>84</v>
      </c>
      <c r="B91" s="889" t="s">
        <v>276</v>
      </c>
      <c r="C91" s="144" t="s">
        <v>277</v>
      </c>
      <c r="D91" s="868">
        <v>2009</v>
      </c>
      <c r="E91" s="868">
        <v>2483</v>
      </c>
      <c r="F91" s="868">
        <v>1851</v>
      </c>
      <c r="G91" s="883">
        <f t="shared" si="2"/>
        <v>6343</v>
      </c>
    </row>
    <row r="92" spans="1:7" ht="11.25" customHeight="1" x14ac:dyDescent="0.25">
      <c r="A92" s="910">
        <v>85</v>
      </c>
      <c r="B92" s="889" t="s">
        <v>278</v>
      </c>
      <c r="C92" s="917" t="s">
        <v>279</v>
      </c>
      <c r="D92" s="868">
        <v>5731</v>
      </c>
      <c r="E92" s="868">
        <v>4377</v>
      </c>
      <c r="F92" s="868">
        <v>2295</v>
      </c>
      <c r="G92" s="883">
        <f t="shared" si="2"/>
        <v>12403</v>
      </c>
    </row>
    <row r="93" spans="1:7" ht="11.25" customHeight="1" x14ac:dyDescent="0.25">
      <c r="A93" s="910">
        <v>86</v>
      </c>
      <c r="B93" s="889" t="s">
        <v>46</v>
      </c>
      <c r="C93" s="917" t="s">
        <v>47</v>
      </c>
      <c r="D93" s="868">
        <v>27</v>
      </c>
      <c r="E93" s="868"/>
      <c r="F93" s="868"/>
      <c r="G93" s="883">
        <f t="shared" si="2"/>
        <v>27</v>
      </c>
    </row>
    <row r="94" spans="1:7" ht="11.25" customHeight="1" thickBot="1" x14ac:dyDescent="0.3">
      <c r="A94" s="921"/>
      <c r="B94" s="922"/>
      <c r="C94" s="923" t="s">
        <v>467</v>
      </c>
      <c r="D94" s="891">
        <f>SUM(D8:D93)</f>
        <v>206638</v>
      </c>
      <c r="E94" s="891">
        <f>SUM(E8:E93)</f>
        <v>100227</v>
      </c>
      <c r="F94" s="891">
        <f>SUM(F8:F93)</f>
        <v>71495</v>
      </c>
      <c r="G94" s="892">
        <f>SUM(G8:G93)</f>
        <v>378360</v>
      </c>
    </row>
    <row r="95" spans="1:7" ht="11.25" customHeight="1" x14ac:dyDescent="0.25">
      <c r="C95" s="859"/>
    </row>
    <row r="96" spans="1:7" ht="11.25" customHeight="1" x14ac:dyDescent="0.25">
      <c r="C96" s="924"/>
      <c r="D96" s="925"/>
      <c r="E96" s="925"/>
      <c r="F96" s="925"/>
    </row>
    <row r="97" spans="3:3" ht="11.25" customHeight="1" x14ac:dyDescent="0.25">
      <c r="C97" s="924"/>
    </row>
    <row r="98" spans="3:3" ht="11.25" customHeight="1" x14ac:dyDescent="0.25"/>
    <row r="100" spans="3:3" ht="11.25" customHeight="1" x14ac:dyDescent="0.25"/>
    <row r="101" spans="3:3" ht="11.25" customHeight="1" x14ac:dyDescent="0.25"/>
    <row r="102" spans="3:3" ht="15.75" customHeight="1" x14ac:dyDescent="0.25"/>
    <row r="103" spans="3:3" ht="11.25" customHeight="1" x14ac:dyDescent="0.25"/>
  </sheetData>
  <autoFilter ref="A5:G94" xr:uid="{00000000-0009-0000-0000-000018000000}"/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38"/>
  <sheetViews>
    <sheetView zoomScaleNormal="100" zoomScaleSheetLayoutView="85" workbookViewId="0">
      <pane xSplit="3" ySplit="8" topLeftCell="X9" activePane="bottomRight" state="frozen"/>
      <selection activeCell="D96" sqref="D96"/>
      <selection pane="topRight" activeCell="D96" sqref="D96"/>
      <selection pane="bottomLeft" activeCell="D96" sqref="D96"/>
      <selection pane="bottomRight" activeCell="Y6" sqref="Y6"/>
    </sheetView>
  </sheetViews>
  <sheetFormatPr defaultRowHeight="15" x14ac:dyDescent="0.25"/>
  <cols>
    <col min="1" max="1" width="4" style="146" customWidth="1"/>
    <col min="2" max="2" width="8.28515625" style="146" customWidth="1"/>
    <col min="3" max="3" width="35.42578125" style="188" customWidth="1"/>
    <col min="4" max="4" width="11.42578125" style="189" customWidth="1"/>
    <col min="5" max="5" width="9.140625" style="186" customWidth="1"/>
    <col min="6" max="6" width="11.42578125" style="149" customWidth="1"/>
    <col min="7" max="7" width="15.85546875" style="149" customWidth="1"/>
    <col min="8" max="8" width="8.140625" style="146" customWidth="1"/>
    <col min="9" max="10" width="9" style="146" customWidth="1"/>
    <col min="11" max="11" width="12.7109375" style="146" customWidth="1"/>
    <col min="12" max="12" width="8.7109375" style="146" customWidth="1"/>
    <col min="13" max="13" width="9" style="146" customWidth="1"/>
    <col min="14" max="14" width="9.140625" style="146" customWidth="1"/>
    <col min="15" max="15" width="8.7109375" style="146" customWidth="1"/>
    <col min="16" max="16" width="11.140625" style="146" customWidth="1"/>
    <col min="17" max="22" width="13.42578125" style="146" customWidth="1"/>
    <col min="23" max="23" width="17.85546875" style="146" customWidth="1"/>
    <col min="24" max="24" width="9.5703125" style="146" customWidth="1"/>
    <col min="25" max="25" width="10.140625" style="146" customWidth="1"/>
    <col min="26" max="26" width="34.42578125" style="146" customWidth="1"/>
    <col min="27" max="16384" width="9.140625" style="146"/>
  </cols>
  <sheetData>
    <row r="1" spans="1:26" ht="27" customHeight="1" x14ac:dyDescent="0.25">
      <c r="A1" s="1376" t="s">
        <v>747</v>
      </c>
      <c r="B1" s="1376"/>
      <c r="C1" s="1376"/>
      <c r="D1" s="1376"/>
      <c r="E1" s="1376"/>
      <c r="F1" s="1376"/>
      <c r="G1" s="1376"/>
      <c r="H1" s="1376"/>
      <c r="I1" s="1376"/>
      <c r="J1" s="1376"/>
      <c r="K1" s="1376"/>
      <c r="L1" s="1376"/>
      <c r="M1" s="1376"/>
      <c r="N1" s="1376"/>
      <c r="O1" s="1376"/>
      <c r="P1" s="1376"/>
      <c r="Q1" s="1376"/>
      <c r="R1" s="1376"/>
      <c r="S1" s="1376"/>
      <c r="T1" s="1376"/>
      <c r="U1" s="1376"/>
      <c r="V1" s="1376"/>
      <c r="W1" s="1376"/>
      <c r="X1" s="1376"/>
      <c r="Y1" s="1376"/>
    </row>
    <row r="2" spans="1:26" ht="2.25" customHeight="1" thickBot="1" x14ac:dyDescent="0.3">
      <c r="C2" s="147"/>
      <c r="D2" s="148"/>
      <c r="E2" s="148"/>
      <c r="P2" s="150"/>
      <c r="Q2" s="150"/>
      <c r="R2" s="150"/>
      <c r="S2" s="150"/>
      <c r="T2" s="150"/>
      <c r="U2" s="150"/>
      <c r="V2" s="150"/>
      <c r="W2" s="1377" t="s">
        <v>326</v>
      </c>
      <c r="X2" s="1377"/>
      <c r="Y2" s="1377"/>
    </row>
    <row r="3" spans="1:26" s="153" customFormat="1" ht="72" customHeight="1" x14ac:dyDescent="0.25">
      <c r="A3" s="1378" t="s">
        <v>0</v>
      </c>
      <c r="B3" s="1381" t="s">
        <v>302</v>
      </c>
      <c r="C3" s="1384" t="s">
        <v>292</v>
      </c>
      <c r="D3" s="927" t="s">
        <v>672</v>
      </c>
      <c r="E3" s="151"/>
      <c r="F3" s="151"/>
      <c r="G3" s="151"/>
      <c r="H3" s="151"/>
      <c r="I3" s="151"/>
      <c r="J3" s="151"/>
      <c r="K3" s="152"/>
      <c r="L3" s="1386" t="s">
        <v>673</v>
      </c>
      <c r="M3" s="1387"/>
      <c r="N3" s="1387"/>
      <c r="O3" s="1387"/>
      <c r="P3" s="1388"/>
      <c r="Q3" s="1389" t="s">
        <v>674</v>
      </c>
      <c r="R3" s="1390"/>
      <c r="S3" s="1390"/>
      <c r="T3" s="1390"/>
      <c r="U3" s="1390"/>
      <c r="V3" s="1390"/>
      <c r="W3" s="1390"/>
      <c r="X3" s="1391"/>
      <c r="Y3" s="1392"/>
    </row>
    <row r="4" spans="1:26" s="153" customFormat="1" ht="67.5" customHeight="1" x14ac:dyDescent="0.25">
      <c r="A4" s="1379"/>
      <c r="B4" s="1382"/>
      <c r="C4" s="1385"/>
      <c r="D4" s="1393" t="s">
        <v>675</v>
      </c>
      <c r="E4" s="1395" t="s">
        <v>676</v>
      </c>
      <c r="F4" s="154" t="s">
        <v>748</v>
      </c>
      <c r="G4" s="1396" t="s">
        <v>819</v>
      </c>
      <c r="H4" s="1385" t="s">
        <v>4</v>
      </c>
      <c r="I4" s="1385"/>
      <c r="J4" s="1385"/>
      <c r="K4" s="1398" t="s">
        <v>6</v>
      </c>
      <c r="L4" s="1400" t="s">
        <v>677</v>
      </c>
      <c r="M4" s="1374" t="s">
        <v>678</v>
      </c>
      <c r="N4" s="1374" t="s">
        <v>679</v>
      </c>
      <c r="O4" s="1374" t="s">
        <v>680</v>
      </c>
      <c r="P4" s="1371" t="s">
        <v>6</v>
      </c>
      <c r="Q4" s="1372" t="s">
        <v>681</v>
      </c>
      <c r="R4" s="1363" t="s">
        <v>682</v>
      </c>
      <c r="S4" s="1363" t="s">
        <v>683</v>
      </c>
      <c r="T4" s="1363" t="s">
        <v>684</v>
      </c>
      <c r="U4" s="1363" t="s">
        <v>685</v>
      </c>
      <c r="V4" s="1363" t="s">
        <v>686</v>
      </c>
      <c r="W4" s="1365" t="s">
        <v>687</v>
      </c>
      <c r="X4" s="1367" t="s">
        <v>688</v>
      </c>
      <c r="Y4" s="1369" t="s">
        <v>6</v>
      </c>
    </row>
    <row r="5" spans="1:26" s="153" customFormat="1" ht="51.75" customHeight="1" x14ac:dyDescent="0.25">
      <c r="A5" s="1380"/>
      <c r="B5" s="1383"/>
      <c r="C5" s="1385"/>
      <c r="D5" s="1394"/>
      <c r="E5" s="1383"/>
      <c r="F5" s="155" t="s">
        <v>689</v>
      </c>
      <c r="G5" s="1397"/>
      <c r="H5" s="156" t="s">
        <v>690</v>
      </c>
      <c r="I5" s="156" t="s">
        <v>691</v>
      </c>
      <c r="J5" s="156" t="s">
        <v>692</v>
      </c>
      <c r="K5" s="1399"/>
      <c r="L5" s="1401"/>
      <c r="M5" s="1375"/>
      <c r="N5" s="1375"/>
      <c r="O5" s="1375"/>
      <c r="P5" s="1370"/>
      <c r="Q5" s="1373"/>
      <c r="R5" s="1364"/>
      <c r="S5" s="1364"/>
      <c r="T5" s="1364"/>
      <c r="U5" s="1364"/>
      <c r="V5" s="1364"/>
      <c r="W5" s="1366"/>
      <c r="X5" s="1368"/>
      <c r="Y5" s="1370"/>
    </row>
    <row r="6" spans="1:26" s="167" customFormat="1" ht="12.75" customHeight="1" x14ac:dyDescent="0.25">
      <c r="A6" s="157"/>
      <c r="B6" s="928"/>
      <c r="C6" s="158" t="s">
        <v>6</v>
      </c>
      <c r="D6" s="929">
        <f>D7+D8</f>
        <v>88793</v>
      </c>
      <c r="E6" s="159">
        <f t="shared" ref="E6:Y6" si="0">E7+E8</f>
        <v>4613</v>
      </c>
      <c r="F6" s="160">
        <f t="shared" si="0"/>
        <v>11235</v>
      </c>
      <c r="G6" s="160">
        <f t="shared" si="0"/>
        <v>10675</v>
      </c>
      <c r="H6" s="161">
        <f t="shared" si="0"/>
        <v>8260</v>
      </c>
      <c r="I6" s="161">
        <f t="shared" si="0"/>
        <v>549</v>
      </c>
      <c r="J6" s="161">
        <f t="shared" si="0"/>
        <v>1866</v>
      </c>
      <c r="K6" s="162">
        <f>K7+K8</f>
        <v>115316</v>
      </c>
      <c r="L6" s="630">
        <f t="shared" si="0"/>
        <v>1725</v>
      </c>
      <c r="M6" s="163">
        <f t="shared" si="0"/>
        <v>8066</v>
      </c>
      <c r="N6" s="163">
        <f t="shared" si="0"/>
        <v>24989</v>
      </c>
      <c r="O6" s="163">
        <f t="shared" si="0"/>
        <v>16953</v>
      </c>
      <c r="P6" s="164">
        <f t="shared" si="0"/>
        <v>51733</v>
      </c>
      <c r="Q6" s="165">
        <f t="shared" si="0"/>
        <v>289</v>
      </c>
      <c r="R6" s="166">
        <f t="shared" si="0"/>
        <v>714</v>
      </c>
      <c r="S6" s="166">
        <f t="shared" si="0"/>
        <v>425</v>
      </c>
      <c r="T6" s="166">
        <f t="shared" si="0"/>
        <v>410</v>
      </c>
      <c r="U6" s="166">
        <f t="shared" si="0"/>
        <v>804</v>
      </c>
      <c r="V6" s="166">
        <f t="shared" si="0"/>
        <v>1530</v>
      </c>
      <c r="W6" s="166">
        <f t="shared" si="0"/>
        <v>1984</v>
      </c>
      <c r="X6" s="166">
        <f t="shared" si="0"/>
        <v>41</v>
      </c>
      <c r="Y6" s="164">
        <f t="shared" si="0"/>
        <v>6197</v>
      </c>
    </row>
    <row r="7" spans="1:26" s="167" customFormat="1" ht="12.75" customHeight="1" x14ac:dyDescent="0.25">
      <c r="A7" s="157"/>
      <c r="B7" s="928"/>
      <c r="C7" s="930" t="s">
        <v>14</v>
      </c>
      <c r="D7" s="929">
        <v>0</v>
      </c>
      <c r="E7" s="159">
        <v>0</v>
      </c>
      <c r="F7" s="160">
        <v>0</v>
      </c>
      <c r="G7" s="160">
        <v>0</v>
      </c>
      <c r="H7" s="161">
        <v>0</v>
      </c>
      <c r="I7" s="161">
        <v>0</v>
      </c>
      <c r="J7" s="161">
        <v>0</v>
      </c>
      <c r="K7" s="162">
        <v>0</v>
      </c>
      <c r="L7" s="630">
        <v>0</v>
      </c>
      <c r="M7" s="163">
        <v>0</v>
      </c>
      <c r="N7" s="163">
        <v>0</v>
      </c>
      <c r="O7" s="163">
        <v>0</v>
      </c>
      <c r="P7" s="164">
        <v>0</v>
      </c>
      <c r="Q7" s="165">
        <v>0</v>
      </c>
      <c r="R7" s="166">
        <v>0</v>
      </c>
      <c r="S7" s="166">
        <v>0</v>
      </c>
      <c r="T7" s="166">
        <v>0</v>
      </c>
      <c r="U7" s="166">
        <v>0</v>
      </c>
      <c r="V7" s="166">
        <v>0</v>
      </c>
      <c r="W7" s="166">
        <v>0</v>
      </c>
      <c r="X7" s="166">
        <v>0</v>
      </c>
      <c r="Y7" s="164">
        <v>0</v>
      </c>
    </row>
    <row r="8" spans="1:26" s="167" customFormat="1" ht="12" customHeight="1" x14ac:dyDescent="0.25">
      <c r="A8" s="157"/>
      <c r="B8" s="928"/>
      <c r="C8" s="930" t="s">
        <v>15</v>
      </c>
      <c r="D8" s="929">
        <f t="shared" ref="D8:Y8" si="1">SUM(D9:D97)</f>
        <v>88793</v>
      </c>
      <c r="E8" s="159">
        <f t="shared" si="1"/>
        <v>4613</v>
      </c>
      <c r="F8" s="160">
        <f t="shared" si="1"/>
        <v>11235</v>
      </c>
      <c r="G8" s="160">
        <f t="shared" si="1"/>
        <v>10675</v>
      </c>
      <c r="H8" s="161">
        <f t="shared" si="1"/>
        <v>8260</v>
      </c>
      <c r="I8" s="161">
        <f t="shared" si="1"/>
        <v>549</v>
      </c>
      <c r="J8" s="161">
        <f t="shared" si="1"/>
        <v>1866</v>
      </c>
      <c r="K8" s="162">
        <f>D8+E8+F8+G8</f>
        <v>115316</v>
      </c>
      <c r="L8" s="630">
        <f t="shared" si="1"/>
        <v>1725</v>
      </c>
      <c r="M8" s="163">
        <f t="shared" si="1"/>
        <v>8066</v>
      </c>
      <c r="N8" s="163">
        <f t="shared" si="1"/>
        <v>24989</v>
      </c>
      <c r="O8" s="163">
        <f t="shared" si="1"/>
        <v>16953</v>
      </c>
      <c r="P8" s="164">
        <f t="shared" si="1"/>
        <v>51733</v>
      </c>
      <c r="Q8" s="165">
        <f t="shared" si="1"/>
        <v>289</v>
      </c>
      <c r="R8" s="166">
        <f t="shared" si="1"/>
        <v>714</v>
      </c>
      <c r="S8" s="166">
        <f t="shared" si="1"/>
        <v>425</v>
      </c>
      <c r="T8" s="166">
        <f t="shared" si="1"/>
        <v>410</v>
      </c>
      <c r="U8" s="166">
        <f t="shared" si="1"/>
        <v>804</v>
      </c>
      <c r="V8" s="166">
        <f t="shared" si="1"/>
        <v>1530</v>
      </c>
      <c r="W8" s="166">
        <f t="shared" si="1"/>
        <v>1984</v>
      </c>
      <c r="X8" s="166">
        <f t="shared" si="1"/>
        <v>41</v>
      </c>
      <c r="Y8" s="168">
        <f t="shared" si="1"/>
        <v>6197</v>
      </c>
    </row>
    <row r="9" spans="1:26" s="153" customFormat="1" ht="13.5" customHeight="1" x14ac:dyDescent="0.25">
      <c r="A9" s="169">
        <v>1</v>
      </c>
      <c r="B9" s="170" t="s">
        <v>16</v>
      </c>
      <c r="C9" s="171" t="s">
        <v>17</v>
      </c>
      <c r="D9" s="1012">
        <v>353</v>
      </c>
      <c r="E9" s="172"/>
      <c r="F9" s="173"/>
      <c r="G9" s="173">
        <f t="shared" ref="G9:G73" si="2">H9+I9+J9</f>
        <v>0</v>
      </c>
      <c r="H9" s="174"/>
      <c r="I9" s="174"/>
      <c r="J9" s="174"/>
      <c r="K9" s="175">
        <f>D9+E9+F9+G9</f>
        <v>353</v>
      </c>
      <c r="L9" s="631">
        <v>0</v>
      </c>
      <c r="M9" s="176">
        <v>0</v>
      </c>
      <c r="N9" s="176">
        <v>0</v>
      </c>
      <c r="O9" s="176">
        <v>0</v>
      </c>
      <c r="P9" s="177">
        <f t="shared" ref="P9:P73" si="3">L9+M9+N9+O9</f>
        <v>0</v>
      </c>
      <c r="Q9" s="157"/>
      <c r="R9" s="172"/>
      <c r="S9" s="172"/>
      <c r="T9" s="172"/>
      <c r="U9" s="172"/>
      <c r="V9" s="172"/>
      <c r="W9" s="172"/>
      <c r="X9" s="178"/>
      <c r="Y9" s="204"/>
      <c r="Z9" s="179"/>
    </row>
    <row r="10" spans="1:26" s="153" customFormat="1" ht="13.5" customHeight="1" x14ac:dyDescent="0.25">
      <c r="A10" s="169">
        <v>2</v>
      </c>
      <c r="B10" s="170" t="s">
        <v>18</v>
      </c>
      <c r="C10" s="171" t="s">
        <v>19</v>
      </c>
      <c r="D10" s="1012">
        <f>367+7</f>
        <v>374</v>
      </c>
      <c r="E10" s="172"/>
      <c r="F10" s="173"/>
      <c r="G10" s="173">
        <f t="shared" si="2"/>
        <v>0</v>
      </c>
      <c r="H10" s="174"/>
      <c r="I10" s="174"/>
      <c r="J10" s="174"/>
      <c r="K10" s="175">
        <f t="shared" ref="K10:K73" si="4">D10+E10+F10+G10</f>
        <v>374</v>
      </c>
      <c r="L10" s="631">
        <v>0</v>
      </c>
      <c r="M10" s="176">
        <v>0</v>
      </c>
      <c r="N10" s="176">
        <v>0</v>
      </c>
      <c r="O10" s="176">
        <v>0</v>
      </c>
      <c r="P10" s="177">
        <f t="shared" si="3"/>
        <v>0</v>
      </c>
      <c r="Q10" s="157"/>
      <c r="R10" s="172"/>
      <c r="S10" s="172"/>
      <c r="T10" s="172"/>
      <c r="U10" s="172"/>
      <c r="V10" s="172"/>
      <c r="W10" s="172"/>
      <c r="X10" s="178"/>
      <c r="Y10" s="204"/>
      <c r="Z10" s="179"/>
    </row>
    <row r="11" spans="1:26" s="153" customFormat="1" ht="13.5" customHeight="1" x14ac:dyDescent="0.25">
      <c r="A11" s="169">
        <v>3</v>
      </c>
      <c r="B11" s="170" t="s">
        <v>20</v>
      </c>
      <c r="C11" s="171" t="s">
        <v>21</v>
      </c>
      <c r="D11" s="1012">
        <v>1066</v>
      </c>
      <c r="E11" s="172">
        <v>48</v>
      </c>
      <c r="F11" s="173">
        <v>261</v>
      </c>
      <c r="G11" s="173">
        <f>H11+I11+J11</f>
        <v>0</v>
      </c>
      <c r="H11" s="173"/>
      <c r="I11" s="180"/>
      <c r="J11" s="180"/>
      <c r="K11" s="175">
        <f t="shared" si="4"/>
        <v>1375</v>
      </c>
      <c r="L11" s="631">
        <f>25+22</f>
        <v>47</v>
      </c>
      <c r="M11" s="176">
        <f>173+12</f>
        <v>185</v>
      </c>
      <c r="N11" s="176">
        <f>497-43-16</f>
        <v>438</v>
      </c>
      <c r="O11" s="176">
        <f>337+28</f>
        <v>365</v>
      </c>
      <c r="P11" s="177">
        <f t="shared" si="3"/>
        <v>1035</v>
      </c>
      <c r="Q11" s="157"/>
      <c r="R11" s="172"/>
      <c r="S11" s="172"/>
      <c r="T11" s="172"/>
      <c r="U11" s="172"/>
      <c r="V11" s="172"/>
      <c r="W11" s="172"/>
      <c r="X11" s="178"/>
      <c r="Y11" s="204"/>
      <c r="Z11" s="179"/>
    </row>
    <row r="12" spans="1:26" s="153" customFormat="1" ht="13.5" customHeight="1" x14ac:dyDescent="0.25">
      <c r="A12" s="169">
        <v>4</v>
      </c>
      <c r="B12" s="170" t="s">
        <v>22</v>
      </c>
      <c r="C12" s="171" t="s">
        <v>23</v>
      </c>
      <c r="D12" s="1012">
        <f>409+8</f>
        <v>417</v>
      </c>
      <c r="E12" s="172"/>
      <c r="F12" s="173"/>
      <c r="G12" s="173">
        <f t="shared" si="2"/>
        <v>0</v>
      </c>
      <c r="H12" s="181"/>
      <c r="I12" s="181"/>
      <c r="J12" s="181"/>
      <c r="K12" s="175">
        <f t="shared" si="4"/>
        <v>417</v>
      </c>
      <c r="L12" s="631">
        <v>0</v>
      </c>
      <c r="M12" s="176">
        <v>0</v>
      </c>
      <c r="N12" s="176">
        <v>0</v>
      </c>
      <c r="O12" s="176">
        <v>0</v>
      </c>
      <c r="P12" s="177">
        <f t="shared" si="3"/>
        <v>0</v>
      </c>
      <c r="Q12" s="157"/>
      <c r="R12" s="172"/>
      <c r="S12" s="172"/>
      <c r="T12" s="172"/>
      <c r="U12" s="172"/>
      <c r="V12" s="172"/>
      <c r="W12" s="172"/>
      <c r="X12" s="178"/>
      <c r="Y12" s="204"/>
      <c r="Z12" s="179"/>
    </row>
    <row r="13" spans="1:26" s="153" customFormat="1" ht="13.5" customHeight="1" x14ac:dyDescent="0.25">
      <c r="A13" s="169">
        <v>5</v>
      </c>
      <c r="B13" s="170" t="s">
        <v>24</v>
      </c>
      <c r="C13" s="171" t="s">
        <v>25</v>
      </c>
      <c r="D13" s="1012">
        <v>425</v>
      </c>
      <c r="E13" s="172">
        <v>9</v>
      </c>
      <c r="F13" s="173">
        <v>51</v>
      </c>
      <c r="G13" s="173">
        <f t="shared" si="2"/>
        <v>0</v>
      </c>
      <c r="H13" s="173"/>
      <c r="I13" s="180"/>
      <c r="J13" s="180"/>
      <c r="K13" s="175">
        <f t="shared" si="4"/>
        <v>485</v>
      </c>
      <c r="L13" s="631">
        <v>0</v>
      </c>
      <c r="M13" s="176">
        <v>0</v>
      </c>
      <c r="N13" s="176">
        <v>0</v>
      </c>
      <c r="O13" s="176">
        <v>0</v>
      </c>
      <c r="P13" s="177">
        <f t="shared" si="3"/>
        <v>0</v>
      </c>
      <c r="Q13" s="157"/>
      <c r="R13" s="172"/>
      <c r="S13" s="172"/>
      <c r="T13" s="172"/>
      <c r="U13" s="172"/>
      <c r="V13" s="172"/>
      <c r="W13" s="172"/>
      <c r="X13" s="178"/>
      <c r="Y13" s="204"/>
      <c r="Z13" s="179"/>
    </row>
    <row r="14" spans="1:26" s="153" customFormat="1" ht="13.5" customHeight="1" x14ac:dyDescent="0.25">
      <c r="A14" s="169">
        <v>6</v>
      </c>
      <c r="B14" s="170" t="s">
        <v>26</v>
      </c>
      <c r="C14" s="171" t="s">
        <v>27</v>
      </c>
      <c r="D14" s="1012">
        <f>2909-17</f>
        <v>2892</v>
      </c>
      <c r="E14" s="172">
        <v>62</v>
      </c>
      <c r="F14" s="173">
        <v>411</v>
      </c>
      <c r="G14" s="173">
        <f t="shared" si="2"/>
        <v>598</v>
      </c>
      <c r="H14" s="173">
        <v>450</v>
      </c>
      <c r="I14" s="180">
        <v>58</v>
      </c>
      <c r="J14" s="180">
        <v>90</v>
      </c>
      <c r="K14" s="175">
        <f t="shared" si="4"/>
        <v>3963</v>
      </c>
      <c r="L14" s="631">
        <f>59+88</f>
        <v>147</v>
      </c>
      <c r="M14" s="176">
        <f>452-143</f>
        <v>309</v>
      </c>
      <c r="N14" s="176">
        <f>1383-280-107</f>
        <v>996</v>
      </c>
      <c r="O14" s="176">
        <f>937-206</f>
        <v>731</v>
      </c>
      <c r="P14" s="177">
        <f t="shared" si="3"/>
        <v>2183</v>
      </c>
      <c r="Q14" s="157"/>
      <c r="R14" s="172"/>
      <c r="S14" s="172"/>
      <c r="T14" s="172"/>
      <c r="U14" s="172"/>
      <c r="V14" s="172"/>
      <c r="W14" s="172"/>
      <c r="X14" s="178"/>
      <c r="Y14" s="204"/>
      <c r="Z14" s="179"/>
    </row>
    <row r="15" spans="1:26" s="153" customFormat="1" ht="13.5" customHeight="1" x14ac:dyDescent="0.25">
      <c r="A15" s="169">
        <v>7</v>
      </c>
      <c r="B15" s="170" t="s">
        <v>28</v>
      </c>
      <c r="C15" s="171" t="s">
        <v>29</v>
      </c>
      <c r="D15" s="1012">
        <f>1091+21</f>
        <v>1112</v>
      </c>
      <c r="E15" s="172">
        <v>23</v>
      </c>
      <c r="F15" s="173">
        <f>130-24</f>
        <v>106</v>
      </c>
      <c r="G15" s="173">
        <f t="shared" si="2"/>
        <v>228</v>
      </c>
      <c r="H15" s="174">
        <f>289-84</f>
        <v>205</v>
      </c>
      <c r="I15" s="174">
        <f>5-2</f>
        <v>3</v>
      </c>
      <c r="J15" s="174">
        <v>20</v>
      </c>
      <c r="K15" s="175">
        <f t="shared" si="4"/>
        <v>1469</v>
      </c>
      <c r="L15" s="631">
        <v>0</v>
      </c>
      <c r="M15" s="176">
        <v>0</v>
      </c>
      <c r="N15" s="176">
        <v>0</v>
      </c>
      <c r="O15" s="176">
        <v>0</v>
      </c>
      <c r="P15" s="177">
        <f t="shared" si="3"/>
        <v>0</v>
      </c>
      <c r="Q15" s="157"/>
      <c r="R15" s="172"/>
      <c r="S15" s="172"/>
      <c r="T15" s="172"/>
      <c r="U15" s="172"/>
      <c r="V15" s="172"/>
      <c r="W15" s="172"/>
      <c r="X15" s="178"/>
      <c r="Y15" s="204"/>
      <c r="Z15" s="179"/>
    </row>
    <row r="16" spans="1:26" s="153" customFormat="1" ht="13.5" customHeight="1" x14ac:dyDescent="0.25">
      <c r="A16" s="169">
        <v>8</v>
      </c>
      <c r="B16" s="170" t="s">
        <v>30</v>
      </c>
      <c r="C16" s="171" t="s">
        <v>31</v>
      </c>
      <c r="D16" s="1012">
        <f>433-15</f>
        <v>418</v>
      </c>
      <c r="E16" s="172"/>
      <c r="F16" s="173"/>
      <c r="G16" s="173">
        <f t="shared" si="2"/>
        <v>0</v>
      </c>
      <c r="H16" s="174"/>
      <c r="I16" s="174"/>
      <c r="J16" s="174"/>
      <c r="K16" s="175">
        <f t="shared" si="4"/>
        <v>418</v>
      </c>
      <c r="L16" s="631">
        <v>0</v>
      </c>
      <c r="M16" s="176">
        <v>0</v>
      </c>
      <c r="N16" s="176">
        <v>0</v>
      </c>
      <c r="O16" s="176">
        <v>0</v>
      </c>
      <c r="P16" s="177">
        <f t="shared" si="3"/>
        <v>0</v>
      </c>
      <c r="Q16" s="157"/>
      <c r="R16" s="172"/>
      <c r="S16" s="172"/>
      <c r="T16" s="172"/>
      <c r="U16" s="172"/>
      <c r="V16" s="172"/>
      <c r="W16" s="172"/>
      <c r="X16" s="178"/>
      <c r="Y16" s="204"/>
      <c r="Z16" s="179"/>
    </row>
    <row r="17" spans="1:26" s="153" customFormat="1" ht="13.5" customHeight="1" x14ac:dyDescent="0.25">
      <c r="A17" s="169">
        <v>9</v>
      </c>
      <c r="B17" s="170" t="s">
        <v>32</v>
      </c>
      <c r="C17" s="171" t="s">
        <v>33</v>
      </c>
      <c r="D17" s="1012">
        <v>402</v>
      </c>
      <c r="E17" s="172"/>
      <c r="F17" s="173"/>
      <c r="G17" s="173">
        <f t="shared" si="2"/>
        <v>0</v>
      </c>
      <c r="H17" s="174"/>
      <c r="I17" s="174"/>
      <c r="J17" s="174"/>
      <c r="K17" s="175">
        <f t="shared" si="4"/>
        <v>402</v>
      </c>
      <c r="L17" s="631">
        <v>0</v>
      </c>
      <c r="M17" s="176">
        <v>0</v>
      </c>
      <c r="N17" s="176">
        <v>0</v>
      </c>
      <c r="O17" s="176">
        <v>0</v>
      </c>
      <c r="P17" s="177">
        <f t="shared" si="3"/>
        <v>0</v>
      </c>
      <c r="Q17" s="157"/>
      <c r="R17" s="172"/>
      <c r="S17" s="172"/>
      <c r="T17" s="172"/>
      <c r="U17" s="172"/>
      <c r="V17" s="172"/>
      <c r="W17" s="172"/>
      <c r="X17" s="178"/>
      <c r="Y17" s="204"/>
      <c r="Z17" s="179"/>
    </row>
    <row r="18" spans="1:26" s="153" customFormat="1" ht="13.5" customHeight="1" x14ac:dyDescent="0.25">
      <c r="A18" s="169">
        <v>10</v>
      </c>
      <c r="B18" s="170" t="s">
        <v>34</v>
      </c>
      <c r="C18" s="171" t="s">
        <v>35</v>
      </c>
      <c r="D18" s="1012">
        <v>529</v>
      </c>
      <c r="E18" s="172"/>
      <c r="F18" s="173"/>
      <c r="G18" s="173">
        <f t="shared" si="2"/>
        <v>0</v>
      </c>
      <c r="H18" s="174"/>
      <c r="I18" s="174"/>
      <c r="J18" s="174"/>
      <c r="K18" s="175">
        <f t="shared" si="4"/>
        <v>529</v>
      </c>
      <c r="L18" s="631">
        <v>0</v>
      </c>
      <c r="M18" s="176">
        <v>0</v>
      </c>
      <c r="N18" s="176">
        <v>0</v>
      </c>
      <c r="O18" s="176">
        <v>0</v>
      </c>
      <c r="P18" s="177">
        <f t="shared" si="3"/>
        <v>0</v>
      </c>
      <c r="Q18" s="157"/>
      <c r="R18" s="172"/>
      <c r="S18" s="172"/>
      <c r="T18" s="172"/>
      <c r="U18" s="172"/>
      <c r="V18" s="172"/>
      <c r="W18" s="172"/>
      <c r="X18" s="178"/>
      <c r="Y18" s="204"/>
      <c r="Z18" s="179"/>
    </row>
    <row r="19" spans="1:26" s="153" customFormat="1" ht="13.5" customHeight="1" x14ac:dyDescent="0.25">
      <c r="A19" s="169">
        <v>11</v>
      </c>
      <c r="B19" s="170" t="s">
        <v>36</v>
      </c>
      <c r="C19" s="171" t="s">
        <v>37</v>
      </c>
      <c r="D19" s="1012">
        <f>411-19</f>
        <v>392</v>
      </c>
      <c r="E19" s="172"/>
      <c r="F19" s="173">
        <f>49-2</f>
        <v>47</v>
      </c>
      <c r="G19" s="173">
        <f t="shared" si="2"/>
        <v>0</v>
      </c>
      <c r="H19" s="174"/>
      <c r="I19" s="174"/>
      <c r="J19" s="174"/>
      <c r="K19" s="175">
        <f t="shared" si="4"/>
        <v>439</v>
      </c>
      <c r="L19" s="631">
        <v>0</v>
      </c>
      <c r="M19" s="176">
        <v>0</v>
      </c>
      <c r="N19" s="176">
        <v>0</v>
      </c>
      <c r="O19" s="176">
        <v>0</v>
      </c>
      <c r="P19" s="177">
        <f t="shared" si="3"/>
        <v>0</v>
      </c>
      <c r="Q19" s="157"/>
      <c r="R19" s="172"/>
      <c r="S19" s="172"/>
      <c r="T19" s="172"/>
      <c r="U19" s="172"/>
      <c r="V19" s="172"/>
      <c r="W19" s="172"/>
      <c r="X19" s="178"/>
      <c r="Y19" s="204"/>
      <c r="Z19" s="179"/>
    </row>
    <row r="20" spans="1:26" s="153" customFormat="1" ht="13.5" customHeight="1" x14ac:dyDescent="0.25">
      <c r="A20" s="169">
        <v>12</v>
      </c>
      <c r="B20" s="170" t="s">
        <v>38</v>
      </c>
      <c r="C20" s="171" t="s">
        <v>39</v>
      </c>
      <c r="D20" s="1012">
        <v>814</v>
      </c>
      <c r="E20" s="172">
        <f>6</f>
        <v>6</v>
      </c>
      <c r="F20" s="173">
        <v>97</v>
      </c>
      <c r="G20" s="173">
        <f t="shared" si="2"/>
        <v>91</v>
      </c>
      <c r="H20" s="174">
        <f>106-106+79</f>
        <v>79</v>
      </c>
      <c r="I20" s="174">
        <f>5-5+4</f>
        <v>4</v>
      </c>
      <c r="J20" s="174">
        <f>10-10+8</f>
        <v>8</v>
      </c>
      <c r="K20" s="175">
        <f t="shared" si="4"/>
        <v>1008</v>
      </c>
      <c r="L20" s="631">
        <v>0</v>
      </c>
      <c r="M20" s="176">
        <v>0</v>
      </c>
      <c r="N20" s="176">
        <v>0</v>
      </c>
      <c r="O20" s="176">
        <v>0</v>
      </c>
      <c r="P20" s="177">
        <f t="shared" si="3"/>
        <v>0</v>
      </c>
      <c r="Q20" s="157"/>
      <c r="R20" s="172"/>
      <c r="S20" s="172"/>
      <c r="T20" s="172"/>
      <c r="U20" s="172"/>
      <c r="V20" s="172"/>
      <c r="W20" s="172"/>
      <c r="X20" s="178"/>
      <c r="Y20" s="204"/>
      <c r="Z20" s="179"/>
    </row>
    <row r="21" spans="1:26" s="153" customFormat="1" ht="13.5" customHeight="1" x14ac:dyDescent="0.25">
      <c r="A21" s="169">
        <v>13</v>
      </c>
      <c r="B21" s="931" t="s">
        <v>40</v>
      </c>
      <c r="C21" s="171" t="s">
        <v>693</v>
      </c>
      <c r="D21" s="1012">
        <f>456-433+15+17-12</f>
        <v>43</v>
      </c>
      <c r="E21" s="172"/>
      <c r="F21" s="173">
        <f>55-4</f>
        <v>51</v>
      </c>
      <c r="G21" s="173">
        <f t="shared" si="2"/>
        <v>0</v>
      </c>
      <c r="H21" s="174"/>
      <c r="I21" s="174"/>
      <c r="J21" s="174"/>
      <c r="K21" s="175">
        <f t="shared" si="4"/>
        <v>94</v>
      </c>
      <c r="L21" s="631">
        <v>0</v>
      </c>
      <c r="M21" s="176">
        <v>0</v>
      </c>
      <c r="N21" s="176">
        <v>0</v>
      </c>
      <c r="O21" s="176">
        <v>0</v>
      </c>
      <c r="P21" s="177">
        <f>L21+M21+N21+O21</f>
        <v>0</v>
      </c>
      <c r="Q21" s="157"/>
      <c r="R21" s="172"/>
      <c r="S21" s="172"/>
      <c r="T21" s="172"/>
      <c r="U21" s="172"/>
      <c r="V21" s="172"/>
      <c r="W21" s="172"/>
      <c r="X21" s="178"/>
      <c r="Y21" s="204"/>
      <c r="Z21" s="179"/>
    </row>
    <row r="22" spans="1:26" s="153" customFormat="1" ht="13.5" customHeight="1" x14ac:dyDescent="0.25">
      <c r="A22" s="169">
        <v>14</v>
      </c>
      <c r="B22" s="170" t="s">
        <v>44</v>
      </c>
      <c r="C22" s="171" t="s">
        <v>45</v>
      </c>
      <c r="D22" s="1012">
        <f>515-87</f>
        <v>428</v>
      </c>
      <c r="E22" s="172"/>
      <c r="F22" s="173">
        <v>62</v>
      </c>
      <c r="G22" s="173">
        <f t="shared" si="2"/>
        <v>110</v>
      </c>
      <c r="H22" s="174">
        <v>106</v>
      </c>
      <c r="I22" s="174">
        <v>0</v>
      </c>
      <c r="J22" s="174">
        <v>4</v>
      </c>
      <c r="K22" s="175">
        <f t="shared" si="4"/>
        <v>600</v>
      </c>
      <c r="L22" s="631">
        <v>0</v>
      </c>
      <c r="M22" s="176">
        <v>0</v>
      </c>
      <c r="N22" s="176">
        <v>0</v>
      </c>
      <c r="O22" s="176">
        <v>0</v>
      </c>
      <c r="P22" s="177">
        <f t="shared" si="3"/>
        <v>0</v>
      </c>
      <c r="Q22" s="157"/>
      <c r="R22" s="172"/>
      <c r="S22" s="172"/>
      <c r="T22" s="172"/>
      <c r="U22" s="172"/>
      <c r="V22" s="172"/>
      <c r="W22" s="172"/>
      <c r="X22" s="178"/>
      <c r="Y22" s="204"/>
      <c r="Z22" s="179"/>
    </row>
    <row r="23" spans="1:26" s="153" customFormat="1" ht="13.5" customHeight="1" x14ac:dyDescent="0.25">
      <c r="A23" s="169">
        <v>15</v>
      </c>
      <c r="B23" s="170" t="s">
        <v>46</v>
      </c>
      <c r="C23" s="171" t="s">
        <v>47</v>
      </c>
      <c r="D23" s="1012">
        <v>733</v>
      </c>
      <c r="E23" s="172"/>
      <c r="F23" s="173"/>
      <c r="G23" s="173">
        <f t="shared" si="2"/>
        <v>0</v>
      </c>
      <c r="H23" s="174"/>
      <c r="I23" s="174"/>
      <c r="J23" s="174"/>
      <c r="K23" s="175">
        <f t="shared" si="4"/>
        <v>733</v>
      </c>
      <c r="L23" s="631">
        <v>0</v>
      </c>
      <c r="M23" s="176">
        <v>0</v>
      </c>
      <c r="N23" s="176">
        <v>0</v>
      </c>
      <c r="O23" s="176">
        <v>0</v>
      </c>
      <c r="P23" s="177">
        <f t="shared" si="3"/>
        <v>0</v>
      </c>
      <c r="Q23" s="157"/>
      <c r="R23" s="172"/>
      <c r="S23" s="172"/>
      <c r="T23" s="172"/>
      <c r="U23" s="172"/>
      <c r="V23" s="172"/>
      <c r="W23" s="172"/>
      <c r="X23" s="178"/>
      <c r="Y23" s="204"/>
      <c r="Z23" s="179"/>
    </row>
    <row r="24" spans="1:26" s="153" customFormat="1" ht="13.5" customHeight="1" x14ac:dyDescent="0.25">
      <c r="A24" s="169">
        <v>16</v>
      </c>
      <c r="B24" s="170" t="s">
        <v>48</v>
      </c>
      <c r="C24" s="171" t="s">
        <v>49</v>
      </c>
      <c r="D24" s="1012">
        <v>968</v>
      </c>
      <c r="E24" s="172">
        <v>21</v>
      </c>
      <c r="F24" s="173">
        <f>116-23</f>
        <v>93</v>
      </c>
      <c r="G24" s="173">
        <f t="shared" si="2"/>
        <v>132</v>
      </c>
      <c r="H24" s="174">
        <f>117</f>
        <v>117</v>
      </c>
      <c r="I24" s="174">
        <v>5</v>
      </c>
      <c r="J24" s="174">
        <v>10</v>
      </c>
      <c r="K24" s="175">
        <f t="shared" si="4"/>
        <v>1214</v>
      </c>
      <c r="L24" s="631">
        <v>0</v>
      </c>
      <c r="M24" s="176">
        <v>0</v>
      </c>
      <c r="N24" s="176">
        <v>0</v>
      </c>
      <c r="O24" s="176">
        <v>0</v>
      </c>
      <c r="P24" s="177">
        <f t="shared" si="3"/>
        <v>0</v>
      </c>
      <c r="Q24" s="157"/>
      <c r="R24" s="172"/>
      <c r="S24" s="172"/>
      <c r="T24" s="172"/>
      <c r="U24" s="172"/>
      <c r="V24" s="172"/>
      <c r="W24" s="172"/>
      <c r="X24" s="178"/>
      <c r="Y24" s="204"/>
      <c r="Z24" s="179"/>
    </row>
    <row r="25" spans="1:26" s="153" customFormat="1" ht="13.5" customHeight="1" x14ac:dyDescent="0.25">
      <c r="A25" s="169">
        <v>17</v>
      </c>
      <c r="B25" s="170" t="s">
        <v>50</v>
      </c>
      <c r="C25" s="171" t="s">
        <v>51</v>
      </c>
      <c r="D25" s="1012">
        <f>1858-35-173</f>
        <v>1650</v>
      </c>
      <c r="E25" s="172">
        <f>63-19</f>
        <v>44</v>
      </c>
      <c r="F25" s="173">
        <v>257</v>
      </c>
      <c r="G25" s="173">
        <f t="shared" si="2"/>
        <v>376</v>
      </c>
      <c r="H25" s="173">
        <f>334-32</f>
        <v>302</v>
      </c>
      <c r="I25" s="180">
        <f>44-4</f>
        <v>40</v>
      </c>
      <c r="J25" s="180">
        <f>70-36</f>
        <v>34</v>
      </c>
      <c r="K25" s="175">
        <f t="shared" si="4"/>
        <v>2327</v>
      </c>
      <c r="L25" s="631">
        <f>21-14</f>
        <v>7</v>
      </c>
      <c r="M25" s="176">
        <f>310-76</f>
        <v>234</v>
      </c>
      <c r="N25" s="176">
        <f>1549-448-172</f>
        <v>929</v>
      </c>
      <c r="O25" s="176">
        <f>1049-648</f>
        <v>401</v>
      </c>
      <c r="P25" s="177">
        <f t="shared" si="3"/>
        <v>1571</v>
      </c>
      <c r="Q25" s="157"/>
      <c r="R25" s="172"/>
      <c r="S25" s="172"/>
      <c r="T25" s="172"/>
      <c r="U25" s="172"/>
      <c r="V25" s="172"/>
      <c r="W25" s="172"/>
      <c r="X25" s="178"/>
      <c r="Y25" s="204"/>
      <c r="Z25" s="179"/>
    </row>
    <row r="26" spans="1:26" s="153" customFormat="1" ht="13.5" customHeight="1" x14ac:dyDescent="0.25">
      <c r="A26" s="169">
        <v>18</v>
      </c>
      <c r="B26" s="170" t="s">
        <v>52</v>
      </c>
      <c r="C26" s="171" t="s">
        <v>53</v>
      </c>
      <c r="D26" s="1012">
        <f>298-24</f>
        <v>274</v>
      </c>
      <c r="E26" s="172"/>
      <c r="F26" s="173"/>
      <c r="G26" s="173">
        <f t="shared" si="2"/>
        <v>0</v>
      </c>
      <c r="H26" s="181"/>
      <c r="I26" s="181"/>
      <c r="J26" s="181"/>
      <c r="K26" s="175">
        <f t="shared" si="4"/>
        <v>274</v>
      </c>
      <c r="L26" s="631">
        <v>0</v>
      </c>
      <c r="M26" s="176">
        <v>0</v>
      </c>
      <c r="N26" s="176">
        <v>0</v>
      </c>
      <c r="O26" s="176">
        <v>0</v>
      </c>
      <c r="P26" s="177">
        <f t="shared" si="3"/>
        <v>0</v>
      </c>
      <c r="Q26" s="157"/>
      <c r="R26" s="172"/>
      <c r="S26" s="172"/>
      <c r="T26" s="172"/>
      <c r="U26" s="172"/>
      <c r="V26" s="172"/>
      <c r="W26" s="172"/>
      <c r="X26" s="178"/>
      <c r="Y26" s="204"/>
      <c r="Z26" s="179"/>
    </row>
    <row r="27" spans="1:26" s="153" customFormat="1" ht="13.5" customHeight="1" x14ac:dyDescent="0.25">
      <c r="A27" s="169">
        <v>19</v>
      </c>
      <c r="B27" s="170" t="s">
        <v>54</v>
      </c>
      <c r="C27" s="171" t="s">
        <v>55</v>
      </c>
      <c r="D27" s="1012">
        <v>253</v>
      </c>
      <c r="E27" s="172"/>
      <c r="F27" s="173">
        <f>30+23</f>
        <v>53</v>
      </c>
      <c r="G27" s="173">
        <f t="shared" si="2"/>
        <v>0</v>
      </c>
      <c r="H27" s="174"/>
      <c r="I27" s="174"/>
      <c r="J27" s="174"/>
      <c r="K27" s="175">
        <f t="shared" si="4"/>
        <v>306</v>
      </c>
      <c r="L27" s="631">
        <v>0</v>
      </c>
      <c r="M27" s="176">
        <v>0</v>
      </c>
      <c r="N27" s="176">
        <v>0</v>
      </c>
      <c r="O27" s="176">
        <v>0</v>
      </c>
      <c r="P27" s="177">
        <f t="shared" si="3"/>
        <v>0</v>
      </c>
      <c r="Q27" s="157"/>
      <c r="R27" s="172"/>
      <c r="S27" s="172"/>
      <c r="T27" s="172"/>
      <c r="U27" s="172"/>
      <c r="V27" s="172"/>
      <c r="W27" s="172"/>
      <c r="X27" s="178"/>
      <c r="Y27" s="204"/>
      <c r="Z27" s="179"/>
    </row>
    <row r="28" spans="1:26" s="153" customFormat="1" ht="13.5" customHeight="1" x14ac:dyDescent="0.25">
      <c r="A28" s="169">
        <v>20</v>
      </c>
      <c r="B28" s="170" t="s">
        <v>56</v>
      </c>
      <c r="C28" s="171" t="s">
        <v>57</v>
      </c>
      <c r="D28" s="1012">
        <v>1286</v>
      </c>
      <c r="E28" s="172">
        <v>28</v>
      </c>
      <c r="F28" s="173">
        <v>154</v>
      </c>
      <c r="G28" s="173">
        <f t="shared" si="2"/>
        <v>184</v>
      </c>
      <c r="H28" s="174">
        <v>154</v>
      </c>
      <c r="I28" s="174">
        <v>0</v>
      </c>
      <c r="J28" s="174">
        <v>30</v>
      </c>
      <c r="K28" s="175">
        <f t="shared" si="4"/>
        <v>1652</v>
      </c>
      <c r="L28" s="631">
        <v>0</v>
      </c>
      <c r="M28" s="176">
        <v>0</v>
      </c>
      <c r="N28" s="176">
        <v>0</v>
      </c>
      <c r="O28" s="176">
        <v>0</v>
      </c>
      <c r="P28" s="177">
        <f t="shared" si="3"/>
        <v>0</v>
      </c>
      <c r="Q28" s="157"/>
      <c r="R28" s="172"/>
      <c r="S28" s="172"/>
      <c r="T28" s="172"/>
      <c r="U28" s="172"/>
      <c r="V28" s="172"/>
      <c r="W28" s="172"/>
      <c r="X28" s="178"/>
      <c r="Y28" s="204"/>
      <c r="Z28" s="179"/>
    </row>
    <row r="29" spans="1:26" s="153" customFormat="1" ht="13.5" customHeight="1" x14ac:dyDescent="0.25">
      <c r="A29" s="169">
        <v>21</v>
      </c>
      <c r="B29" s="170" t="s">
        <v>58</v>
      </c>
      <c r="C29" s="171" t="s">
        <v>59</v>
      </c>
      <c r="D29" s="1012">
        <f>1073</f>
        <v>1073</v>
      </c>
      <c r="E29" s="172">
        <v>39</v>
      </c>
      <c r="F29" s="173">
        <f>128+33</f>
        <v>161</v>
      </c>
      <c r="G29" s="173">
        <f t="shared" si="2"/>
        <v>160</v>
      </c>
      <c r="H29" s="174">
        <v>155</v>
      </c>
      <c r="I29" s="174">
        <v>0</v>
      </c>
      <c r="J29" s="174">
        <v>5</v>
      </c>
      <c r="K29" s="175">
        <f t="shared" si="4"/>
        <v>1433</v>
      </c>
      <c r="L29" s="631">
        <v>0</v>
      </c>
      <c r="M29" s="176">
        <v>0</v>
      </c>
      <c r="N29" s="176">
        <v>0</v>
      </c>
      <c r="O29" s="176">
        <v>0</v>
      </c>
      <c r="P29" s="177">
        <f t="shared" si="3"/>
        <v>0</v>
      </c>
      <c r="Q29" s="157"/>
      <c r="R29" s="172"/>
      <c r="S29" s="172"/>
      <c r="T29" s="172"/>
      <c r="U29" s="172"/>
      <c r="V29" s="172"/>
      <c r="W29" s="172"/>
      <c r="X29" s="178"/>
      <c r="Y29" s="204"/>
      <c r="Z29" s="179"/>
    </row>
    <row r="30" spans="1:26" s="153" customFormat="1" ht="13.5" customHeight="1" x14ac:dyDescent="0.25">
      <c r="A30" s="169">
        <v>22</v>
      </c>
      <c r="B30" s="170" t="s">
        <v>60</v>
      </c>
      <c r="C30" s="171" t="s">
        <v>61</v>
      </c>
      <c r="D30" s="1012">
        <f>260</f>
        <v>260</v>
      </c>
      <c r="E30" s="172"/>
      <c r="F30" s="173">
        <f>31</f>
        <v>31</v>
      </c>
      <c r="G30" s="173">
        <f t="shared" si="2"/>
        <v>24</v>
      </c>
      <c r="H30" s="174">
        <f>32-14</f>
        <v>18</v>
      </c>
      <c r="I30" s="174">
        <f>4</f>
        <v>4</v>
      </c>
      <c r="J30" s="174">
        <f>6-4</f>
        <v>2</v>
      </c>
      <c r="K30" s="175">
        <f t="shared" si="4"/>
        <v>315</v>
      </c>
      <c r="L30" s="631">
        <v>0</v>
      </c>
      <c r="M30" s="176">
        <v>0</v>
      </c>
      <c r="N30" s="176">
        <v>0</v>
      </c>
      <c r="O30" s="176">
        <v>0</v>
      </c>
      <c r="P30" s="177">
        <f t="shared" si="3"/>
        <v>0</v>
      </c>
      <c r="Q30" s="157"/>
      <c r="R30" s="172"/>
      <c r="S30" s="172"/>
      <c r="T30" s="172"/>
      <c r="U30" s="172"/>
      <c r="V30" s="172"/>
      <c r="W30" s="172"/>
      <c r="X30" s="178"/>
      <c r="Y30" s="204"/>
      <c r="Z30" s="179"/>
    </row>
    <row r="31" spans="1:26" s="153" customFormat="1" ht="13.5" customHeight="1" x14ac:dyDescent="0.25">
      <c r="A31" s="169">
        <v>23</v>
      </c>
      <c r="B31" s="170" t="s">
        <v>66</v>
      </c>
      <c r="C31" s="171" t="s">
        <v>67</v>
      </c>
      <c r="D31" s="1012">
        <f>2790+1542-933+53</f>
        <v>3452</v>
      </c>
      <c r="E31" s="172">
        <f>75+33-14</f>
        <v>94</v>
      </c>
      <c r="F31" s="173">
        <f>530+184-42</f>
        <v>672</v>
      </c>
      <c r="G31" s="173">
        <f t="shared" si="2"/>
        <v>1090</v>
      </c>
      <c r="H31" s="174">
        <f>612+235+63</f>
        <v>910</v>
      </c>
      <c r="I31" s="174">
        <v>10</v>
      </c>
      <c r="J31" s="174">
        <f>180+9-19</f>
        <v>170</v>
      </c>
      <c r="K31" s="175">
        <f t="shared" si="4"/>
        <v>5308</v>
      </c>
      <c r="L31" s="631">
        <f>200-50</f>
        <v>150</v>
      </c>
      <c r="M31" s="176">
        <f>891</f>
        <v>891</v>
      </c>
      <c r="N31" s="176">
        <f>1533-439-169</f>
        <v>925</v>
      </c>
      <c r="O31" s="176">
        <f>1038-521</f>
        <v>517</v>
      </c>
      <c r="P31" s="177">
        <f t="shared" si="3"/>
        <v>2483</v>
      </c>
      <c r="Q31" s="157"/>
      <c r="R31" s="172"/>
      <c r="S31" s="172"/>
      <c r="T31" s="172"/>
      <c r="U31" s="172"/>
      <c r="V31" s="172"/>
      <c r="W31" s="172"/>
      <c r="X31" s="178"/>
      <c r="Y31" s="204"/>
      <c r="Z31" s="179"/>
    </row>
    <row r="32" spans="1:26" s="153" customFormat="1" ht="13.5" customHeight="1" x14ac:dyDescent="0.25">
      <c r="A32" s="169">
        <v>24</v>
      </c>
      <c r="B32" s="170" t="s">
        <v>68</v>
      </c>
      <c r="C32" s="171" t="s">
        <v>69</v>
      </c>
      <c r="D32" s="1012">
        <f>2644-1542+933</f>
        <v>2035</v>
      </c>
      <c r="E32" s="172">
        <f>57-33+14</f>
        <v>38</v>
      </c>
      <c r="F32" s="173">
        <f>316-184+42</f>
        <v>174</v>
      </c>
      <c r="G32" s="173">
        <f t="shared" si="2"/>
        <v>130</v>
      </c>
      <c r="H32" s="173">
        <f>403-235-63</f>
        <v>105</v>
      </c>
      <c r="I32" s="180">
        <v>0</v>
      </c>
      <c r="J32" s="180">
        <f>15-9+19</f>
        <v>25</v>
      </c>
      <c r="K32" s="175">
        <f t="shared" si="4"/>
        <v>2377</v>
      </c>
      <c r="L32" s="631">
        <v>0</v>
      </c>
      <c r="M32" s="176">
        <v>0</v>
      </c>
      <c r="N32" s="176">
        <v>0</v>
      </c>
      <c r="O32" s="176">
        <v>0</v>
      </c>
      <c r="P32" s="177">
        <f t="shared" si="3"/>
        <v>0</v>
      </c>
      <c r="Q32" s="157"/>
      <c r="R32" s="172"/>
      <c r="S32" s="172"/>
      <c r="T32" s="172"/>
      <c r="U32" s="172"/>
      <c r="V32" s="172"/>
      <c r="W32" s="172"/>
      <c r="X32" s="178"/>
      <c r="Y32" s="204"/>
      <c r="Z32" s="179"/>
    </row>
    <row r="33" spans="1:26" s="153" customFormat="1" ht="13.5" customHeight="1" x14ac:dyDescent="0.25">
      <c r="A33" s="169">
        <v>25</v>
      </c>
      <c r="B33" s="170" t="s">
        <v>70</v>
      </c>
      <c r="C33" s="171" t="s">
        <v>71</v>
      </c>
      <c r="D33" s="1012">
        <f>882-300-351</f>
        <v>231</v>
      </c>
      <c r="E33" s="172"/>
      <c r="F33" s="173"/>
      <c r="G33" s="173">
        <f t="shared" si="2"/>
        <v>0</v>
      </c>
      <c r="H33" s="174"/>
      <c r="I33" s="174"/>
      <c r="J33" s="174"/>
      <c r="K33" s="175">
        <f t="shared" si="4"/>
        <v>231</v>
      </c>
      <c r="L33" s="631">
        <v>0</v>
      </c>
      <c r="M33" s="176">
        <v>0</v>
      </c>
      <c r="N33" s="176">
        <v>0</v>
      </c>
      <c r="O33" s="176">
        <v>0</v>
      </c>
      <c r="P33" s="177">
        <f t="shared" si="3"/>
        <v>0</v>
      </c>
      <c r="Q33" s="157"/>
      <c r="R33" s="172"/>
      <c r="S33" s="172"/>
      <c r="T33" s="172"/>
      <c r="U33" s="172"/>
      <c r="V33" s="172"/>
      <c r="W33" s="172"/>
      <c r="X33" s="178"/>
      <c r="Y33" s="204"/>
      <c r="Z33" s="179"/>
    </row>
    <row r="34" spans="1:26" s="153" customFormat="1" ht="13.5" customHeight="1" x14ac:dyDescent="0.25">
      <c r="A34" s="169">
        <v>26</v>
      </c>
      <c r="B34" s="170" t="s">
        <v>75</v>
      </c>
      <c r="C34" s="171" t="s">
        <v>76</v>
      </c>
      <c r="D34" s="1012">
        <f>211-18</f>
        <v>193</v>
      </c>
      <c r="E34" s="172"/>
      <c r="F34" s="173"/>
      <c r="G34" s="173">
        <f t="shared" si="2"/>
        <v>0</v>
      </c>
      <c r="H34" s="174"/>
      <c r="I34" s="174"/>
      <c r="J34" s="174"/>
      <c r="K34" s="175">
        <f t="shared" si="4"/>
        <v>193</v>
      </c>
      <c r="L34" s="631">
        <v>0</v>
      </c>
      <c r="M34" s="176">
        <v>0</v>
      </c>
      <c r="N34" s="176">
        <v>0</v>
      </c>
      <c r="O34" s="176">
        <v>0</v>
      </c>
      <c r="P34" s="177">
        <f t="shared" si="3"/>
        <v>0</v>
      </c>
      <c r="Q34" s="157"/>
      <c r="R34" s="172"/>
      <c r="S34" s="172"/>
      <c r="T34" s="172"/>
      <c r="U34" s="172"/>
      <c r="V34" s="172"/>
      <c r="W34" s="172"/>
      <c r="X34" s="178"/>
      <c r="Y34" s="204"/>
      <c r="Z34" s="179"/>
    </row>
    <row r="35" spans="1:26" s="153" customFormat="1" ht="13.5" customHeight="1" x14ac:dyDescent="0.25">
      <c r="A35" s="169">
        <v>27</v>
      </c>
      <c r="B35" s="170" t="s">
        <v>77</v>
      </c>
      <c r="C35" s="171" t="s">
        <v>78</v>
      </c>
      <c r="D35" s="1012">
        <f>1897-127-50-22</f>
        <v>1698</v>
      </c>
      <c r="E35" s="172">
        <f>40-32</f>
        <v>8</v>
      </c>
      <c r="F35" s="173">
        <f>227-50-56</f>
        <v>121</v>
      </c>
      <c r="G35" s="173">
        <f t="shared" si="2"/>
        <v>576</v>
      </c>
      <c r="H35" s="173">
        <v>541</v>
      </c>
      <c r="I35" s="180">
        <v>0</v>
      </c>
      <c r="J35" s="180">
        <v>35</v>
      </c>
      <c r="K35" s="175">
        <f t="shared" si="4"/>
        <v>2403</v>
      </c>
      <c r="L35" s="631">
        <f>5-4</f>
        <v>1</v>
      </c>
      <c r="M35" s="176">
        <f>73-47</f>
        <v>26</v>
      </c>
      <c r="N35" s="176">
        <f>1050-293-113</f>
        <v>644</v>
      </c>
      <c r="O35" s="176">
        <f>711-474</f>
        <v>237</v>
      </c>
      <c r="P35" s="177">
        <f t="shared" si="3"/>
        <v>908</v>
      </c>
      <c r="Q35" s="157"/>
      <c r="R35" s="172"/>
      <c r="S35" s="172"/>
      <c r="T35" s="172"/>
      <c r="U35" s="172"/>
      <c r="V35" s="172"/>
      <c r="W35" s="172"/>
      <c r="X35" s="178"/>
      <c r="Y35" s="204"/>
      <c r="Z35" s="179"/>
    </row>
    <row r="36" spans="1:26" s="153" customFormat="1" ht="13.5" customHeight="1" x14ac:dyDescent="0.25">
      <c r="A36" s="169">
        <v>28</v>
      </c>
      <c r="B36" s="170" t="s">
        <v>79</v>
      </c>
      <c r="C36" s="171" t="s">
        <v>80</v>
      </c>
      <c r="D36" s="1012">
        <f>2275+43</f>
        <v>2318</v>
      </c>
      <c r="E36" s="172">
        <v>49</v>
      </c>
      <c r="F36" s="173">
        <v>272</v>
      </c>
      <c r="G36" s="173">
        <f t="shared" si="2"/>
        <v>642</v>
      </c>
      <c r="H36" s="173">
        <f>537</f>
        <v>537</v>
      </c>
      <c r="I36" s="180">
        <f>45</f>
        <v>45</v>
      </c>
      <c r="J36" s="180">
        <f>30+30</f>
        <v>60</v>
      </c>
      <c r="K36" s="175">
        <f t="shared" si="4"/>
        <v>3281</v>
      </c>
      <c r="L36" s="631">
        <f>34+48</f>
        <v>82</v>
      </c>
      <c r="M36" s="176">
        <v>358</v>
      </c>
      <c r="N36" s="176">
        <f>603+566</f>
        <v>1169</v>
      </c>
      <c r="O36" s="176">
        <f>408-4</f>
        <v>404</v>
      </c>
      <c r="P36" s="177">
        <f t="shared" si="3"/>
        <v>2013</v>
      </c>
      <c r="Q36" s="157"/>
      <c r="R36" s="172"/>
      <c r="S36" s="172"/>
      <c r="T36" s="172"/>
      <c r="U36" s="172"/>
      <c r="V36" s="172"/>
      <c r="W36" s="172"/>
      <c r="X36" s="178"/>
      <c r="Y36" s="204"/>
      <c r="Z36" s="179"/>
    </row>
    <row r="37" spans="1:26" s="153" customFormat="1" ht="13.5" customHeight="1" x14ac:dyDescent="0.25">
      <c r="A37" s="169">
        <v>29</v>
      </c>
      <c r="B37" s="170" t="s">
        <v>81</v>
      </c>
      <c r="C37" s="171" t="s">
        <v>82</v>
      </c>
      <c r="D37" s="1012">
        <v>451</v>
      </c>
      <c r="E37" s="172"/>
      <c r="F37" s="173">
        <v>54</v>
      </c>
      <c r="G37" s="173">
        <f t="shared" si="2"/>
        <v>0</v>
      </c>
      <c r="H37" s="174"/>
      <c r="I37" s="174"/>
      <c r="J37" s="174"/>
      <c r="K37" s="175">
        <f t="shared" si="4"/>
        <v>505</v>
      </c>
      <c r="L37" s="631">
        <v>0</v>
      </c>
      <c r="M37" s="176">
        <v>0</v>
      </c>
      <c r="N37" s="176">
        <v>0</v>
      </c>
      <c r="O37" s="176">
        <v>0</v>
      </c>
      <c r="P37" s="177">
        <f t="shared" si="3"/>
        <v>0</v>
      </c>
      <c r="Q37" s="157"/>
      <c r="R37" s="172"/>
      <c r="S37" s="172"/>
      <c r="T37" s="172"/>
      <c r="U37" s="172"/>
      <c r="V37" s="172"/>
      <c r="W37" s="172"/>
      <c r="X37" s="178"/>
      <c r="Y37" s="204"/>
      <c r="Z37" s="179"/>
    </row>
    <row r="38" spans="1:26" s="153" customFormat="1" ht="13.5" customHeight="1" x14ac:dyDescent="0.25">
      <c r="A38" s="169">
        <v>30</v>
      </c>
      <c r="B38" s="170" t="s">
        <v>83</v>
      </c>
      <c r="C38" s="171" t="s">
        <v>84</v>
      </c>
      <c r="D38" s="1012">
        <v>1543</v>
      </c>
      <c r="E38" s="172">
        <v>33</v>
      </c>
      <c r="F38" s="173">
        <f>184-53</f>
        <v>131</v>
      </c>
      <c r="G38" s="173">
        <f t="shared" si="2"/>
        <v>0</v>
      </c>
      <c r="H38" s="174"/>
      <c r="I38" s="174"/>
      <c r="J38" s="174"/>
      <c r="K38" s="175">
        <f t="shared" si="4"/>
        <v>1707</v>
      </c>
      <c r="L38" s="631">
        <v>20</v>
      </c>
      <c r="M38" s="176">
        <v>153</v>
      </c>
      <c r="N38" s="176">
        <f>403-74-28</f>
        <v>301</v>
      </c>
      <c r="O38" s="176">
        <v>273</v>
      </c>
      <c r="P38" s="177">
        <f t="shared" si="3"/>
        <v>747</v>
      </c>
      <c r="Q38" s="157"/>
      <c r="R38" s="172"/>
      <c r="S38" s="172"/>
      <c r="T38" s="172"/>
      <c r="U38" s="172"/>
      <c r="V38" s="172"/>
      <c r="W38" s="172"/>
      <c r="X38" s="178"/>
      <c r="Y38" s="204"/>
      <c r="Z38" s="179"/>
    </row>
    <row r="39" spans="1:26" s="153" customFormat="1" ht="13.5" customHeight="1" x14ac:dyDescent="0.25">
      <c r="A39" s="169">
        <v>31</v>
      </c>
      <c r="B39" s="170" t="s">
        <v>85</v>
      </c>
      <c r="C39" s="171" t="s">
        <v>86</v>
      </c>
      <c r="D39" s="1012">
        <v>589</v>
      </c>
      <c r="E39" s="172">
        <f>13+2</f>
        <v>15</v>
      </c>
      <c r="F39" s="173">
        <f>70-1</f>
        <v>69</v>
      </c>
      <c r="G39" s="173">
        <f t="shared" si="2"/>
        <v>0</v>
      </c>
      <c r="H39" s="174"/>
      <c r="I39" s="174"/>
      <c r="J39" s="174"/>
      <c r="K39" s="175">
        <f t="shared" si="4"/>
        <v>673</v>
      </c>
      <c r="L39" s="631">
        <v>0</v>
      </c>
      <c r="M39" s="176">
        <v>0</v>
      </c>
      <c r="N39" s="176">
        <v>0</v>
      </c>
      <c r="O39" s="176">
        <v>0</v>
      </c>
      <c r="P39" s="177">
        <f t="shared" si="3"/>
        <v>0</v>
      </c>
      <c r="Q39" s="157"/>
      <c r="R39" s="172"/>
      <c r="S39" s="172"/>
      <c r="T39" s="172"/>
      <c r="U39" s="172"/>
      <c r="V39" s="172"/>
      <c r="W39" s="172"/>
      <c r="X39" s="178"/>
      <c r="Y39" s="204"/>
      <c r="Z39" s="179"/>
    </row>
    <row r="40" spans="1:26" s="153" customFormat="1" ht="13.5" customHeight="1" x14ac:dyDescent="0.25">
      <c r="A40" s="169">
        <v>32</v>
      </c>
      <c r="B40" s="170" t="s">
        <v>87</v>
      </c>
      <c r="C40" s="171" t="s">
        <v>88</v>
      </c>
      <c r="D40" s="1012">
        <f>1541+29+120</f>
        <v>1690</v>
      </c>
      <c r="E40" s="172">
        <f>33+60</f>
        <v>93</v>
      </c>
      <c r="F40" s="173">
        <f>184+66</f>
        <v>250</v>
      </c>
      <c r="G40" s="173">
        <f t="shared" si="2"/>
        <v>0</v>
      </c>
      <c r="H40" s="174"/>
      <c r="I40" s="174"/>
      <c r="J40" s="174"/>
      <c r="K40" s="175">
        <f t="shared" si="4"/>
        <v>2033</v>
      </c>
      <c r="L40" s="631">
        <v>0</v>
      </c>
      <c r="M40" s="176">
        <v>0</v>
      </c>
      <c r="N40" s="176">
        <v>0</v>
      </c>
      <c r="O40" s="176">
        <v>0</v>
      </c>
      <c r="P40" s="177">
        <f t="shared" si="3"/>
        <v>0</v>
      </c>
      <c r="Q40" s="157"/>
      <c r="R40" s="172"/>
      <c r="S40" s="172"/>
      <c r="T40" s="172"/>
      <c r="U40" s="172"/>
      <c r="V40" s="172"/>
      <c r="W40" s="172"/>
      <c r="X40" s="178"/>
      <c r="Y40" s="204"/>
      <c r="Z40" s="179"/>
    </row>
    <row r="41" spans="1:26" s="153" customFormat="1" ht="13.5" customHeight="1" x14ac:dyDescent="0.25">
      <c r="A41" s="169">
        <v>33</v>
      </c>
      <c r="B41" s="170" t="s">
        <v>89</v>
      </c>
      <c r="C41" s="171" t="s">
        <v>90</v>
      </c>
      <c r="D41" s="1012">
        <f>541+10</f>
        <v>551</v>
      </c>
      <c r="E41" s="172">
        <v>12</v>
      </c>
      <c r="F41" s="173">
        <v>65</v>
      </c>
      <c r="G41" s="173">
        <f t="shared" si="2"/>
        <v>0</v>
      </c>
      <c r="H41" s="174"/>
      <c r="I41" s="174"/>
      <c r="J41" s="174"/>
      <c r="K41" s="175">
        <f t="shared" si="4"/>
        <v>628</v>
      </c>
      <c r="L41" s="631">
        <v>0</v>
      </c>
      <c r="M41" s="176">
        <v>0</v>
      </c>
      <c r="N41" s="176">
        <v>0</v>
      </c>
      <c r="O41" s="176">
        <v>0</v>
      </c>
      <c r="P41" s="177">
        <f t="shared" si="3"/>
        <v>0</v>
      </c>
      <c r="Q41" s="157"/>
      <c r="R41" s="172"/>
      <c r="S41" s="172"/>
      <c r="T41" s="172"/>
      <c r="U41" s="172"/>
      <c r="V41" s="172"/>
      <c r="W41" s="172"/>
      <c r="X41" s="178"/>
      <c r="Y41" s="204"/>
      <c r="Z41" s="179"/>
    </row>
    <row r="42" spans="1:26" s="153" customFormat="1" ht="13.5" customHeight="1" x14ac:dyDescent="0.25">
      <c r="A42" s="169">
        <v>34</v>
      </c>
      <c r="B42" s="170" t="s">
        <v>91</v>
      </c>
      <c r="C42" s="171" t="s">
        <v>92</v>
      </c>
      <c r="D42" s="1012">
        <f>349+7</f>
        <v>356</v>
      </c>
      <c r="E42" s="172"/>
      <c r="F42" s="173"/>
      <c r="G42" s="173">
        <f t="shared" si="2"/>
        <v>0</v>
      </c>
      <c r="H42" s="174"/>
      <c r="I42" s="174"/>
      <c r="J42" s="174"/>
      <c r="K42" s="175">
        <f t="shared" si="4"/>
        <v>356</v>
      </c>
      <c r="L42" s="631">
        <v>0</v>
      </c>
      <c r="M42" s="176">
        <v>0</v>
      </c>
      <c r="N42" s="176">
        <v>0</v>
      </c>
      <c r="O42" s="176">
        <v>0</v>
      </c>
      <c r="P42" s="177">
        <f t="shared" si="3"/>
        <v>0</v>
      </c>
      <c r="Q42" s="157"/>
      <c r="R42" s="172"/>
      <c r="S42" s="172"/>
      <c r="T42" s="172"/>
      <c r="U42" s="172"/>
      <c r="V42" s="172"/>
      <c r="W42" s="172"/>
      <c r="X42" s="178"/>
      <c r="Y42" s="204"/>
      <c r="Z42" s="179"/>
    </row>
    <row r="43" spans="1:26" s="153" customFormat="1" ht="13.5" customHeight="1" x14ac:dyDescent="0.25">
      <c r="A43" s="169">
        <v>35</v>
      </c>
      <c r="B43" s="170" t="s">
        <v>93</v>
      </c>
      <c r="C43" s="171" t="s">
        <v>94</v>
      </c>
      <c r="D43" s="1012">
        <v>614</v>
      </c>
      <c r="E43" s="172">
        <v>13</v>
      </c>
      <c r="F43" s="173"/>
      <c r="G43" s="173">
        <f t="shared" si="2"/>
        <v>0</v>
      </c>
      <c r="H43" s="174"/>
      <c r="I43" s="174"/>
      <c r="J43" s="174"/>
      <c r="K43" s="175">
        <f t="shared" si="4"/>
        <v>627</v>
      </c>
      <c r="L43" s="631">
        <v>0</v>
      </c>
      <c r="M43" s="176">
        <v>0</v>
      </c>
      <c r="N43" s="176">
        <v>0</v>
      </c>
      <c r="O43" s="176">
        <v>0</v>
      </c>
      <c r="P43" s="177">
        <f t="shared" si="3"/>
        <v>0</v>
      </c>
      <c r="Q43" s="157"/>
      <c r="R43" s="172"/>
      <c r="S43" s="172"/>
      <c r="T43" s="172"/>
      <c r="U43" s="172"/>
      <c r="V43" s="172"/>
      <c r="W43" s="172"/>
      <c r="X43" s="178"/>
      <c r="Y43" s="204"/>
      <c r="Z43" s="179"/>
    </row>
    <row r="44" spans="1:26" s="153" customFormat="1" ht="13.5" customHeight="1" x14ac:dyDescent="0.25">
      <c r="A44" s="169">
        <v>36</v>
      </c>
      <c r="B44" s="170" t="s">
        <v>95</v>
      </c>
      <c r="C44" s="171" t="s">
        <v>96</v>
      </c>
      <c r="D44" s="1012">
        <v>50</v>
      </c>
      <c r="E44" s="172"/>
      <c r="F44" s="173">
        <f>50-46</f>
        <v>4</v>
      </c>
      <c r="G44" s="173"/>
      <c r="H44" s="174"/>
      <c r="I44" s="174"/>
      <c r="J44" s="174"/>
      <c r="K44" s="175">
        <f t="shared" si="4"/>
        <v>54</v>
      </c>
      <c r="L44" s="631"/>
      <c r="M44" s="176"/>
      <c r="N44" s="176"/>
      <c r="O44" s="176"/>
      <c r="P44" s="177"/>
      <c r="Q44" s="157"/>
      <c r="R44" s="172"/>
      <c r="S44" s="172"/>
      <c r="T44" s="172"/>
      <c r="U44" s="172"/>
      <c r="V44" s="172"/>
      <c r="W44" s="172"/>
      <c r="X44" s="178"/>
      <c r="Y44" s="204"/>
      <c r="Z44" s="179"/>
    </row>
    <row r="45" spans="1:26" s="153" customFormat="1" ht="14.25" customHeight="1" x14ac:dyDescent="0.25">
      <c r="A45" s="169">
        <v>37</v>
      </c>
      <c r="B45" s="170" t="s">
        <v>97</v>
      </c>
      <c r="C45" s="171" t="s">
        <v>98</v>
      </c>
      <c r="D45" s="1012">
        <v>416</v>
      </c>
      <c r="E45" s="172"/>
      <c r="F45" s="173">
        <v>50</v>
      </c>
      <c r="G45" s="173">
        <f t="shared" si="2"/>
        <v>0</v>
      </c>
      <c r="H45" s="174"/>
      <c r="I45" s="174"/>
      <c r="J45" s="174"/>
      <c r="K45" s="175">
        <f t="shared" si="4"/>
        <v>466</v>
      </c>
      <c r="L45" s="631">
        <v>4</v>
      </c>
      <c r="M45" s="176">
        <v>33</v>
      </c>
      <c r="N45" s="176">
        <v>83</v>
      </c>
      <c r="O45" s="176">
        <f>56-30</f>
        <v>26</v>
      </c>
      <c r="P45" s="177">
        <f t="shared" si="3"/>
        <v>146</v>
      </c>
      <c r="Q45" s="157"/>
      <c r="R45" s="172"/>
      <c r="S45" s="172"/>
      <c r="T45" s="172"/>
      <c r="U45" s="172"/>
      <c r="V45" s="172"/>
      <c r="W45" s="172"/>
      <c r="X45" s="178"/>
      <c r="Y45" s="204"/>
      <c r="Z45" s="179"/>
    </row>
    <row r="46" spans="1:26" s="153" customFormat="1" ht="13.5" customHeight="1" x14ac:dyDescent="0.25">
      <c r="A46" s="169">
        <v>38</v>
      </c>
      <c r="B46" s="170" t="s">
        <v>99</v>
      </c>
      <c r="C46" s="171" t="s">
        <v>100</v>
      </c>
      <c r="D46" s="1012">
        <f>2199-208+791</f>
        <v>2782</v>
      </c>
      <c r="E46" s="172">
        <f>53+20</f>
        <v>73</v>
      </c>
      <c r="F46" s="173">
        <f>233+174</f>
        <v>407</v>
      </c>
      <c r="G46" s="173">
        <f t="shared" si="2"/>
        <v>1082</v>
      </c>
      <c r="H46" s="173">
        <v>922</v>
      </c>
      <c r="I46" s="180">
        <v>60</v>
      </c>
      <c r="J46" s="180">
        <v>100</v>
      </c>
      <c r="K46" s="175">
        <f t="shared" si="4"/>
        <v>4344</v>
      </c>
      <c r="L46" s="631">
        <f>23-3</f>
        <v>20</v>
      </c>
      <c r="M46" s="176">
        <f>174-85</f>
        <v>89</v>
      </c>
      <c r="N46" s="176">
        <f>534+39</f>
        <v>573</v>
      </c>
      <c r="O46" s="176">
        <f>362-202</f>
        <v>160</v>
      </c>
      <c r="P46" s="177">
        <f t="shared" si="3"/>
        <v>842</v>
      </c>
      <c r="Q46" s="157"/>
      <c r="R46" s="172"/>
      <c r="S46" s="172"/>
      <c r="T46" s="172"/>
      <c r="U46" s="172"/>
      <c r="V46" s="172"/>
      <c r="W46" s="172"/>
      <c r="X46" s="178"/>
      <c r="Y46" s="204"/>
      <c r="Z46" s="179"/>
    </row>
    <row r="47" spans="1:26" s="153" customFormat="1" ht="13.5" customHeight="1" x14ac:dyDescent="0.25">
      <c r="A47" s="169">
        <v>39</v>
      </c>
      <c r="B47" s="170" t="s">
        <v>101</v>
      </c>
      <c r="C47" s="171" t="s">
        <v>102</v>
      </c>
      <c r="D47" s="1012">
        <f>508+70</f>
        <v>578</v>
      </c>
      <c r="E47" s="172"/>
      <c r="F47" s="173">
        <f>61+23</f>
        <v>84</v>
      </c>
      <c r="G47" s="173">
        <f t="shared" si="2"/>
        <v>0</v>
      </c>
      <c r="H47" s="174"/>
      <c r="I47" s="174"/>
      <c r="J47" s="174"/>
      <c r="K47" s="175">
        <f t="shared" si="4"/>
        <v>662</v>
      </c>
      <c r="L47" s="631">
        <v>0</v>
      </c>
      <c r="M47" s="176">
        <v>0</v>
      </c>
      <c r="N47" s="176">
        <v>0</v>
      </c>
      <c r="O47" s="176">
        <v>0</v>
      </c>
      <c r="P47" s="177">
        <f t="shared" si="3"/>
        <v>0</v>
      </c>
      <c r="Q47" s="157"/>
      <c r="R47" s="172"/>
      <c r="S47" s="172"/>
      <c r="T47" s="172"/>
      <c r="U47" s="172"/>
      <c r="V47" s="172"/>
      <c r="W47" s="172"/>
      <c r="X47" s="178"/>
      <c r="Y47" s="204"/>
      <c r="Z47" s="179"/>
    </row>
    <row r="48" spans="1:26" s="153" customFormat="1" ht="13.5" customHeight="1" x14ac:dyDescent="0.25">
      <c r="A48" s="169">
        <v>40</v>
      </c>
      <c r="B48" s="170" t="s">
        <v>103</v>
      </c>
      <c r="C48" s="171" t="s">
        <v>104</v>
      </c>
      <c r="D48" s="1012">
        <v>1659</v>
      </c>
      <c r="E48" s="172">
        <f>41-23</f>
        <v>18</v>
      </c>
      <c r="F48" s="173">
        <f>198-105</f>
        <v>93</v>
      </c>
      <c r="G48" s="173">
        <f t="shared" si="2"/>
        <v>0</v>
      </c>
      <c r="H48" s="173"/>
      <c r="I48" s="180"/>
      <c r="J48" s="180"/>
      <c r="K48" s="175">
        <f t="shared" si="4"/>
        <v>1770</v>
      </c>
      <c r="L48" s="631">
        <f>22+3</f>
        <v>25</v>
      </c>
      <c r="M48" s="176">
        <f>215+86</f>
        <v>301</v>
      </c>
      <c r="N48" s="176">
        <f>594+74</f>
        <v>668</v>
      </c>
      <c r="O48" s="176">
        <f>403-173</f>
        <v>230</v>
      </c>
      <c r="P48" s="177">
        <f t="shared" si="3"/>
        <v>1224</v>
      </c>
      <c r="Q48" s="157"/>
      <c r="R48" s="172"/>
      <c r="S48" s="172"/>
      <c r="T48" s="172"/>
      <c r="U48" s="172"/>
      <c r="V48" s="172"/>
      <c r="W48" s="172"/>
      <c r="X48" s="178"/>
      <c r="Y48" s="204"/>
      <c r="Z48" s="179"/>
    </row>
    <row r="49" spans="1:26" s="153" customFormat="1" ht="13.5" customHeight="1" x14ac:dyDescent="0.25">
      <c r="A49" s="169">
        <v>41</v>
      </c>
      <c r="B49" s="170" t="s">
        <v>105</v>
      </c>
      <c r="C49" s="171" t="s">
        <v>106</v>
      </c>
      <c r="D49" s="1012">
        <v>380</v>
      </c>
      <c r="E49" s="172"/>
      <c r="F49" s="173">
        <v>45</v>
      </c>
      <c r="G49" s="173">
        <f t="shared" si="2"/>
        <v>0</v>
      </c>
      <c r="H49" s="173"/>
      <c r="I49" s="180"/>
      <c r="J49" s="180"/>
      <c r="K49" s="175">
        <f t="shared" si="4"/>
        <v>425</v>
      </c>
      <c r="L49" s="631">
        <v>0</v>
      </c>
      <c r="M49" s="176">
        <v>0</v>
      </c>
      <c r="N49" s="176">
        <v>0</v>
      </c>
      <c r="O49" s="176">
        <v>0</v>
      </c>
      <c r="P49" s="177">
        <f t="shared" si="3"/>
        <v>0</v>
      </c>
      <c r="Q49" s="157"/>
      <c r="R49" s="172"/>
      <c r="S49" s="172"/>
      <c r="T49" s="172"/>
      <c r="U49" s="172"/>
      <c r="V49" s="172"/>
      <c r="W49" s="172"/>
      <c r="X49" s="178"/>
      <c r="Y49" s="204"/>
      <c r="Z49" s="179"/>
    </row>
    <row r="50" spans="1:26" s="153" customFormat="1" ht="13.5" customHeight="1" x14ac:dyDescent="0.25">
      <c r="A50" s="169">
        <v>42</v>
      </c>
      <c r="B50" s="170" t="s">
        <v>107</v>
      </c>
      <c r="C50" s="171" t="s">
        <v>108</v>
      </c>
      <c r="D50" s="1012">
        <f>587+11</f>
        <v>598</v>
      </c>
      <c r="E50" s="172"/>
      <c r="F50" s="173">
        <v>70</v>
      </c>
      <c r="G50" s="173">
        <f t="shared" si="2"/>
        <v>43</v>
      </c>
      <c r="H50" s="173">
        <v>42</v>
      </c>
      <c r="I50" s="180">
        <v>1</v>
      </c>
      <c r="J50" s="180">
        <v>0</v>
      </c>
      <c r="K50" s="175">
        <f t="shared" si="4"/>
        <v>711</v>
      </c>
      <c r="L50" s="631">
        <v>0</v>
      </c>
      <c r="M50" s="176">
        <v>0</v>
      </c>
      <c r="N50" s="176">
        <v>0</v>
      </c>
      <c r="O50" s="176">
        <v>0</v>
      </c>
      <c r="P50" s="177">
        <f t="shared" si="3"/>
        <v>0</v>
      </c>
      <c r="Q50" s="157"/>
      <c r="R50" s="172"/>
      <c r="S50" s="172"/>
      <c r="T50" s="172"/>
      <c r="U50" s="172"/>
      <c r="V50" s="172"/>
      <c r="W50" s="172"/>
      <c r="X50" s="178"/>
      <c r="Y50" s="204"/>
      <c r="Z50" s="179"/>
    </row>
    <row r="51" spans="1:26" s="153" customFormat="1" ht="13.5" customHeight="1" x14ac:dyDescent="0.25">
      <c r="A51" s="169">
        <v>43</v>
      </c>
      <c r="B51" s="170" t="s">
        <v>109</v>
      </c>
      <c r="C51" s="171" t="s">
        <v>110</v>
      </c>
      <c r="D51" s="1012">
        <f>696+13</f>
        <v>709</v>
      </c>
      <c r="E51" s="172">
        <v>15</v>
      </c>
      <c r="F51" s="173">
        <f>83+85</f>
        <v>168</v>
      </c>
      <c r="G51" s="173">
        <f t="shared" si="2"/>
        <v>0</v>
      </c>
      <c r="H51" s="174"/>
      <c r="I51" s="174"/>
      <c r="J51" s="174"/>
      <c r="K51" s="175">
        <f t="shared" si="4"/>
        <v>892</v>
      </c>
      <c r="L51" s="631">
        <v>32</v>
      </c>
      <c r="M51" s="176">
        <f>183-77</f>
        <v>106</v>
      </c>
      <c r="N51" s="176">
        <f>327-60-22</f>
        <v>245</v>
      </c>
      <c r="O51" s="176">
        <f>221-36</f>
        <v>185</v>
      </c>
      <c r="P51" s="177">
        <f t="shared" si="3"/>
        <v>568</v>
      </c>
      <c r="Q51" s="157"/>
      <c r="R51" s="172"/>
      <c r="S51" s="172"/>
      <c r="T51" s="172"/>
      <c r="U51" s="172"/>
      <c r="V51" s="172"/>
      <c r="W51" s="172"/>
      <c r="X51" s="178"/>
      <c r="Y51" s="204"/>
      <c r="Z51" s="179"/>
    </row>
    <row r="52" spans="1:26" s="153" customFormat="1" ht="13.5" customHeight="1" x14ac:dyDescent="0.25">
      <c r="A52" s="169">
        <v>44</v>
      </c>
      <c r="B52" s="170" t="s">
        <v>111</v>
      </c>
      <c r="C52" s="171" t="s">
        <v>112</v>
      </c>
      <c r="D52" s="1012">
        <f>208-9</f>
        <v>199</v>
      </c>
      <c r="E52" s="172"/>
      <c r="F52" s="173">
        <f>30-18-12</f>
        <v>0</v>
      </c>
      <c r="G52" s="173">
        <f t="shared" si="2"/>
        <v>0</v>
      </c>
      <c r="H52" s="174"/>
      <c r="I52" s="174"/>
      <c r="J52" s="174"/>
      <c r="K52" s="175">
        <f t="shared" si="4"/>
        <v>199</v>
      </c>
      <c r="L52" s="631">
        <v>0</v>
      </c>
      <c r="M52" s="176">
        <v>0</v>
      </c>
      <c r="N52" s="176">
        <v>0</v>
      </c>
      <c r="O52" s="176">
        <v>0</v>
      </c>
      <c r="P52" s="177">
        <f t="shared" si="3"/>
        <v>0</v>
      </c>
      <c r="Q52" s="157"/>
      <c r="R52" s="172"/>
      <c r="S52" s="172"/>
      <c r="T52" s="172"/>
      <c r="U52" s="172"/>
      <c r="V52" s="172"/>
      <c r="W52" s="172"/>
      <c r="X52" s="178"/>
      <c r="Y52" s="204"/>
      <c r="Z52" s="179"/>
    </row>
    <row r="53" spans="1:26" s="153" customFormat="1" ht="13.5" customHeight="1" x14ac:dyDescent="0.25">
      <c r="A53" s="169">
        <v>45</v>
      </c>
      <c r="B53" s="170" t="s">
        <v>113</v>
      </c>
      <c r="C53" s="171" t="s">
        <v>114</v>
      </c>
      <c r="D53" s="1012">
        <f>473+33</f>
        <v>506</v>
      </c>
      <c r="E53" s="172"/>
      <c r="F53" s="173"/>
      <c r="G53" s="173">
        <f t="shared" si="2"/>
        <v>0</v>
      </c>
      <c r="H53" s="174"/>
      <c r="I53" s="174"/>
      <c r="J53" s="174"/>
      <c r="K53" s="175">
        <f t="shared" si="4"/>
        <v>506</v>
      </c>
      <c r="L53" s="631">
        <v>0</v>
      </c>
      <c r="M53" s="176">
        <v>0</v>
      </c>
      <c r="N53" s="176">
        <v>0</v>
      </c>
      <c r="O53" s="176">
        <v>0</v>
      </c>
      <c r="P53" s="177">
        <f t="shared" si="3"/>
        <v>0</v>
      </c>
      <c r="Q53" s="157"/>
      <c r="R53" s="172"/>
      <c r="S53" s="172"/>
      <c r="T53" s="172"/>
      <c r="U53" s="172"/>
      <c r="V53" s="172"/>
      <c r="W53" s="172"/>
      <c r="X53" s="178"/>
      <c r="Y53" s="204"/>
      <c r="Z53" s="179"/>
    </row>
    <row r="54" spans="1:26" s="153" customFormat="1" ht="13.5" customHeight="1" x14ac:dyDescent="0.25">
      <c r="A54" s="169">
        <v>46</v>
      </c>
      <c r="B54" s="170" t="s">
        <v>115</v>
      </c>
      <c r="C54" s="171" t="s">
        <v>116</v>
      </c>
      <c r="D54" s="1012">
        <f>713+14</f>
        <v>727</v>
      </c>
      <c r="E54" s="172"/>
      <c r="F54" s="173">
        <f>85-85</f>
        <v>0</v>
      </c>
      <c r="G54" s="173">
        <f t="shared" si="2"/>
        <v>0</v>
      </c>
      <c r="H54" s="174"/>
      <c r="I54" s="174"/>
      <c r="J54" s="174"/>
      <c r="K54" s="175">
        <f t="shared" si="4"/>
        <v>727</v>
      </c>
      <c r="L54" s="631">
        <v>0</v>
      </c>
      <c r="M54" s="176">
        <v>0</v>
      </c>
      <c r="N54" s="176">
        <v>0</v>
      </c>
      <c r="O54" s="176">
        <v>0</v>
      </c>
      <c r="P54" s="177">
        <f t="shared" si="3"/>
        <v>0</v>
      </c>
      <c r="Q54" s="157"/>
      <c r="R54" s="172"/>
      <c r="S54" s="172"/>
      <c r="T54" s="172"/>
      <c r="U54" s="172"/>
      <c r="V54" s="172"/>
      <c r="W54" s="172"/>
      <c r="X54" s="178"/>
      <c r="Y54" s="204"/>
      <c r="Z54" s="179"/>
    </row>
    <row r="55" spans="1:26" s="153" customFormat="1" ht="13.5" customHeight="1" x14ac:dyDescent="0.25">
      <c r="A55" s="169">
        <v>47</v>
      </c>
      <c r="B55" s="170" t="s">
        <v>117</v>
      </c>
      <c r="C55" s="171" t="s">
        <v>118</v>
      </c>
      <c r="D55" s="1012">
        <f>2398-100-368</f>
        <v>1930</v>
      </c>
      <c r="E55" s="172"/>
      <c r="F55" s="173"/>
      <c r="G55" s="173">
        <f t="shared" si="2"/>
        <v>0</v>
      </c>
      <c r="H55" s="174"/>
      <c r="I55" s="174"/>
      <c r="J55" s="174"/>
      <c r="K55" s="175">
        <f t="shared" si="4"/>
        <v>1930</v>
      </c>
      <c r="L55" s="631">
        <v>32</v>
      </c>
      <c r="M55" s="176">
        <f>246+25</f>
        <v>271</v>
      </c>
      <c r="N55" s="176">
        <f>755-50-18</f>
        <v>687</v>
      </c>
      <c r="O55" s="176">
        <f>511+30</f>
        <v>541</v>
      </c>
      <c r="P55" s="177">
        <f t="shared" si="3"/>
        <v>1531</v>
      </c>
      <c r="Q55" s="157"/>
      <c r="R55" s="172"/>
      <c r="S55" s="172"/>
      <c r="T55" s="172"/>
      <c r="U55" s="172"/>
      <c r="V55" s="172"/>
      <c r="W55" s="172"/>
      <c r="X55" s="178"/>
      <c r="Y55" s="204"/>
      <c r="Z55" s="179"/>
    </row>
    <row r="56" spans="1:26" s="153" customFormat="1" ht="13.5" customHeight="1" x14ac:dyDescent="0.25">
      <c r="A56" s="169">
        <v>48</v>
      </c>
      <c r="B56" s="170" t="s">
        <v>119</v>
      </c>
      <c r="C56" s="171" t="s">
        <v>120</v>
      </c>
      <c r="D56" s="1012">
        <v>396</v>
      </c>
      <c r="E56" s="172"/>
      <c r="F56" s="173">
        <v>47</v>
      </c>
      <c r="G56" s="173">
        <f t="shared" si="2"/>
        <v>0</v>
      </c>
      <c r="H56" s="174"/>
      <c r="I56" s="174"/>
      <c r="J56" s="174"/>
      <c r="K56" s="175">
        <f t="shared" si="4"/>
        <v>443</v>
      </c>
      <c r="L56" s="631">
        <v>0</v>
      </c>
      <c r="M56" s="176">
        <v>0</v>
      </c>
      <c r="N56" s="176">
        <v>0</v>
      </c>
      <c r="O56" s="176">
        <v>0</v>
      </c>
      <c r="P56" s="177">
        <f t="shared" si="3"/>
        <v>0</v>
      </c>
      <c r="Q56" s="157"/>
      <c r="R56" s="172"/>
      <c r="S56" s="172"/>
      <c r="T56" s="172"/>
      <c r="U56" s="172"/>
      <c r="V56" s="172"/>
      <c r="W56" s="172"/>
      <c r="X56" s="178"/>
      <c r="Y56" s="204"/>
      <c r="Z56" s="179"/>
    </row>
    <row r="57" spans="1:26" s="153" customFormat="1" ht="13.5" customHeight="1" x14ac:dyDescent="0.25">
      <c r="A57" s="169">
        <v>49</v>
      </c>
      <c r="B57" s="170" t="s">
        <v>127</v>
      </c>
      <c r="C57" s="171" t="s">
        <v>128</v>
      </c>
      <c r="D57" s="1012">
        <f>300-37</f>
        <v>263</v>
      </c>
      <c r="E57" s="172"/>
      <c r="F57" s="173"/>
      <c r="G57" s="173">
        <f t="shared" si="2"/>
        <v>0</v>
      </c>
      <c r="H57" s="174"/>
      <c r="I57" s="174"/>
      <c r="J57" s="174"/>
      <c r="K57" s="175">
        <f t="shared" si="4"/>
        <v>263</v>
      </c>
      <c r="L57" s="631">
        <v>0</v>
      </c>
      <c r="M57" s="176">
        <v>0</v>
      </c>
      <c r="N57" s="176">
        <v>0</v>
      </c>
      <c r="O57" s="176">
        <v>0</v>
      </c>
      <c r="P57" s="177">
        <f t="shared" si="3"/>
        <v>0</v>
      </c>
      <c r="Q57" s="157"/>
      <c r="R57" s="172"/>
      <c r="S57" s="172"/>
      <c r="T57" s="172"/>
      <c r="U57" s="172"/>
      <c r="V57" s="172"/>
      <c r="W57" s="172"/>
      <c r="X57" s="178"/>
      <c r="Y57" s="204"/>
      <c r="Z57" s="179"/>
    </row>
    <row r="58" spans="1:26" s="153" customFormat="1" ht="13.5" customHeight="1" x14ac:dyDescent="0.25">
      <c r="A58" s="169">
        <v>50</v>
      </c>
      <c r="B58" s="170" t="s">
        <v>129</v>
      </c>
      <c r="C58" s="171" t="s">
        <v>457</v>
      </c>
      <c r="D58" s="1012">
        <f>600-130</f>
        <v>470</v>
      </c>
      <c r="E58" s="172"/>
      <c r="F58" s="173"/>
      <c r="G58" s="173">
        <f t="shared" si="2"/>
        <v>0</v>
      </c>
      <c r="H58" s="174"/>
      <c r="I58" s="174"/>
      <c r="J58" s="174"/>
      <c r="K58" s="175">
        <f t="shared" si="4"/>
        <v>470</v>
      </c>
      <c r="L58" s="631">
        <v>0</v>
      </c>
      <c r="M58" s="176">
        <v>0</v>
      </c>
      <c r="N58" s="176">
        <v>0</v>
      </c>
      <c r="O58" s="176">
        <v>0</v>
      </c>
      <c r="P58" s="177">
        <f t="shared" si="3"/>
        <v>0</v>
      </c>
      <c r="Q58" s="157"/>
      <c r="R58" s="172"/>
      <c r="S58" s="172"/>
      <c r="T58" s="172"/>
      <c r="U58" s="172"/>
      <c r="V58" s="172"/>
      <c r="W58" s="172"/>
      <c r="X58" s="178"/>
      <c r="Y58" s="204"/>
      <c r="Z58" s="179"/>
    </row>
    <row r="59" spans="1:26" s="153" customFormat="1" ht="13.5" customHeight="1" x14ac:dyDescent="0.25">
      <c r="A59" s="169">
        <v>51</v>
      </c>
      <c r="B59" s="170" t="s">
        <v>131</v>
      </c>
      <c r="C59" s="171" t="s">
        <v>132</v>
      </c>
      <c r="D59" s="1012">
        <f>600-600</f>
        <v>0</v>
      </c>
      <c r="E59" s="172"/>
      <c r="F59" s="173"/>
      <c r="G59" s="173">
        <f t="shared" si="2"/>
        <v>0</v>
      </c>
      <c r="H59" s="174"/>
      <c r="I59" s="174"/>
      <c r="J59" s="174"/>
      <c r="K59" s="175">
        <f t="shared" si="4"/>
        <v>0</v>
      </c>
      <c r="L59" s="631">
        <v>0</v>
      </c>
      <c r="M59" s="176">
        <v>0</v>
      </c>
      <c r="N59" s="176">
        <v>0</v>
      </c>
      <c r="O59" s="176">
        <v>0</v>
      </c>
      <c r="P59" s="177">
        <f t="shared" si="3"/>
        <v>0</v>
      </c>
      <c r="Q59" s="157"/>
      <c r="R59" s="172"/>
      <c r="S59" s="172"/>
      <c r="T59" s="172"/>
      <c r="U59" s="172"/>
      <c r="V59" s="172"/>
      <c r="W59" s="172"/>
      <c r="X59" s="178"/>
      <c r="Y59" s="204"/>
      <c r="Z59" s="179"/>
    </row>
    <row r="60" spans="1:26" s="153" customFormat="1" ht="13.5" customHeight="1" x14ac:dyDescent="0.25">
      <c r="A60" s="169">
        <v>52</v>
      </c>
      <c r="B60" s="170" t="s">
        <v>133</v>
      </c>
      <c r="C60" s="171" t="s">
        <v>299</v>
      </c>
      <c r="D60" s="1012">
        <f>383-65</f>
        <v>318</v>
      </c>
      <c r="E60" s="172"/>
      <c r="F60" s="173"/>
      <c r="G60" s="173">
        <f t="shared" si="2"/>
        <v>0</v>
      </c>
      <c r="H60" s="174"/>
      <c r="I60" s="174"/>
      <c r="J60" s="174"/>
      <c r="K60" s="175">
        <f t="shared" si="4"/>
        <v>318</v>
      </c>
      <c r="L60" s="631">
        <v>0</v>
      </c>
      <c r="M60" s="176">
        <v>0</v>
      </c>
      <c r="N60" s="176">
        <v>0</v>
      </c>
      <c r="O60" s="176">
        <v>0</v>
      </c>
      <c r="P60" s="177">
        <f t="shared" si="3"/>
        <v>0</v>
      </c>
      <c r="Q60" s="157"/>
      <c r="R60" s="172"/>
      <c r="S60" s="172"/>
      <c r="T60" s="172"/>
      <c r="U60" s="172"/>
      <c r="V60" s="172"/>
      <c r="W60" s="172"/>
      <c r="X60" s="178"/>
      <c r="Y60" s="204"/>
      <c r="Z60" s="179"/>
    </row>
    <row r="61" spans="1:26" s="153" customFormat="1" ht="13.5" customHeight="1" x14ac:dyDescent="0.25">
      <c r="A61" s="169">
        <v>53</v>
      </c>
      <c r="B61" s="170" t="s">
        <v>135</v>
      </c>
      <c r="C61" s="171" t="s">
        <v>459</v>
      </c>
      <c r="D61" s="1012">
        <f>500+60-38</f>
        <v>522</v>
      </c>
      <c r="E61" s="172"/>
      <c r="F61" s="173"/>
      <c r="G61" s="173">
        <f t="shared" si="2"/>
        <v>0</v>
      </c>
      <c r="H61" s="174"/>
      <c r="I61" s="174"/>
      <c r="J61" s="174"/>
      <c r="K61" s="175">
        <f t="shared" si="4"/>
        <v>522</v>
      </c>
      <c r="L61" s="631">
        <v>0</v>
      </c>
      <c r="M61" s="176">
        <v>0</v>
      </c>
      <c r="N61" s="176">
        <v>0</v>
      </c>
      <c r="O61" s="176">
        <v>0</v>
      </c>
      <c r="P61" s="177">
        <f>L61+M61+N61+O61</f>
        <v>0</v>
      </c>
      <c r="Q61" s="157"/>
      <c r="R61" s="172"/>
      <c r="S61" s="172"/>
      <c r="T61" s="172"/>
      <c r="U61" s="172"/>
      <c r="V61" s="172"/>
      <c r="W61" s="172"/>
      <c r="X61" s="178"/>
      <c r="Y61" s="204"/>
      <c r="Z61" s="179"/>
    </row>
    <row r="62" spans="1:26" s="153" customFormat="1" ht="13.5" customHeight="1" x14ac:dyDescent="0.25">
      <c r="A62" s="169">
        <v>54</v>
      </c>
      <c r="B62" s="170" t="s">
        <v>141</v>
      </c>
      <c r="C62" s="171" t="s">
        <v>454</v>
      </c>
      <c r="D62" s="1012">
        <f>1956+28</f>
        <v>1984</v>
      </c>
      <c r="E62" s="172"/>
      <c r="F62" s="173">
        <f>234+5</f>
        <v>239</v>
      </c>
      <c r="G62" s="173">
        <f t="shared" si="2"/>
        <v>0</v>
      </c>
      <c r="H62" s="174"/>
      <c r="I62" s="174"/>
      <c r="J62" s="174"/>
      <c r="K62" s="175">
        <f t="shared" si="4"/>
        <v>2223</v>
      </c>
      <c r="L62" s="631">
        <v>0</v>
      </c>
      <c r="M62" s="176">
        <v>0</v>
      </c>
      <c r="N62" s="176">
        <v>0</v>
      </c>
      <c r="O62" s="176">
        <v>0</v>
      </c>
      <c r="P62" s="177">
        <f t="shared" si="3"/>
        <v>0</v>
      </c>
      <c r="Q62" s="157"/>
      <c r="R62" s="172"/>
      <c r="S62" s="172"/>
      <c r="T62" s="172"/>
      <c r="U62" s="172"/>
      <c r="V62" s="172"/>
      <c r="W62" s="172"/>
      <c r="X62" s="178"/>
      <c r="Y62" s="204"/>
      <c r="Z62" s="179"/>
    </row>
    <row r="63" spans="1:26" s="153" customFormat="1" ht="13.5" customHeight="1" x14ac:dyDescent="0.25">
      <c r="A63" s="169">
        <v>55</v>
      </c>
      <c r="B63" s="170" t="s">
        <v>143</v>
      </c>
      <c r="C63" s="171" t="s">
        <v>144</v>
      </c>
      <c r="D63" s="1012">
        <v>1228</v>
      </c>
      <c r="E63" s="172"/>
      <c r="F63" s="173"/>
      <c r="G63" s="173">
        <f t="shared" si="2"/>
        <v>0</v>
      </c>
      <c r="H63" s="174"/>
      <c r="I63" s="174"/>
      <c r="J63" s="174"/>
      <c r="K63" s="175">
        <f t="shared" si="4"/>
        <v>1228</v>
      </c>
      <c r="L63" s="631">
        <v>0</v>
      </c>
      <c r="M63" s="176">
        <v>0</v>
      </c>
      <c r="N63" s="176">
        <v>0</v>
      </c>
      <c r="O63" s="176">
        <v>0</v>
      </c>
      <c r="P63" s="177">
        <f t="shared" si="3"/>
        <v>0</v>
      </c>
      <c r="Q63" s="157"/>
      <c r="R63" s="172"/>
      <c r="S63" s="172"/>
      <c r="T63" s="172"/>
      <c r="U63" s="172"/>
      <c r="V63" s="172"/>
      <c r="W63" s="172"/>
      <c r="X63" s="178"/>
      <c r="Y63" s="204"/>
      <c r="Z63" s="179"/>
    </row>
    <row r="64" spans="1:26" s="153" customFormat="1" ht="13.5" customHeight="1" x14ac:dyDescent="0.25">
      <c r="A64" s="169">
        <v>56</v>
      </c>
      <c r="B64" s="170" t="s">
        <v>145</v>
      </c>
      <c r="C64" s="171" t="s">
        <v>455</v>
      </c>
      <c r="D64" s="1012">
        <f>2694+130+51</f>
        <v>2875</v>
      </c>
      <c r="E64" s="172">
        <v>58</v>
      </c>
      <c r="F64" s="173">
        <v>322</v>
      </c>
      <c r="G64" s="173">
        <f t="shared" si="2"/>
        <v>0</v>
      </c>
      <c r="H64" s="174"/>
      <c r="I64" s="174"/>
      <c r="J64" s="174"/>
      <c r="K64" s="175">
        <f t="shared" si="4"/>
        <v>3255</v>
      </c>
      <c r="L64" s="631">
        <v>0</v>
      </c>
      <c r="M64" s="176">
        <v>0</v>
      </c>
      <c r="N64" s="176">
        <v>0</v>
      </c>
      <c r="O64" s="176">
        <v>0</v>
      </c>
      <c r="P64" s="177">
        <f t="shared" si="3"/>
        <v>0</v>
      </c>
      <c r="Q64" s="157"/>
      <c r="R64" s="172"/>
      <c r="S64" s="172"/>
      <c r="T64" s="172"/>
      <c r="U64" s="172"/>
      <c r="V64" s="172"/>
      <c r="W64" s="172"/>
      <c r="X64" s="178"/>
      <c r="Y64" s="204"/>
      <c r="Z64" s="179"/>
    </row>
    <row r="65" spans="1:26" s="153" customFormat="1" ht="13.5" customHeight="1" x14ac:dyDescent="0.25">
      <c r="A65" s="169">
        <v>57</v>
      </c>
      <c r="B65" s="170" t="s">
        <v>161</v>
      </c>
      <c r="C65" s="171" t="s">
        <v>162</v>
      </c>
      <c r="D65" s="1012">
        <v>1447</v>
      </c>
      <c r="E65" s="172">
        <f>31-15</f>
        <v>16</v>
      </c>
      <c r="F65" s="173">
        <f>173-6</f>
        <v>167</v>
      </c>
      <c r="G65" s="173">
        <f t="shared" si="2"/>
        <v>0</v>
      </c>
      <c r="H65" s="174"/>
      <c r="I65" s="174"/>
      <c r="J65" s="174"/>
      <c r="K65" s="175">
        <f t="shared" si="4"/>
        <v>1630</v>
      </c>
      <c r="L65" s="631">
        <v>0</v>
      </c>
      <c r="M65" s="176">
        <v>0</v>
      </c>
      <c r="N65" s="176">
        <v>0</v>
      </c>
      <c r="O65" s="176">
        <v>0</v>
      </c>
      <c r="P65" s="177">
        <f t="shared" si="3"/>
        <v>0</v>
      </c>
      <c r="Q65" s="157"/>
      <c r="R65" s="172"/>
      <c r="S65" s="172"/>
      <c r="T65" s="172"/>
      <c r="U65" s="172"/>
      <c r="V65" s="172"/>
      <c r="W65" s="172"/>
      <c r="X65" s="178"/>
      <c r="Y65" s="204"/>
      <c r="Z65" s="179"/>
    </row>
    <row r="66" spans="1:26" s="153" customFormat="1" ht="13.5" customHeight="1" x14ac:dyDescent="0.25">
      <c r="A66" s="169">
        <v>58</v>
      </c>
      <c r="B66" s="170" t="s">
        <v>163</v>
      </c>
      <c r="C66" s="171" t="s">
        <v>456</v>
      </c>
      <c r="D66" s="1012">
        <v>1812</v>
      </c>
      <c r="E66" s="172">
        <f>78+32</f>
        <v>110</v>
      </c>
      <c r="F66" s="173">
        <v>433</v>
      </c>
      <c r="G66" s="173">
        <f t="shared" si="2"/>
        <v>0</v>
      </c>
      <c r="H66" s="174"/>
      <c r="I66" s="174"/>
      <c r="J66" s="174"/>
      <c r="K66" s="175">
        <f t="shared" si="4"/>
        <v>2355</v>
      </c>
      <c r="L66" s="631">
        <v>0</v>
      </c>
      <c r="M66" s="176">
        <v>0</v>
      </c>
      <c r="N66" s="176">
        <v>0</v>
      </c>
      <c r="O66" s="176">
        <v>0</v>
      </c>
      <c r="P66" s="177">
        <f t="shared" si="3"/>
        <v>0</v>
      </c>
      <c r="Q66" s="157"/>
      <c r="R66" s="172"/>
      <c r="S66" s="172"/>
      <c r="T66" s="172"/>
      <c r="U66" s="172"/>
      <c r="V66" s="172"/>
      <c r="W66" s="172"/>
      <c r="X66" s="178"/>
      <c r="Y66" s="204"/>
      <c r="Z66" s="179"/>
    </row>
    <row r="67" spans="1:26" s="153" customFormat="1" ht="13.5" customHeight="1" x14ac:dyDescent="0.25">
      <c r="A67" s="169">
        <v>59</v>
      </c>
      <c r="B67" s="170" t="s">
        <v>165</v>
      </c>
      <c r="C67" s="171" t="s">
        <v>166</v>
      </c>
      <c r="D67" s="1012">
        <v>2121</v>
      </c>
      <c r="E67" s="172">
        <v>45</v>
      </c>
      <c r="F67" s="173">
        <v>253</v>
      </c>
      <c r="G67" s="173">
        <f t="shared" si="2"/>
        <v>316</v>
      </c>
      <c r="H67" s="174">
        <v>286</v>
      </c>
      <c r="I67" s="174">
        <v>0</v>
      </c>
      <c r="J67" s="174">
        <v>30</v>
      </c>
      <c r="K67" s="175">
        <f t="shared" si="4"/>
        <v>2735</v>
      </c>
      <c r="L67" s="631">
        <v>0</v>
      </c>
      <c r="M67" s="176">
        <v>0</v>
      </c>
      <c r="N67" s="176">
        <v>0</v>
      </c>
      <c r="O67" s="176">
        <v>0</v>
      </c>
      <c r="P67" s="177">
        <f t="shared" si="3"/>
        <v>0</v>
      </c>
      <c r="Q67" s="157"/>
      <c r="R67" s="172"/>
      <c r="S67" s="172"/>
      <c r="T67" s="172"/>
      <c r="U67" s="172"/>
      <c r="V67" s="172"/>
      <c r="W67" s="172"/>
      <c r="X67" s="178"/>
      <c r="Y67" s="204"/>
      <c r="Z67" s="179"/>
    </row>
    <row r="68" spans="1:26" s="153" customFormat="1" ht="13.5" customHeight="1" x14ac:dyDescent="0.25">
      <c r="A68" s="169">
        <v>60</v>
      </c>
      <c r="B68" s="170" t="s">
        <v>167</v>
      </c>
      <c r="C68" s="171" t="s">
        <v>168</v>
      </c>
      <c r="D68" s="1012">
        <v>619</v>
      </c>
      <c r="E68" s="172"/>
      <c r="F68" s="173"/>
      <c r="G68" s="173">
        <f t="shared" si="2"/>
        <v>0</v>
      </c>
      <c r="H68" s="181"/>
      <c r="I68" s="181"/>
      <c r="J68" s="181"/>
      <c r="K68" s="175">
        <f t="shared" si="4"/>
        <v>619</v>
      </c>
      <c r="L68" s="631">
        <v>0</v>
      </c>
      <c r="M68" s="176">
        <v>0</v>
      </c>
      <c r="N68" s="176">
        <v>0</v>
      </c>
      <c r="O68" s="176">
        <v>0</v>
      </c>
      <c r="P68" s="177">
        <f t="shared" si="3"/>
        <v>0</v>
      </c>
      <c r="Q68" s="157"/>
      <c r="R68" s="172"/>
      <c r="S68" s="172"/>
      <c r="T68" s="172"/>
      <c r="U68" s="172"/>
      <c r="V68" s="172"/>
      <c r="W68" s="172"/>
      <c r="X68" s="178"/>
      <c r="Y68" s="204"/>
      <c r="Z68" s="179"/>
    </row>
    <row r="69" spans="1:26" s="153" customFormat="1" ht="13.5" customHeight="1" x14ac:dyDescent="0.25">
      <c r="A69" s="169">
        <v>61</v>
      </c>
      <c r="B69" s="170" t="s">
        <v>169</v>
      </c>
      <c r="C69" s="171" t="s">
        <v>170</v>
      </c>
      <c r="D69" s="1012">
        <v>4455</v>
      </c>
      <c r="E69" s="172">
        <v>95</v>
      </c>
      <c r="F69" s="173">
        <v>581</v>
      </c>
      <c r="G69" s="173">
        <f t="shared" si="2"/>
        <v>624</v>
      </c>
      <c r="H69" s="174">
        <v>432</v>
      </c>
      <c r="I69" s="174">
        <v>62</v>
      </c>
      <c r="J69" s="174">
        <v>130</v>
      </c>
      <c r="K69" s="175">
        <f t="shared" si="4"/>
        <v>5755</v>
      </c>
      <c r="L69" s="631">
        <f>420+54</f>
        <v>474</v>
      </c>
      <c r="M69" s="176">
        <f>1759+287</f>
        <v>2046</v>
      </c>
      <c r="N69" s="176">
        <f>3965+661</f>
        <v>4626</v>
      </c>
      <c r="O69" s="176">
        <f>2686-11</f>
        <v>2675</v>
      </c>
      <c r="P69" s="177">
        <f t="shared" si="3"/>
        <v>9821</v>
      </c>
      <c r="Q69" s="157"/>
      <c r="R69" s="172"/>
      <c r="S69" s="172"/>
      <c r="T69" s="172"/>
      <c r="U69" s="172"/>
      <c r="V69" s="172"/>
      <c r="W69" s="172"/>
      <c r="X69" s="178"/>
      <c r="Y69" s="204"/>
      <c r="Z69" s="179"/>
    </row>
    <row r="70" spans="1:26" s="153" customFormat="1" ht="13.5" customHeight="1" x14ac:dyDescent="0.25">
      <c r="A70" s="169">
        <v>62</v>
      </c>
      <c r="B70" s="170" t="s">
        <v>171</v>
      </c>
      <c r="C70" s="171" t="s">
        <v>172</v>
      </c>
      <c r="D70" s="1012">
        <v>603</v>
      </c>
      <c r="E70" s="172"/>
      <c r="F70" s="173"/>
      <c r="G70" s="173">
        <f t="shared" si="2"/>
        <v>0</v>
      </c>
      <c r="H70" s="174"/>
      <c r="I70" s="174"/>
      <c r="J70" s="174"/>
      <c r="K70" s="175">
        <f t="shared" si="4"/>
        <v>603</v>
      </c>
      <c r="L70" s="631">
        <v>0</v>
      </c>
      <c r="M70" s="176">
        <v>0</v>
      </c>
      <c r="N70" s="176">
        <v>0</v>
      </c>
      <c r="O70" s="176">
        <v>0</v>
      </c>
      <c r="P70" s="177">
        <f t="shared" si="3"/>
        <v>0</v>
      </c>
      <c r="Q70" s="157"/>
      <c r="R70" s="172"/>
      <c r="S70" s="172"/>
      <c r="T70" s="172"/>
      <c r="U70" s="172"/>
      <c r="V70" s="172"/>
      <c r="W70" s="172"/>
      <c r="X70" s="178"/>
      <c r="Y70" s="204"/>
      <c r="Z70" s="179"/>
    </row>
    <row r="71" spans="1:26" s="153" customFormat="1" ht="13.5" customHeight="1" x14ac:dyDescent="0.25">
      <c r="A71" s="169">
        <v>63</v>
      </c>
      <c r="B71" s="170" t="s">
        <v>173</v>
      </c>
      <c r="C71" s="171" t="s">
        <v>613</v>
      </c>
      <c r="D71" s="1012">
        <f>2016+38</f>
        <v>2054</v>
      </c>
      <c r="E71" s="172">
        <f>2</f>
        <v>2</v>
      </c>
      <c r="F71" s="173">
        <v>334</v>
      </c>
      <c r="G71" s="173">
        <f t="shared" si="2"/>
        <v>849</v>
      </c>
      <c r="H71" s="174">
        <v>729</v>
      </c>
      <c r="I71" s="174">
        <v>0</v>
      </c>
      <c r="J71" s="174">
        <v>120</v>
      </c>
      <c r="K71" s="175">
        <f t="shared" si="4"/>
        <v>3239</v>
      </c>
      <c r="L71" s="631">
        <v>0</v>
      </c>
      <c r="M71" s="176">
        <v>0</v>
      </c>
      <c r="N71" s="176">
        <v>0</v>
      </c>
      <c r="O71" s="176">
        <v>0</v>
      </c>
      <c r="P71" s="177">
        <f t="shared" si="3"/>
        <v>0</v>
      </c>
      <c r="Q71" s="157"/>
      <c r="R71" s="172"/>
      <c r="S71" s="172"/>
      <c r="T71" s="172"/>
      <c r="U71" s="172"/>
      <c r="V71" s="172"/>
      <c r="W71" s="172"/>
      <c r="X71" s="178"/>
      <c r="Y71" s="204"/>
      <c r="Z71" s="179"/>
    </row>
    <row r="72" spans="1:26" s="153" customFormat="1" ht="13.5" customHeight="1" x14ac:dyDescent="0.25">
      <c r="A72" s="169">
        <v>64</v>
      </c>
      <c r="B72" s="170" t="s">
        <v>178</v>
      </c>
      <c r="C72" s="171" t="s">
        <v>324</v>
      </c>
      <c r="D72" s="1012">
        <f>160-57</f>
        <v>103</v>
      </c>
      <c r="E72" s="172">
        <f>6-2</f>
        <v>4</v>
      </c>
      <c r="F72" s="173">
        <f>19-1</f>
        <v>18</v>
      </c>
      <c r="G72" s="173">
        <f t="shared" si="2"/>
        <v>0</v>
      </c>
      <c r="H72" s="174"/>
      <c r="I72" s="174"/>
      <c r="J72" s="174"/>
      <c r="K72" s="175">
        <f t="shared" si="4"/>
        <v>125</v>
      </c>
      <c r="L72" s="631">
        <v>0</v>
      </c>
      <c r="M72" s="176">
        <v>0</v>
      </c>
      <c r="N72" s="176">
        <v>0</v>
      </c>
      <c r="O72" s="176">
        <v>0</v>
      </c>
      <c r="P72" s="177">
        <f t="shared" si="3"/>
        <v>0</v>
      </c>
      <c r="Q72" s="157"/>
      <c r="R72" s="172"/>
      <c r="S72" s="172"/>
      <c r="T72" s="172"/>
      <c r="U72" s="172"/>
      <c r="V72" s="172"/>
      <c r="W72" s="172"/>
      <c r="X72" s="178"/>
      <c r="Y72" s="204"/>
      <c r="Z72" s="179"/>
    </row>
    <row r="73" spans="1:26" s="153" customFormat="1" ht="13.5" customHeight="1" x14ac:dyDescent="0.25">
      <c r="A73" s="169">
        <v>65</v>
      </c>
      <c r="B73" s="170" t="s">
        <v>183</v>
      </c>
      <c r="C73" s="171" t="s">
        <v>184</v>
      </c>
      <c r="D73" s="1012">
        <v>128</v>
      </c>
      <c r="E73" s="172"/>
      <c r="F73" s="173"/>
      <c r="G73" s="173">
        <f t="shared" si="2"/>
        <v>0</v>
      </c>
      <c r="H73" s="174"/>
      <c r="I73" s="174"/>
      <c r="J73" s="174"/>
      <c r="K73" s="175">
        <f t="shared" si="4"/>
        <v>128</v>
      </c>
      <c r="L73" s="631">
        <v>0</v>
      </c>
      <c r="M73" s="176">
        <v>0</v>
      </c>
      <c r="N73" s="176">
        <v>0</v>
      </c>
      <c r="O73" s="176">
        <v>0</v>
      </c>
      <c r="P73" s="177">
        <f t="shared" si="3"/>
        <v>0</v>
      </c>
      <c r="Q73" s="157"/>
      <c r="R73" s="172"/>
      <c r="S73" s="172"/>
      <c r="T73" s="172"/>
      <c r="U73" s="172"/>
      <c r="V73" s="172"/>
      <c r="W73" s="172"/>
      <c r="X73" s="178"/>
      <c r="Y73" s="204"/>
      <c r="Z73" s="179"/>
    </row>
    <row r="74" spans="1:26" s="153" customFormat="1" ht="13.5" customHeight="1" x14ac:dyDescent="0.25">
      <c r="A74" s="169">
        <v>66</v>
      </c>
      <c r="B74" s="170" t="s">
        <v>185</v>
      </c>
      <c r="C74" s="171" t="s">
        <v>186</v>
      </c>
      <c r="D74" s="1012">
        <f>2362+18</f>
        <v>2380</v>
      </c>
      <c r="E74" s="172">
        <f>25-3</f>
        <v>22</v>
      </c>
      <c r="F74" s="173">
        <f>155+55+18</f>
        <v>228</v>
      </c>
      <c r="G74" s="173">
        <f t="shared" ref="G74:G97" si="5">H74+I74+J74</f>
        <v>356</v>
      </c>
      <c r="H74" s="174">
        <v>272</v>
      </c>
      <c r="I74" s="174">
        <v>34</v>
      </c>
      <c r="J74" s="174">
        <v>50</v>
      </c>
      <c r="K74" s="175">
        <f t="shared" ref="K74:K97" si="6">D74+E74+F74+G74</f>
        <v>2986</v>
      </c>
      <c r="L74" s="631">
        <v>0</v>
      </c>
      <c r="M74" s="176">
        <v>0</v>
      </c>
      <c r="N74" s="176">
        <v>0</v>
      </c>
      <c r="O74" s="176">
        <v>0</v>
      </c>
      <c r="P74" s="177">
        <f t="shared" ref="P74:P92" si="7">L74+M74+N74+O74</f>
        <v>0</v>
      </c>
      <c r="Q74" s="157"/>
      <c r="R74" s="172"/>
      <c r="S74" s="172"/>
      <c r="T74" s="172"/>
      <c r="U74" s="172"/>
      <c r="V74" s="172"/>
      <c r="W74" s="172"/>
      <c r="X74" s="178"/>
      <c r="Y74" s="204"/>
      <c r="Z74" s="179"/>
    </row>
    <row r="75" spans="1:26" s="153" customFormat="1" ht="13.5" customHeight="1" x14ac:dyDescent="0.25">
      <c r="A75" s="169">
        <v>67</v>
      </c>
      <c r="B75" s="170" t="s">
        <v>187</v>
      </c>
      <c r="C75" s="171" t="s">
        <v>188</v>
      </c>
      <c r="D75" s="1012">
        <f>331+6</f>
        <v>337</v>
      </c>
      <c r="E75" s="172">
        <f>7+1</f>
        <v>8</v>
      </c>
      <c r="F75" s="173"/>
      <c r="G75" s="173">
        <f t="shared" si="5"/>
        <v>0</v>
      </c>
      <c r="H75" s="174"/>
      <c r="I75" s="174"/>
      <c r="J75" s="174"/>
      <c r="K75" s="175">
        <f t="shared" si="6"/>
        <v>345</v>
      </c>
      <c r="L75" s="631">
        <v>0</v>
      </c>
      <c r="M75" s="176">
        <v>0</v>
      </c>
      <c r="N75" s="176">
        <v>0</v>
      </c>
      <c r="O75" s="176">
        <v>0</v>
      </c>
      <c r="P75" s="177">
        <f t="shared" si="7"/>
        <v>0</v>
      </c>
      <c r="Q75" s="157"/>
      <c r="R75" s="172"/>
      <c r="S75" s="172"/>
      <c r="T75" s="172"/>
      <c r="U75" s="172"/>
      <c r="V75" s="172"/>
      <c r="W75" s="172"/>
      <c r="X75" s="178"/>
      <c r="Y75" s="204"/>
      <c r="Z75" s="182"/>
    </row>
    <row r="76" spans="1:26" s="153" customFormat="1" ht="13.5" customHeight="1" x14ac:dyDescent="0.25">
      <c r="A76" s="169">
        <v>68</v>
      </c>
      <c r="B76" s="170" t="s">
        <v>189</v>
      </c>
      <c r="C76" s="171" t="s">
        <v>190</v>
      </c>
      <c r="D76" s="1012">
        <f>328-12</f>
        <v>316</v>
      </c>
      <c r="E76" s="172"/>
      <c r="F76" s="173">
        <f>39-2</f>
        <v>37</v>
      </c>
      <c r="G76" s="173">
        <f t="shared" si="5"/>
        <v>0</v>
      </c>
      <c r="H76" s="173"/>
      <c r="I76" s="180"/>
      <c r="J76" s="180"/>
      <c r="K76" s="175">
        <f t="shared" si="6"/>
        <v>353</v>
      </c>
      <c r="L76" s="631">
        <v>0</v>
      </c>
      <c r="M76" s="176">
        <v>0</v>
      </c>
      <c r="N76" s="176">
        <v>0</v>
      </c>
      <c r="O76" s="176">
        <v>0</v>
      </c>
      <c r="P76" s="177">
        <f t="shared" si="7"/>
        <v>0</v>
      </c>
      <c r="Q76" s="157"/>
      <c r="R76" s="172"/>
      <c r="S76" s="172"/>
      <c r="T76" s="172"/>
      <c r="U76" s="172"/>
      <c r="V76" s="172"/>
      <c r="W76" s="172"/>
      <c r="X76" s="178"/>
      <c r="Y76" s="204"/>
      <c r="Z76" s="182"/>
    </row>
    <row r="77" spans="1:26" s="153" customFormat="1" ht="13.5" customHeight="1" x14ac:dyDescent="0.25">
      <c r="A77" s="169">
        <v>69</v>
      </c>
      <c r="B77" s="170" t="s">
        <v>191</v>
      </c>
      <c r="C77" s="171" t="s">
        <v>192</v>
      </c>
      <c r="D77" s="1012">
        <v>907</v>
      </c>
      <c r="E77" s="172"/>
      <c r="F77" s="173">
        <v>108</v>
      </c>
      <c r="G77" s="173">
        <f t="shared" si="5"/>
        <v>0</v>
      </c>
      <c r="H77" s="173"/>
      <c r="I77" s="180"/>
      <c r="J77" s="180"/>
      <c r="K77" s="175">
        <f t="shared" si="6"/>
        <v>1015</v>
      </c>
      <c r="L77" s="631">
        <v>0</v>
      </c>
      <c r="M77" s="176">
        <v>0</v>
      </c>
      <c r="N77" s="176">
        <v>0</v>
      </c>
      <c r="O77" s="176">
        <v>0</v>
      </c>
      <c r="P77" s="177">
        <f t="shared" si="7"/>
        <v>0</v>
      </c>
      <c r="Q77" s="157"/>
      <c r="R77" s="172"/>
      <c r="S77" s="172"/>
      <c r="T77" s="172"/>
      <c r="U77" s="172"/>
      <c r="V77" s="172"/>
      <c r="W77" s="172"/>
      <c r="X77" s="178"/>
      <c r="Y77" s="204"/>
      <c r="Z77" s="182"/>
    </row>
    <row r="78" spans="1:26" s="153" customFormat="1" ht="13.5" customHeight="1" x14ac:dyDescent="0.25">
      <c r="A78" s="169">
        <v>70</v>
      </c>
      <c r="B78" s="170" t="s">
        <v>193</v>
      </c>
      <c r="C78" s="171" t="s">
        <v>194</v>
      </c>
      <c r="D78" s="1012">
        <f>393+7</f>
        <v>400</v>
      </c>
      <c r="E78" s="172">
        <v>8</v>
      </c>
      <c r="F78" s="173">
        <v>47</v>
      </c>
      <c r="G78" s="173">
        <f t="shared" si="5"/>
        <v>0</v>
      </c>
      <c r="H78" s="173"/>
      <c r="I78" s="180"/>
      <c r="J78" s="180"/>
      <c r="K78" s="175">
        <f t="shared" si="6"/>
        <v>455</v>
      </c>
      <c r="L78" s="631">
        <v>0</v>
      </c>
      <c r="M78" s="176">
        <v>0</v>
      </c>
      <c r="N78" s="176">
        <v>0</v>
      </c>
      <c r="O78" s="176">
        <v>0</v>
      </c>
      <c r="P78" s="177">
        <f t="shared" si="7"/>
        <v>0</v>
      </c>
      <c r="Q78" s="157"/>
      <c r="R78" s="172"/>
      <c r="S78" s="172"/>
      <c r="T78" s="172"/>
      <c r="U78" s="172"/>
      <c r="V78" s="172"/>
      <c r="W78" s="172"/>
      <c r="X78" s="178"/>
      <c r="Y78" s="204"/>
      <c r="Z78" s="182"/>
    </row>
    <row r="79" spans="1:26" s="153" customFormat="1" ht="13.5" customHeight="1" x14ac:dyDescent="0.25">
      <c r="A79" s="169">
        <v>71</v>
      </c>
      <c r="B79" s="170" t="s">
        <v>195</v>
      </c>
      <c r="C79" s="171" t="s">
        <v>196</v>
      </c>
      <c r="D79" s="1012">
        <f>510+396</f>
        <v>906</v>
      </c>
      <c r="E79" s="172">
        <f>11+5</f>
        <v>16</v>
      </c>
      <c r="F79" s="173">
        <f>0</f>
        <v>0</v>
      </c>
      <c r="G79" s="173">
        <f t="shared" si="5"/>
        <v>0</v>
      </c>
      <c r="H79" s="181"/>
      <c r="I79" s="181"/>
      <c r="J79" s="181"/>
      <c r="K79" s="175">
        <f t="shared" si="6"/>
        <v>922</v>
      </c>
      <c r="L79" s="631">
        <v>0</v>
      </c>
      <c r="M79" s="176">
        <v>0</v>
      </c>
      <c r="N79" s="176">
        <v>0</v>
      </c>
      <c r="O79" s="176">
        <v>0</v>
      </c>
      <c r="P79" s="177">
        <f t="shared" si="7"/>
        <v>0</v>
      </c>
      <c r="Q79" s="157"/>
      <c r="R79" s="172"/>
      <c r="S79" s="172"/>
      <c r="T79" s="172"/>
      <c r="U79" s="172"/>
      <c r="V79" s="172"/>
      <c r="W79" s="172"/>
      <c r="X79" s="178"/>
      <c r="Y79" s="204"/>
      <c r="Z79" s="182"/>
    </row>
    <row r="80" spans="1:26" s="153" customFormat="1" ht="13.5" customHeight="1" x14ac:dyDescent="0.25">
      <c r="A80" s="169">
        <v>72</v>
      </c>
      <c r="B80" s="170" t="s">
        <v>197</v>
      </c>
      <c r="C80" s="171" t="s">
        <v>198</v>
      </c>
      <c r="D80" s="1012"/>
      <c r="E80" s="172"/>
      <c r="F80" s="173"/>
      <c r="G80" s="173">
        <f t="shared" si="5"/>
        <v>0</v>
      </c>
      <c r="H80" s="174"/>
      <c r="I80" s="174"/>
      <c r="J80" s="174"/>
      <c r="K80" s="175">
        <f t="shared" si="6"/>
        <v>0</v>
      </c>
      <c r="L80" s="631">
        <v>0</v>
      </c>
      <c r="M80" s="176">
        <v>0</v>
      </c>
      <c r="N80" s="176">
        <v>0</v>
      </c>
      <c r="O80" s="176">
        <v>0</v>
      </c>
      <c r="P80" s="177">
        <f t="shared" si="7"/>
        <v>0</v>
      </c>
      <c r="Q80" s="157"/>
      <c r="R80" s="172"/>
      <c r="S80" s="172"/>
      <c r="T80" s="172"/>
      <c r="U80" s="172"/>
      <c r="V80" s="172"/>
      <c r="W80" s="172"/>
      <c r="X80" s="178"/>
      <c r="Y80" s="204"/>
      <c r="Z80" s="182"/>
    </row>
    <row r="81" spans="1:26" s="153" customFormat="1" ht="13.5" customHeight="1" x14ac:dyDescent="0.25">
      <c r="A81" s="169">
        <v>73</v>
      </c>
      <c r="B81" s="170" t="s">
        <v>199</v>
      </c>
      <c r="C81" s="171" t="s">
        <v>200</v>
      </c>
      <c r="D81" s="1012">
        <v>866</v>
      </c>
      <c r="E81" s="172"/>
      <c r="F81" s="173"/>
      <c r="G81" s="173">
        <f t="shared" si="5"/>
        <v>0</v>
      </c>
      <c r="H81" s="174"/>
      <c r="I81" s="174"/>
      <c r="J81" s="174"/>
      <c r="K81" s="175">
        <f t="shared" si="6"/>
        <v>866</v>
      </c>
      <c r="L81" s="631">
        <v>0</v>
      </c>
      <c r="M81" s="176">
        <v>0</v>
      </c>
      <c r="N81" s="176">
        <v>0</v>
      </c>
      <c r="O81" s="176">
        <v>0</v>
      </c>
      <c r="P81" s="177">
        <f t="shared" si="7"/>
        <v>0</v>
      </c>
      <c r="Q81" s="157"/>
      <c r="R81" s="172"/>
      <c r="S81" s="172"/>
      <c r="T81" s="172"/>
      <c r="U81" s="172"/>
      <c r="V81" s="172"/>
      <c r="W81" s="172"/>
      <c r="X81" s="178"/>
      <c r="Y81" s="204"/>
      <c r="Z81" s="182"/>
    </row>
    <row r="82" spans="1:26" s="153" customFormat="1" ht="13.5" customHeight="1" x14ac:dyDescent="0.25">
      <c r="A82" s="169">
        <v>74</v>
      </c>
      <c r="B82" s="170" t="s">
        <v>201</v>
      </c>
      <c r="C82" s="171" t="s">
        <v>202</v>
      </c>
      <c r="D82" s="1012">
        <v>301</v>
      </c>
      <c r="E82" s="172">
        <v>6</v>
      </c>
      <c r="F82" s="173">
        <f>36+7</f>
        <v>43</v>
      </c>
      <c r="G82" s="173">
        <f t="shared" si="5"/>
        <v>0</v>
      </c>
      <c r="H82" s="174"/>
      <c r="I82" s="174"/>
      <c r="J82" s="174"/>
      <c r="K82" s="175">
        <f t="shared" si="6"/>
        <v>350</v>
      </c>
      <c r="L82" s="631">
        <v>0</v>
      </c>
      <c r="M82" s="176">
        <v>0</v>
      </c>
      <c r="N82" s="176">
        <v>0</v>
      </c>
      <c r="O82" s="176">
        <v>0</v>
      </c>
      <c r="P82" s="177">
        <f t="shared" si="7"/>
        <v>0</v>
      </c>
      <c r="Q82" s="157"/>
      <c r="R82" s="172"/>
      <c r="S82" s="172"/>
      <c r="T82" s="172"/>
      <c r="U82" s="172"/>
      <c r="V82" s="172"/>
      <c r="W82" s="172"/>
      <c r="X82" s="178"/>
      <c r="Y82" s="204"/>
      <c r="Z82" s="182"/>
    </row>
    <row r="83" spans="1:26" s="153" customFormat="1" ht="13.5" customHeight="1" x14ac:dyDescent="0.25">
      <c r="A83" s="169">
        <v>75</v>
      </c>
      <c r="B83" s="170" t="s">
        <v>203</v>
      </c>
      <c r="C83" s="171" t="s">
        <v>204</v>
      </c>
      <c r="D83" s="1012">
        <v>470</v>
      </c>
      <c r="E83" s="172">
        <v>0</v>
      </c>
      <c r="F83" s="173"/>
      <c r="G83" s="173">
        <f t="shared" si="5"/>
        <v>0</v>
      </c>
      <c r="H83" s="174"/>
      <c r="I83" s="174"/>
      <c r="J83" s="174"/>
      <c r="K83" s="175">
        <f t="shared" si="6"/>
        <v>470</v>
      </c>
      <c r="L83" s="631">
        <v>0</v>
      </c>
      <c r="M83" s="176">
        <v>0</v>
      </c>
      <c r="N83" s="176">
        <v>0</v>
      </c>
      <c r="O83" s="176">
        <v>0</v>
      </c>
      <c r="P83" s="177">
        <f t="shared" si="7"/>
        <v>0</v>
      </c>
      <c r="Q83" s="157"/>
      <c r="R83" s="172"/>
      <c r="S83" s="172"/>
      <c r="T83" s="172"/>
      <c r="U83" s="172"/>
      <c r="V83" s="172"/>
      <c r="W83" s="172"/>
      <c r="X83" s="178"/>
      <c r="Y83" s="204"/>
      <c r="Z83" s="182"/>
    </row>
    <row r="84" spans="1:26" s="153" customFormat="1" ht="13.5" customHeight="1" x14ac:dyDescent="0.25">
      <c r="A84" s="169">
        <v>76</v>
      </c>
      <c r="B84" s="170" t="s">
        <v>205</v>
      </c>
      <c r="C84" s="171" t="s">
        <v>206</v>
      </c>
      <c r="D84" s="1012">
        <v>445</v>
      </c>
      <c r="E84" s="172">
        <f>10-1</f>
        <v>9</v>
      </c>
      <c r="F84" s="173">
        <v>53</v>
      </c>
      <c r="G84" s="173">
        <f t="shared" si="5"/>
        <v>0</v>
      </c>
      <c r="H84" s="174"/>
      <c r="I84" s="174"/>
      <c r="J84" s="174"/>
      <c r="K84" s="175">
        <f t="shared" si="6"/>
        <v>507</v>
      </c>
      <c r="L84" s="631">
        <v>0</v>
      </c>
      <c r="M84" s="176">
        <v>0</v>
      </c>
      <c r="N84" s="176">
        <v>0</v>
      </c>
      <c r="O84" s="176">
        <v>0</v>
      </c>
      <c r="P84" s="177">
        <f t="shared" si="7"/>
        <v>0</v>
      </c>
      <c r="Q84" s="157"/>
      <c r="R84" s="172"/>
      <c r="S84" s="172"/>
      <c r="T84" s="172"/>
      <c r="U84" s="172"/>
      <c r="V84" s="172"/>
      <c r="W84" s="172"/>
      <c r="X84" s="178"/>
      <c r="Y84" s="204"/>
      <c r="Z84" s="182"/>
    </row>
    <row r="85" spans="1:26" s="153" customFormat="1" ht="13.5" customHeight="1" x14ac:dyDescent="0.25">
      <c r="A85" s="169">
        <v>77</v>
      </c>
      <c r="B85" s="170" t="s">
        <v>207</v>
      </c>
      <c r="C85" s="171" t="s">
        <v>208</v>
      </c>
      <c r="D85" s="1012">
        <f>514+10</f>
        <v>524</v>
      </c>
      <c r="E85" s="172">
        <f>18+4</f>
        <v>22</v>
      </c>
      <c r="F85" s="173">
        <v>61</v>
      </c>
      <c r="G85" s="173">
        <f t="shared" si="5"/>
        <v>289</v>
      </c>
      <c r="H85" s="174">
        <v>220</v>
      </c>
      <c r="I85" s="174">
        <v>28</v>
      </c>
      <c r="J85" s="174">
        <v>41</v>
      </c>
      <c r="K85" s="175">
        <f t="shared" si="6"/>
        <v>896</v>
      </c>
      <c r="L85" s="631">
        <v>0</v>
      </c>
      <c r="M85" s="176">
        <v>0</v>
      </c>
      <c r="N85" s="176">
        <v>0</v>
      </c>
      <c r="O85" s="176">
        <v>0</v>
      </c>
      <c r="P85" s="177">
        <f t="shared" si="7"/>
        <v>0</v>
      </c>
      <c r="Q85" s="157"/>
      <c r="R85" s="172"/>
      <c r="S85" s="172"/>
      <c r="T85" s="172"/>
      <c r="U85" s="172"/>
      <c r="V85" s="172"/>
      <c r="W85" s="172"/>
      <c r="X85" s="178"/>
      <c r="Y85" s="204"/>
      <c r="Z85" s="182"/>
    </row>
    <row r="86" spans="1:26" s="153" customFormat="1" ht="13.5" customHeight="1" x14ac:dyDescent="0.25">
      <c r="A86" s="169">
        <v>78</v>
      </c>
      <c r="B86" s="170" t="s">
        <v>209</v>
      </c>
      <c r="C86" s="171" t="s">
        <v>210</v>
      </c>
      <c r="D86" s="1012">
        <v>348</v>
      </c>
      <c r="E86" s="172">
        <v>0</v>
      </c>
      <c r="F86" s="173"/>
      <c r="G86" s="173">
        <f t="shared" si="5"/>
        <v>0</v>
      </c>
      <c r="H86" s="174"/>
      <c r="I86" s="174"/>
      <c r="J86" s="174"/>
      <c r="K86" s="175">
        <f t="shared" si="6"/>
        <v>348</v>
      </c>
      <c r="L86" s="631">
        <v>0</v>
      </c>
      <c r="M86" s="176">
        <v>0</v>
      </c>
      <c r="N86" s="176">
        <v>0</v>
      </c>
      <c r="O86" s="176">
        <v>0</v>
      </c>
      <c r="P86" s="177">
        <f t="shared" si="7"/>
        <v>0</v>
      </c>
      <c r="Q86" s="157"/>
      <c r="R86" s="172"/>
      <c r="S86" s="172"/>
      <c r="T86" s="172"/>
      <c r="U86" s="172"/>
      <c r="V86" s="172"/>
      <c r="W86" s="172"/>
      <c r="X86" s="178"/>
      <c r="Y86" s="204"/>
      <c r="Z86" s="182"/>
    </row>
    <row r="87" spans="1:26" s="153" customFormat="1" ht="13.5" customHeight="1" x14ac:dyDescent="0.25">
      <c r="A87" s="169">
        <v>79</v>
      </c>
      <c r="B87" s="171" t="s">
        <v>211</v>
      </c>
      <c r="C87" s="183" t="s">
        <v>212</v>
      </c>
      <c r="D87" s="1012">
        <v>519</v>
      </c>
      <c r="E87" s="172">
        <v>12</v>
      </c>
      <c r="F87" s="173">
        <v>62</v>
      </c>
      <c r="G87" s="173">
        <f t="shared" si="5"/>
        <v>0</v>
      </c>
      <c r="H87" s="174"/>
      <c r="I87" s="174"/>
      <c r="J87" s="174"/>
      <c r="K87" s="175">
        <f t="shared" si="6"/>
        <v>593</v>
      </c>
      <c r="L87" s="631">
        <v>0</v>
      </c>
      <c r="M87" s="176">
        <v>0</v>
      </c>
      <c r="N87" s="176">
        <v>0</v>
      </c>
      <c r="O87" s="176">
        <v>0</v>
      </c>
      <c r="P87" s="177">
        <f t="shared" si="7"/>
        <v>0</v>
      </c>
      <c r="Q87" s="157"/>
      <c r="R87" s="172"/>
      <c r="S87" s="172"/>
      <c r="T87" s="172"/>
      <c r="U87" s="172"/>
      <c r="V87" s="172"/>
      <c r="W87" s="172"/>
      <c r="X87" s="178"/>
      <c r="Y87" s="204"/>
      <c r="Z87" s="182"/>
    </row>
    <row r="88" spans="1:26" s="153" customFormat="1" ht="13.5" customHeight="1" x14ac:dyDescent="0.25">
      <c r="A88" s="169">
        <v>80</v>
      </c>
      <c r="B88" s="170" t="s">
        <v>213</v>
      </c>
      <c r="C88" s="171" t="s">
        <v>214</v>
      </c>
      <c r="D88" s="1012">
        <f>896+17</f>
        <v>913</v>
      </c>
      <c r="E88" s="172">
        <v>19</v>
      </c>
      <c r="F88" s="173">
        <v>107</v>
      </c>
      <c r="G88" s="173">
        <f t="shared" si="5"/>
        <v>0</v>
      </c>
      <c r="H88" s="174"/>
      <c r="I88" s="174"/>
      <c r="J88" s="174"/>
      <c r="K88" s="175">
        <f t="shared" si="6"/>
        <v>1039</v>
      </c>
      <c r="L88" s="631">
        <v>0</v>
      </c>
      <c r="M88" s="176">
        <v>0</v>
      </c>
      <c r="N88" s="176">
        <v>0</v>
      </c>
      <c r="O88" s="176">
        <v>0</v>
      </c>
      <c r="P88" s="177">
        <f t="shared" si="7"/>
        <v>0</v>
      </c>
      <c r="Q88" s="157"/>
      <c r="R88" s="172"/>
      <c r="S88" s="172"/>
      <c r="T88" s="172"/>
      <c r="U88" s="172"/>
      <c r="V88" s="172"/>
      <c r="W88" s="172"/>
      <c r="X88" s="178"/>
      <c r="Y88" s="204"/>
      <c r="Z88" s="182"/>
    </row>
    <row r="89" spans="1:26" s="153" customFormat="1" ht="13.5" customHeight="1" x14ac:dyDescent="0.25">
      <c r="A89" s="169">
        <v>81</v>
      </c>
      <c r="B89" s="170" t="s">
        <v>215</v>
      </c>
      <c r="C89" s="171" t="s">
        <v>216</v>
      </c>
      <c r="D89" s="1012">
        <v>410</v>
      </c>
      <c r="E89" s="172">
        <f>2</f>
        <v>2</v>
      </c>
      <c r="F89" s="173"/>
      <c r="G89" s="173">
        <f t="shared" si="5"/>
        <v>0</v>
      </c>
      <c r="H89" s="174"/>
      <c r="I89" s="174"/>
      <c r="J89" s="174"/>
      <c r="K89" s="175">
        <f t="shared" si="6"/>
        <v>412</v>
      </c>
      <c r="L89" s="631">
        <v>0</v>
      </c>
      <c r="M89" s="176">
        <v>0</v>
      </c>
      <c r="N89" s="176">
        <v>0</v>
      </c>
      <c r="O89" s="176">
        <v>0</v>
      </c>
      <c r="P89" s="177">
        <f t="shared" si="7"/>
        <v>0</v>
      </c>
      <c r="Q89" s="157"/>
      <c r="R89" s="172"/>
      <c r="S89" s="172"/>
      <c r="T89" s="172"/>
      <c r="U89" s="172"/>
      <c r="V89" s="172"/>
      <c r="W89" s="172"/>
      <c r="X89" s="178"/>
      <c r="Y89" s="204"/>
      <c r="Z89" s="182"/>
    </row>
    <row r="90" spans="1:26" s="153" customFormat="1" ht="13.5" customHeight="1" x14ac:dyDescent="0.25">
      <c r="A90" s="169">
        <v>82</v>
      </c>
      <c r="B90" s="170" t="s">
        <v>258</v>
      </c>
      <c r="C90" s="171" t="s">
        <v>671</v>
      </c>
      <c r="D90" s="1012">
        <v>2000</v>
      </c>
      <c r="E90" s="172">
        <v>307</v>
      </c>
      <c r="F90" s="173">
        <v>727</v>
      </c>
      <c r="G90" s="173">
        <f t="shared" si="5"/>
        <v>570</v>
      </c>
      <c r="H90" s="174">
        <f>431+106-79</f>
        <v>458</v>
      </c>
      <c r="I90" s="174">
        <f>53+5-4</f>
        <v>54</v>
      </c>
      <c r="J90" s="174">
        <f>56+10-8</f>
        <v>58</v>
      </c>
      <c r="K90" s="175">
        <f t="shared" si="6"/>
        <v>3604</v>
      </c>
      <c r="L90" s="631">
        <f>300-29</f>
        <v>271</v>
      </c>
      <c r="M90" s="176">
        <f>1124+171+317</f>
        <v>1612</v>
      </c>
      <c r="N90" s="176">
        <f>3891+800</f>
        <v>4691</v>
      </c>
      <c r="O90" s="176">
        <f>2636+700</f>
        <v>3336</v>
      </c>
      <c r="P90" s="177">
        <f t="shared" si="7"/>
        <v>9910</v>
      </c>
      <c r="Q90" s="157"/>
      <c r="R90" s="172"/>
      <c r="S90" s="172"/>
      <c r="T90" s="172"/>
      <c r="U90" s="172"/>
      <c r="V90" s="172"/>
      <c r="W90" s="172"/>
      <c r="X90" s="178"/>
      <c r="Y90" s="204"/>
      <c r="Z90" s="182"/>
    </row>
    <row r="91" spans="1:26" s="153" customFormat="1" ht="13.5" customHeight="1" x14ac:dyDescent="0.25">
      <c r="A91" s="169">
        <v>83</v>
      </c>
      <c r="B91" s="170" t="s">
        <v>260</v>
      </c>
      <c r="C91" s="171" t="s">
        <v>261</v>
      </c>
      <c r="D91" s="1012">
        <f>3900+74</f>
        <v>3974</v>
      </c>
      <c r="E91" s="172">
        <v>3000</v>
      </c>
      <c r="F91" s="173">
        <v>2250</v>
      </c>
      <c r="G91" s="173">
        <f t="shared" si="5"/>
        <v>1658</v>
      </c>
      <c r="H91" s="174">
        <f>789+56</f>
        <v>845</v>
      </c>
      <c r="I91" s="174">
        <f>90+1</f>
        <v>91</v>
      </c>
      <c r="J91" s="174">
        <f>718+4</f>
        <v>722</v>
      </c>
      <c r="K91" s="175">
        <f t="shared" si="6"/>
        <v>10882</v>
      </c>
      <c r="L91" s="631">
        <f>180+3</f>
        <v>183</v>
      </c>
      <c r="M91" s="176">
        <f>160</f>
        <v>160</v>
      </c>
      <c r="N91" s="176">
        <f>6374-1085-415</f>
        <v>4874</v>
      </c>
      <c r="O91" s="176">
        <f>4318+1766</f>
        <v>6084</v>
      </c>
      <c r="P91" s="177">
        <f t="shared" si="7"/>
        <v>11301</v>
      </c>
      <c r="Q91" s="157"/>
      <c r="R91" s="172"/>
      <c r="S91" s="172"/>
      <c r="T91" s="172"/>
      <c r="U91" s="172"/>
      <c r="V91" s="172"/>
      <c r="W91" s="172"/>
      <c r="X91" s="178"/>
      <c r="Y91" s="204"/>
      <c r="Z91" s="182"/>
    </row>
    <row r="92" spans="1:26" s="153" customFormat="1" ht="13.5" customHeight="1" x14ac:dyDescent="0.25">
      <c r="A92" s="169">
        <v>84</v>
      </c>
      <c r="B92" s="170" t="s">
        <v>264</v>
      </c>
      <c r="C92" s="171" t="s">
        <v>265</v>
      </c>
      <c r="D92" s="1012">
        <f>2270+684-369</f>
        <v>2585</v>
      </c>
      <c r="E92" s="172"/>
      <c r="F92" s="173"/>
      <c r="G92" s="173">
        <f t="shared" si="5"/>
        <v>0</v>
      </c>
      <c r="H92" s="174"/>
      <c r="I92" s="174"/>
      <c r="J92" s="174"/>
      <c r="K92" s="175">
        <f t="shared" si="6"/>
        <v>2585</v>
      </c>
      <c r="L92" s="631">
        <v>0</v>
      </c>
      <c r="M92" s="176">
        <v>0</v>
      </c>
      <c r="N92" s="176">
        <v>0</v>
      </c>
      <c r="O92" s="176">
        <v>0</v>
      </c>
      <c r="P92" s="177">
        <f t="shared" si="7"/>
        <v>0</v>
      </c>
      <c r="Q92" s="157"/>
      <c r="R92" s="172"/>
      <c r="S92" s="172"/>
      <c r="T92" s="172"/>
      <c r="U92" s="172"/>
      <c r="V92" s="172"/>
      <c r="W92" s="172"/>
      <c r="X92" s="178"/>
      <c r="Y92" s="204"/>
      <c r="Z92" s="182"/>
    </row>
    <row r="93" spans="1:26" s="153" customFormat="1" ht="13.5" customHeight="1" x14ac:dyDescent="0.25">
      <c r="A93" s="169">
        <v>85</v>
      </c>
      <c r="B93" s="170" t="s">
        <v>270</v>
      </c>
      <c r="C93" s="171" t="s">
        <v>271</v>
      </c>
      <c r="D93" s="1012"/>
      <c r="E93" s="172"/>
      <c r="F93" s="173"/>
      <c r="G93" s="173">
        <f t="shared" si="5"/>
        <v>0</v>
      </c>
      <c r="H93" s="174"/>
      <c r="I93" s="174"/>
      <c r="J93" s="174"/>
      <c r="K93" s="175">
        <f t="shared" si="6"/>
        <v>0</v>
      </c>
      <c r="L93" s="631">
        <v>0</v>
      </c>
      <c r="M93" s="176">
        <v>0</v>
      </c>
      <c r="N93" s="176">
        <v>0</v>
      </c>
      <c r="O93" s="176">
        <v>0</v>
      </c>
      <c r="P93" s="177">
        <v>0</v>
      </c>
      <c r="Q93" s="1013">
        <f>183+400-283-11</f>
        <v>289</v>
      </c>
      <c r="R93" s="172">
        <f>479+400-165</f>
        <v>714</v>
      </c>
      <c r="S93" s="1014">
        <f>290+400-85-180</f>
        <v>425</v>
      </c>
      <c r="T93" s="1014">
        <f>290+400-85-195</f>
        <v>410</v>
      </c>
      <c r="U93" s="1014">
        <f>393+369+42</f>
        <v>804</v>
      </c>
      <c r="V93" s="172">
        <f>1050+600-120</f>
        <v>1530</v>
      </c>
      <c r="W93" s="172">
        <f>1119+953-88</f>
        <v>1984</v>
      </c>
      <c r="X93" s="178">
        <f>10+10+21</f>
        <v>41</v>
      </c>
      <c r="Y93" s="204">
        <f>SUM(Q93:X93)</f>
        <v>6197</v>
      </c>
      <c r="Z93" s="182"/>
    </row>
    <row r="94" spans="1:26" s="153" customFormat="1" ht="13.5" customHeight="1" x14ac:dyDescent="0.25">
      <c r="A94" s="169">
        <v>86</v>
      </c>
      <c r="B94" s="184" t="s">
        <v>272</v>
      </c>
      <c r="C94" s="185" t="s">
        <v>273</v>
      </c>
      <c r="D94" s="1012">
        <f>777+15</f>
        <v>792</v>
      </c>
      <c r="E94" s="172"/>
      <c r="F94" s="173"/>
      <c r="G94" s="173">
        <f t="shared" si="5"/>
        <v>0</v>
      </c>
      <c r="H94" s="174"/>
      <c r="I94" s="174"/>
      <c r="J94" s="174"/>
      <c r="K94" s="175">
        <f t="shared" si="6"/>
        <v>792</v>
      </c>
      <c r="L94" s="631">
        <v>0</v>
      </c>
      <c r="M94" s="176">
        <v>0</v>
      </c>
      <c r="N94" s="176">
        <v>0</v>
      </c>
      <c r="O94" s="176">
        <v>0</v>
      </c>
      <c r="P94" s="177">
        <f>L94+M94+N94+O94</f>
        <v>0</v>
      </c>
      <c r="Q94" s="157"/>
      <c r="R94" s="172"/>
      <c r="S94" s="172"/>
      <c r="T94" s="172"/>
      <c r="U94" s="172"/>
      <c r="V94" s="172"/>
      <c r="W94" s="172"/>
      <c r="X94" s="178"/>
      <c r="Y94" s="204"/>
      <c r="Z94" s="182"/>
    </row>
    <row r="95" spans="1:26" s="153" customFormat="1" ht="13.5" customHeight="1" x14ac:dyDescent="0.25">
      <c r="A95" s="169">
        <v>87</v>
      </c>
      <c r="B95" s="170" t="s">
        <v>274</v>
      </c>
      <c r="C95" s="171" t="s">
        <v>275</v>
      </c>
      <c r="D95" s="1012">
        <v>1560</v>
      </c>
      <c r="E95" s="172"/>
      <c r="F95" s="173"/>
      <c r="G95" s="173">
        <f t="shared" si="5"/>
        <v>0</v>
      </c>
      <c r="H95" s="174"/>
      <c r="I95" s="174"/>
      <c r="J95" s="174"/>
      <c r="K95" s="175">
        <f t="shared" si="6"/>
        <v>1560</v>
      </c>
      <c r="L95" s="631">
        <v>0</v>
      </c>
      <c r="M95" s="176">
        <v>0</v>
      </c>
      <c r="N95" s="176">
        <v>0</v>
      </c>
      <c r="O95" s="176">
        <v>0</v>
      </c>
      <c r="P95" s="177">
        <f>L95+M95+N95+O95</f>
        <v>0</v>
      </c>
      <c r="Q95" s="157"/>
      <c r="R95" s="172"/>
      <c r="S95" s="172"/>
      <c r="T95" s="172"/>
      <c r="U95" s="172"/>
      <c r="V95" s="172"/>
      <c r="W95" s="172"/>
      <c r="X95" s="178"/>
      <c r="Y95" s="204"/>
      <c r="Z95" s="182"/>
    </row>
    <row r="96" spans="1:26" s="153" customFormat="1" ht="13.5" customHeight="1" x14ac:dyDescent="0.25">
      <c r="A96" s="169">
        <v>88</v>
      </c>
      <c r="B96" s="170" t="s">
        <v>276</v>
      </c>
      <c r="C96" s="171" t="s">
        <v>277</v>
      </c>
      <c r="D96" s="1012">
        <f>1533+205</f>
        <v>1738</v>
      </c>
      <c r="E96" s="172">
        <f>59-39</f>
        <v>20</v>
      </c>
      <c r="F96" s="173">
        <f>330-55+4</f>
        <v>279</v>
      </c>
      <c r="G96" s="173">
        <f t="shared" si="5"/>
        <v>0</v>
      </c>
      <c r="H96" s="174"/>
      <c r="I96" s="174"/>
      <c r="J96" s="174"/>
      <c r="K96" s="175">
        <f t="shared" si="6"/>
        <v>2037</v>
      </c>
      <c r="L96" s="631">
        <v>0</v>
      </c>
      <c r="M96" s="176">
        <v>0</v>
      </c>
      <c r="N96" s="176">
        <v>0</v>
      </c>
      <c r="O96" s="176">
        <v>0</v>
      </c>
      <c r="P96" s="177">
        <f>L96+M96+N96+O96</f>
        <v>0</v>
      </c>
      <c r="Q96" s="157"/>
      <c r="R96" s="172"/>
      <c r="S96" s="172"/>
      <c r="T96" s="172"/>
      <c r="U96" s="172"/>
      <c r="V96" s="172"/>
      <c r="W96" s="172"/>
      <c r="X96" s="178"/>
      <c r="Y96" s="204"/>
      <c r="Z96" s="182"/>
    </row>
    <row r="97" spans="1:26" s="153" customFormat="1" ht="13.5" customHeight="1" x14ac:dyDescent="0.25">
      <c r="A97" s="169">
        <v>89</v>
      </c>
      <c r="B97" s="170" t="s">
        <v>278</v>
      </c>
      <c r="C97" s="171" t="s">
        <v>279</v>
      </c>
      <c r="D97" s="1012">
        <f>2303+44-60</f>
        <v>2287</v>
      </c>
      <c r="E97" s="172">
        <v>91</v>
      </c>
      <c r="F97" s="173">
        <v>275</v>
      </c>
      <c r="G97" s="173">
        <f t="shared" si="5"/>
        <v>547</v>
      </c>
      <c r="H97" s="174">
        <v>375</v>
      </c>
      <c r="I97" s="174">
        <v>50</v>
      </c>
      <c r="J97" s="174">
        <v>122</v>
      </c>
      <c r="K97" s="175">
        <f t="shared" si="6"/>
        <v>3200</v>
      </c>
      <c r="L97" s="631">
        <f>100+130</f>
        <v>230</v>
      </c>
      <c r="M97" s="176">
        <f>800+150+342</f>
        <v>1292</v>
      </c>
      <c r="N97" s="176">
        <f>2185+323+632</f>
        <v>3140</v>
      </c>
      <c r="O97" s="176">
        <f>1480-473-219</f>
        <v>788</v>
      </c>
      <c r="P97" s="177">
        <f>L97+M97+N97+O97</f>
        <v>5450</v>
      </c>
      <c r="Q97" s="157"/>
      <c r="R97" s="172"/>
      <c r="S97" s="172"/>
      <c r="T97" s="172"/>
      <c r="U97" s="172"/>
      <c r="V97" s="172"/>
      <c r="W97" s="172"/>
      <c r="X97" s="178"/>
      <c r="Y97" s="204"/>
      <c r="Z97" s="182"/>
    </row>
    <row r="98" spans="1:26" s="153" customFormat="1" ht="13.5" customHeight="1" thickBot="1" x14ac:dyDescent="0.3">
      <c r="A98" s="932"/>
      <c r="B98" s="933"/>
      <c r="C98" s="934" t="s">
        <v>441</v>
      </c>
      <c r="D98" s="935">
        <f t="shared" ref="D98:Y98" si="8">SUM(D9:D97)</f>
        <v>88793</v>
      </c>
      <c r="E98" s="936">
        <f t="shared" si="8"/>
        <v>4613</v>
      </c>
      <c r="F98" s="937">
        <f t="shared" si="8"/>
        <v>11235</v>
      </c>
      <c r="G98" s="937">
        <f t="shared" si="8"/>
        <v>10675</v>
      </c>
      <c r="H98" s="936">
        <f t="shared" si="8"/>
        <v>8260</v>
      </c>
      <c r="I98" s="936">
        <f t="shared" si="8"/>
        <v>549</v>
      </c>
      <c r="J98" s="936">
        <f t="shared" si="8"/>
        <v>1866</v>
      </c>
      <c r="K98" s="938">
        <f t="shared" si="8"/>
        <v>115316</v>
      </c>
      <c r="L98" s="935">
        <f t="shared" si="8"/>
        <v>1725</v>
      </c>
      <c r="M98" s="936">
        <f t="shared" si="8"/>
        <v>8066</v>
      </c>
      <c r="N98" s="936">
        <f t="shared" si="8"/>
        <v>24989</v>
      </c>
      <c r="O98" s="936">
        <f t="shared" si="8"/>
        <v>16953</v>
      </c>
      <c r="P98" s="938">
        <f t="shared" si="8"/>
        <v>51733</v>
      </c>
      <c r="Q98" s="935">
        <f t="shared" si="8"/>
        <v>289</v>
      </c>
      <c r="R98" s="936">
        <f t="shared" si="8"/>
        <v>714</v>
      </c>
      <c r="S98" s="936">
        <f t="shared" si="8"/>
        <v>425</v>
      </c>
      <c r="T98" s="936">
        <f t="shared" si="8"/>
        <v>410</v>
      </c>
      <c r="U98" s="936">
        <f t="shared" si="8"/>
        <v>804</v>
      </c>
      <c r="V98" s="936">
        <f t="shared" si="8"/>
        <v>1530</v>
      </c>
      <c r="W98" s="936">
        <f t="shared" si="8"/>
        <v>1984</v>
      </c>
      <c r="X98" s="936">
        <f t="shared" si="8"/>
        <v>41</v>
      </c>
      <c r="Y98" s="938">
        <f t="shared" si="8"/>
        <v>6197</v>
      </c>
    </row>
    <row r="99" spans="1:26" s="186" customFormat="1" x14ac:dyDescent="0.25">
      <c r="C99" s="147"/>
      <c r="F99" s="187"/>
      <c r="G99" s="187"/>
    </row>
    <row r="100" spans="1:26" s="186" customFormat="1" x14ac:dyDescent="0.25">
      <c r="C100" s="147"/>
      <c r="F100" s="187"/>
      <c r="G100" s="187"/>
    </row>
    <row r="101" spans="1:26" s="186" customFormat="1" x14ac:dyDescent="0.25">
      <c r="C101" s="147"/>
      <c r="F101" s="187"/>
      <c r="G101" s="187"/>
    </row>
    <row r="102" spans="1:26" s="186" customFormat="1" x14ac:dyDescent="0.25">
      <c r="C102" s="147"/>
      <c r="F102" s="187"/>
      <c r="G102" s="187"/>
    </row>
    <row r="103" spans="1:26" s="186" customFormat="1" x14ac:dyDescent="0.25">
      <c r="C103" s="147"/>
      <c r="F103" s="187"/>
      <c r="G103" s="187"/>
    </row>
    <row r="104" spans="1:26" s="186" customFormat="1" x14ac:dyDescent="0.25">
      <c r="C104" s="147"/>
      <c r="F104" s="187"/>
      <c r="G104" s="187"/>
    </row>
    <row r="105" spans="1:26" s="186" customFormat="1" x14ac:dyDescent="0.25">
      <c r="C105" s="147"/>
      <c r="F105" s="187"/>
      <c r="G105" s="187"/>
    </row>
    <row r="106" spans="1:26" s="186" customFormat="1" x14ac:dyDescent="0.25">
      <c r="C106" s="147"/>
      <c r="F106" s="187"/>
      <c r="G106" s="187"/>
    </row>
    <row r="107" spans="1:26" s="186" customFormat="1" x14ac:dyDescent="0.25">
      <c r="C107" s="147"/>
      <c r="F107" s="187"/>
      <c r="G107" s="187"/>
    </row>
    <row r="108" spans="1:26" s="186" customFormat="1" x14ac:dyDescent="0.25">
      <c r="C108" s="147"/>
      <c r="F108" s="187"/>
      <c r="G108" s="187"/>
    </row>
    <row r="109" spans="1:26" s="186" customFormat="1" x14ac:dyDescent="0.25">
      <c r="C109" s="147"/>
      <c r="F109" s="187"/>
      <c r="G109" s="187"/>
    </row>
    <row r="110" spans="1:26" s="186" customFormat="1" x14ac:dyDescent="0.25">
      <c r="C110" s="147"/>
      <c r="F110" s="187"/>
      <c r="G110" s="187"/>
    </row>
    <row r="111" spans="1:26" s="186" customFormat="1" x14ac:dyDescent="0.25">
      <c r="C111" s="147"/>
      <c r="F111" s="187"/>
      <c r="G111" s="187"/>
    </row>
    <row r="112" spans="1:26" s="186" customFormat="1" x14ac:dyDescent="0.25">
      <c r="C112" s="147"/>
      <c r="F112" s="187"/>
      <c r="G112" s="187"/>
    </row>
    <row r="113" spans="3:7" s="186" customFormat="1" x14ac:dyDescent="0.25">
      <c r="C113" s="147"/>
      <c r="F113" s="187"/>
      <c r="G113" s="187"/>
    </row>
    <row r="114" spans="3:7" s="186" customFormat="1" x14ac:dyDescent="0.25">
      <c r="C114" s="147"/>
      <c r="F114" s="187"/>
      <c r="G114" s="187"/>
    </row>
    <row r="115" spans="3:7" s="186" customFormat="1" x14ac:dyDescent="0.25">
      <c r="C115" s="147"/>
      <c r="F115" s="187"/>
      <c r="G115" s="187"/>
    </row>
    <row r="116" spans="3:7" s="186" customFormat="1" x14ac:dyDescent="0.25">
      <c r="C116" s="147"/>
      <c r="F116" s="187"/>
      <c r="G116" s="187"/>
    </row>
    <row r="117" spans="3:7" s="186" customFormat="1" x14ac:dyDescent="0.25">
      <c r="C117" s="147"/>
      <c r="F117" s="187"/>
      <c r="G117" s="187"/>
    </row>
    <row r="118" spans="3:7" s="186" customFormat="1" x14ac:dyDescent="0.25">
      <c r="C118" s="147"/>
      <c r="F118" s="187"/>
      <c r="G118" s="187"/>
    </row>
    <row r="119" spans="3:7" s="186" customFormat="1" x14ac:dyDescent="0.25">
      <c r="C119" s="147"/>
      <c r="F119" s="187"/>
      <c r="G119" s="187"/>
    </row>
    <row r="120" spans="3:7" s="186" customFormat="1" x14ac:dyDescent="0.25">
      <c r="C120" s="147"/>
      <c r="F120" s="187"/>
      <c r="G120" s="187"/>
    </row>
    <row r="121" spans="3:7" s="186" customFormat="1" x14ac:dyDescent="0.25">
      <c r="C121" s="147"/>
      <c r="F121" s="187"/>
      <c r="G121" s="187"/>
    </row>
    <row r="122" spans="3:7" s="186" customFormat="1" x14ac:dyDescent="0.25">
      <c r="C122" s="147"/>
      <c r="F122" s="187"/>
      <c r="G122" s="187"/>
    </row>
    <row r="123" spans="3:7" s="186" customFormat="1" x14ac:dyDescent="0.25">
      <c r="C123" s="147"/>
      <c r="F123" s="187"/>
      <c r="G123" s="187"/>
    </row>
    <row r="124" spans="3:7" s="186" customFormat="1" x14ac:dyDescent="0.25">
      <c r="C124" s="147"/>
      <c r="F124" s="187"/>
      <c r="G124" s="187"/>
    </row>
    <row r="125" spans="3:7" s="186" customFormat="1" x14ac:dyDescent="0.25">
      <c r="C125" s="147"/>
      <c r="F125" s="187"/>
      <c r="G125" s="187"/>
    </row>
    <row r="126" spans="3:7" s="186" customFormat="1" x14ac:dyDescent="0.25">
      <c r="C126" s="147"/>
      <c r="F126" s="187"/>
      <c r="G126" s="187"/>
    </row>
    <row r="127" spans="3:7" s="186" customFormat="1" x14ac:dyDescent="0.25">
      <c r="C127" s="147"/>
      <c r="F127" s="187"/>
      <c r="G127" s="187"/>
    </row>
    <row r="128" spans="3:7" s="186" customFormat="1" x14ac:dyDescent="0.25">
      <c r="C128" s="147"/>
      <c r="F128" s="187"/>
      <c r="G128" s="187"/>
    </row>
    <row r="129" spans="3:7" s="186" customFormat="1" x14ac:dyDescent="0.25">
      <c r="C129" s="147"/>
      <c r="F129" s="187"/>
      <c r="G129" s="187"/>
    </row>
    <row r="130" spans="3:7" s="186" customFormat="1" x14ac:dyDescent="0.25">
      <c r="C130" s="147"/>
      <c r="F130" s="187"/>
      <c r="G130" s="187"/>
    </row>
    <row r="131" spans="3:7" s="186" customFormat="1" x14ac:dyDescent="0.25">
      <c r="C131" s="147"/>
      <c r="F131" s="187"/>
      <c r="G131" s="187"/>
    </row>
    <row r="132" spans="3:7" s="186" customFormat="1" x14ac:dyDescent="0.25">
      <c r="C132" s="147"/>
      <c r="F132" s="187"/>
      <c r="G132" s="187"/>
    </row>
    <row r="133" spans="3:7" s="186" customFormat="1" x14ac:dyDescent="0.25">
      <c r="C133" s="147"/>
      <c r="F133" s="187"/>
      <c r="G133" s="187"/>
    </row>
    <row r="134" spans="3:7" s="186" customFormat="1" x14ac:dyDescent="0.25">
      <c r="C134" s="147"/>
      <c r="F134" s="187"/>
      <c r="G134" s="187"/>
    </row>
    <row r="135" spans="3:7" s="186" customFormat="1" x14ac:dyDescent="0.25">
      <c r="C135" s="147"/>
      <c r="F135" s="187"/>
      <c r="G135" s="187"/>
    </row>
    <row r="136" spans="3:7" s="186" customFormat="1" x14ac:dyDescent="0.25">
      <c r="C136" s="147"/>
      <c r="F136" s="187"/>
      <c r="G136" s="187"/>
    </row>
    <row r="137" spans="3:7" s="186" customFormat="1" x14ac:dyDescent="0.25">
      <c r="C137" s="147"/>
      <c r="F137" s="187"/>
      <c r="G137" s="187"/>
    </row>
    <row r="138" spans="3:7" s="186" customFormat="1" x14ac:dyDescent="0.25">
      <c r="C138" s="147"/>
      <c r="F138" s="187"/>
      <c r="G138" s="187"/>
    </row>
    <row r="139" spans="3:7" s="186" customFormat="1" x14ac:dyDescent="0.25">
      <c r="C139" s="147"/>
      <c r="F139" s="187"/>
      <c r="G139" s="187"/>
    </row>
    <row r="140" spans="3:7" s="186" customFormat="1" x14ac:dyDescent="0.25">
      <c r="C140" s="147"/>
      <c r="F140" s="187"/>
      <c r="G140" s="187"/>
    </row>
    <row r="141" spans="3:7" s="186" customFormat="1" x14ac:dyDescent="0.25">
      <c r="C141" s="147"/>
      <c r="F141" s="187"/>
      <c r="G141" s="187"/>
    </row>
    <row r="142" spans="3:7" s="186" customFormat="1" x14ac:dyDescent="0.25">
      <c r="C142" s="147"/>
      <c r="F142" s="187"/>
      <c r="G142" s="187"/>
    </row>
    <row r="143" spans="3:7" s="186" customFormat="1" x14ac:dyDescent="0.25">
      <c r="C143" s="147"/>
      <c r="F143" s="187"/>
      <c r="G143" s="187"/>
    </row>
    <row r="144" spans="3:7" s="186" customFormat="1" x14ac:dyDescent="0.25">
      <c r="C144" s="147"/>
      <c r="F144" s="187"/>
      <c r="G144" s="187"/>
    </row>
    <row r="145" spans="3:7" s="186" customFormat="1" x14ac:dyDescent="0.25">
      <c r="C145" s="147"/>
      <c r="F145" s="187"/>
      <c r="G145" s="187"/>
    </row>
    <row r="146" spans="3:7" s="186" customFormat="1" x14ac:dyDescent="0.25">
      <c r="C146" s="147"/>
      <c r="F146" s="187"/>
      <c r="G146" s="187"/>
    </row>
    <row r="147" spans="3:7" s="186" customFormat="1" x14ac:dyDescent="0.25">
      <c r="C147" s="147"/>
      <c r="F147" s="187"/>
      <c r="G147" s="187"/>
    </row>
    <row r="148" spans="3:7" s="186" customFormat="1" x14ac:dyDescent="0.25">
      <c r="C148" s="147"/>
      <c r="F148" s="187"/>
      <c r="G148" s="187"/>
    </row>
    <row r="149" spans="3:7" s="186" customFormat="1" x14ac:dyDescent="0.25">
      <c r="C149" s="147"/>
      <c r="F149" s="187"/>
      <c r="G149" s="187"/>
    </row>
    <row r="150" spans="3:7" s="186" customFormat="1" x14ac:dyDescent="0.25">
      <c r="C150" s="147"/>
      <c r="F150" s="187"/>
      <c r="G150" s="187"/>
    </row>
    <row r="151" spans="3:7" s="186" customFormat="1" x14ac:dyDescent="0.25">
      <c r="C151" s="147"/>
      <c r="F151" s="187"/>
      <c r="G151" s="187"/>
    </row>
    <row r="152" spans="3:7" s="186" customFormat="1" x14ac:dyDescent="0.25">
      <c r="C152" s="147"/>
      <c r="F152" s="187"/>
      <c r="G152" s="187"/>
    </row>
    <row r="153" spans="3:7" s="186" customFormat="1" x14ac:dyDescent="0.25">
      <c r="C153" s="147"/>
      <c r="F153" s="187"/>
      <c r="G153" s="187"/>
    </row>
    <row r="154" spans="3:7" s="186" customFormat="1" x14ac:dyDescent="0.25">
      <c r="C154" s="147"/>
      <c r="F154" s="187"/>
      <c r="G154" s="187"/>
    </row>
    <row r="155" spans="3:7" s="186" customFormat="1" x14ac:dyDescent="0.25">
      <c r="C155" s="147"/>
      <c r="F155" s="187"/>
      <c r="G155" s="187"/>
    </row>
    <row r="156" spans="3:7" s="186" customFormat="1" x14ac:dyDescent="0.25">
      <c r="C156" s="147"/>
      <c r="F156" s="187"/>
      <c r="G156" s="187"/>
    </row>
    <row r="157" spans="3:7" s="186" customFormat="1" x14ac:dyDescent="0.25">
      <c r="C157" s="147"/>
      <c r="F157" s="187"/>
      <c r="G157" s="187"/>
    </row>
    <row r="158" spans="3:7" s="186" customFormat="1" x14ac:dyDescent="0.25">
      <c r="C158" s="147"/>
      <c r="F158" s="187"/>
      <c r="G158" s="187"/>
    </row>
    <row r="159" spans="3:7" s="186" customFormat="1" x14ac:dyDescent="0.25">
      <c r="C159" s="147"/>
      <c r="F159" s="187"/>
      <c r="G159" s="187"/>
    </row>
    <row r="160" spans="3:7" s="186" customFormat="1" x14ac:dyDescent="0.25">
      <c r="C160" s="147"/>
      <c r="F160" s="187"/>
      <c r="G160" s="187"/>
    </row>
    <row r="161" spans="3:7" s="186" customFormat="1" x14ac:dyDescent="0.25">
      <c r="C161" s="147"/>
      <c r="F161" s="187"/>
      <c r="G161" s="187"/>
    </row>
    <row r="162" spans="3:7" s="186" customFormat="1" x14ac:dyDescent="0.25">
      <c r="C162" s="147"/>
      <c r="F162" s="187"/>
      <c r="G162" s="187"/>
    </row>
    <row r="163" spans="3:7" s="186" customFormat="1" x14ac:dyDescent="0.25">
      <c r="C163" s="147"/>
      <c r="F163" s="187"/>
      <c r="G163" s="187"/>
    </row>
    <row r="164" spans="3:7" s="186" customFormat="1" x14ac:dyDescent="0.25">
      <c r="C164" s="147"/>
      <c r="F164" s="187"/>
      <c r="G164" s="187"/>
    </row>
    <row r="165" spans="3:7" s="186" customFormat="1" x14ac:dyDescent="0.25">
      <c r="C165" s="147"/>
      <c r="F165" s="187"/>
      <c r="G165" s="187"/>
    </row>
    <row r="166" spans="3:7" s="186" customFormat="1" x14ac:dyDescent="0.25">
      <c r="C166" s="147"/>
      <c r="F166" s="187"/>
      <c r="G166" s="187"/>
    </row>
    <row r="167" spans="3:7" s="186" customFormat="1" x14ac:dyDescent="0.25">
      <c r="C167" s="147"/>
      <c r="F167" s="187"/>
      <c r="G167" s="187"/>
    </row>
    <row r="168" spans="3:7" s="186" customFormat="1" x14ac:dyDescent="0.25">
      <c r="C168" s="147"/>
      <c r="F168" s="187"/>
      <c r="G168" s="187"/>
    </row>
    <row r="169" spans="3:7" s="186" customFormat="1" x14ac:dyDescent="0.25">
      <c r="C169" s="147"/>
      <c r="F169" s="187"/>
      <c r="G169" s="187"/>
    </row>
    <row r="170" spans="3:7" s="186" customFormat="1" x14ac:dyDescent="0.25">
      <c r="C170" s="147"/>
      <c r="F170" s="187"/>
      <c r="G170" s="187"/>
    </row>
    <row r="171" spans="3:7" s="186" customFormat="1" x14ac:dyDescent="0.25">
      <c r="C171" s="147"/>
      <c r="F171" s="187"/>
      <c r="G171" s="187"/>
    </row>
    <row r="172" spans="3:7" s="186" customFormat="1" x14ac:dyDescent="0.25">
      <c r="C172" s="147"/>
      <c r="F172" s="187"/>
      <c r="G172" s="187"/>
    </row>
    <row r="173" spans="3:7" s="186" customFormat="1" x14ac:dyDescent="0.25">
      <c r="C173" s="147"/>
      <c r="F173" s="187"/>
      <c r="G173" s="187"/>
    </row>
    <row r="174" spans="3:7" s="186" customFormat="1" x14ac:dyDescent="0.25">
      <c r="C174" s="147"/>
      <c r="F174" s="187"/>
      <c r="G174" s="187"/>
    </row>
    <row r="175" spans="3:7" s="186" customFormat="1" x14ac:dyDescent="0.25">
      <c r="C175" s="147"/>
      <c r="F175" s="187"/>
      <c r="G175" s="187"/>
    </row>
    <row r="176" spans="3:7" s="186" customFormat="1" x14ac:dyDescent="0.25">
      <c r="C176" s="147"/>
      <c r="F176" s="187"/>
      <c r="G176" s="187"/>
    </row>
    <row r="177" spans="3:7" s="186" customFormat="1" x14ac:dyDescent="0.25">
      <c r="C177" s="147"/>
      <c r="F177" s="187"/>
      <c r="G177" s="187"/>
    </row>
    <row r="178" spans="3:7" s="186" customFormat="1" x14ac:dyDescent="0.25">
      <c r="C178" s="147"/>
      <c r="F178" s="187"/>
      <c r="G178" s="187"/>
    </row>
    <row r="179" spans="3:7" s="186" customFormat="1" x14ac:dyDescent="0.25">
      <c r="C179" s="147"/>
      <c r="F179" s="187"/>
      <c r="G179" s="187"/>
    </row>
    <row r="180" spans="3:7" s="186" customFormat="1" x14ac:dyDescent="0.25">
      <c r="C180" s="147"/>
      <c r="F180" s="187"/>
      <c r="G180" s="187"/>
    </row>
    <row r="181" spans="3:7" s="186" customFormat="1" x14ac:dyDescent="0.25">
      <c r="C181" s="147"/>
      <c r="F181" s="187"/>
      <c r="G181" s="187"/>
    </row>
    <row r="182" spans="3:7" s="186" customFormat="1" x14ac:dyDescent="0.25">
      <c r="C182" s="147"/>
      <c r="F182" s="187"/>
      <c r="G182" s="187"/>
    </row>
    <row r="183" spans="3:7" s="186" customFormat="1" x14ac:dyDescent="0.25">
      <c r="C183" s="147"/>
      <c r="F183" s="187"/>
      <c r="G183" s="187"/>
    </row>
    <row r="184" spans="3:7" s="186" customFormat="1" x14ac:dyDescent="0.25">
      <c r="C184" s="147"/>
      <c r="F184" s="187"/>
      <c r="G184" s="187"/>
    </row>
    <row r="185" spans="3:7" s="186" customFormat="1" x14ac:dyDescent="0.25">
      <c r="C185" s="147"/>
      <c r="F185" s="187"/>
      <c r="G185" s="187"/>
    </row>
    <row r="186" spans="3:7" s="186" customFormat="1" x14ac:dyDescent="0.25">
      <c r="C186" s="147"/>
      <c r="F186" s="187"/>
      <c r="G186" s="187"/>
    </row>
    <row r="187" spans="3:7" s="186" customFormat="1" x14ac:dyDescent="0.25">
      <c r="C187" s="147"/>
      <c r="F187" s="187"/>
      <c r="G187" s="187"/>
    </row>
    <row r="188" spans="3:7" s="186" customFormat="1" x14ac:dyDescent="0.25">
      <c r="C188" s="147"/>
      <c r="F188" s="187"/>
      <c r="G188" s="187"/>
    </row>
    <row r="189" spans="3:7" s="186" customFormat="1" x14ac:dyDescent="0.25">
      <c r="C189" s="147"/>
      <c r="F189" s="187"/>
      <c r="G189" s="187"/>
    </row>
    <row r="190" spans="3:7" s="186" customFormat="1" x14ac:dyDescent="0.25">
      <c r="C190" s="147"/>
      <c r="F190" s="187"/>
      <c r="G190" s="187"/>
    </row>
    <row r="191" spans="3:7" s="186" customFormat="1" x14ac:dyDescent="0.25">
      <c r="C191" s="147"/>
      <c r="F191" s="187"/>
      <c r="G191" s="187"/>
    </row>
    <row r="192" spans="3:7" s="186" customFormat="1" x14ac:dyDescent="0.25">
      <c r="C192" s="147"/>
      <c r="F192" s="187"/>
      <c r="G192" s="187"/>
    </row>
    <row r="193" spans="3:7" s="186" customFormat="1" x14ac:dyDescent="0.25">
      <c r="C193" s="147"/>
      <c r="F193" s="187"/>
      <c r="G193" s="187"/>
    </row>
    <row r="194" spans="3:7" s="186" customFormat="1" x14ac:dyDescent="0.25">
      <c r="C194" s="147"/>
      <c r="F194" s="187"/>
      <c r="G194" s="187"/>
    </row>
    <row r="195" spans="3:7" s="186" customFormat="1" x14ac:dyDescent="0.25">
      <c r="C195" s="147"/>
      <c r="F195" s="187"/>
      <c r="G195" s="187"/>
    </row>
    <row r="196" spans="3:7" s="186" customFormat="1" x14ac:dyDescent="0.25">
      <c r="C196" s="147"/>
      <c r="F196" s="187"/>
      <c r="G196" s="187"/>
    </row>
    <row r="197" spans="3:7" s="186" customFormat="1" x14ac:dyDescent="0.25">
      <c r="C197" s="147"/>
      <c r="F197" s="187"/>
      <c r="G197" s="187"/>
    </row>
    <row r="198" spans="3:7" s="186" customFormat="1" x14ac:dyDescent="0.25">
      <c r="C198" s="147"/>
      <c r="F198" s="187"/>
      <c r="G198" s="187"/>
    </row>
    <row r="199" spans="3:7" s="186" customFormat="1" x14ac:dyDescent="0.25">
      <c r="C199" s="147"/>
      <c r="F199" s="187"/>
      <c r="G199" s="187"/>
    </row>
    <row r="200" spans="3:7" s="186" customFormat="1" x14ac:dyDescent="0.25">
      <c r="C200" s="147"/>
      <c r="F200" s="187"/>
      <c r="G200" s="187"/>
    </row>
    <row r="201" spans="3:7" s="186" customFormat="1" x14ac:dyDescent="0.25">
      <c r="C201" s="147"/>
      <c r="F201" s="187"/>
      <c r="G201" s="187"/>
    </row>
    <row r="202" spans="3:7" s="186" customFormat="1" x14ac:dyDescent="0.25">
      <c r="C202" s="147"/>
      <c r="F202" s="187"/>
      <c r="G202" s="187"/>
    </row>
    <row r="203" spans="3:7" s="186" customFormat="1" x14ac:dyDescent="0.25">
      <c r="C203" s="147"/>
      <c r="F203" s="187"/>
      <c r="G203" s="187"/>
    </row>
    <row r="204" spans="3:7" s="186" customFormat="1" x14ac:dyDescent="0.25">
      <c r="C204" s="147"/>
      <c r="F204" s="187"/>
      <c r="G204" s="187"/>
    </row>
    <row r="205" spans="3:7" s="186" customFormat="1" x14ac:dyDescent="0.25">
      <c r="C205" s="147"/>
      <c r="F205" s="187"/>
      <c r="G205" s="187"/>
    </row>
    <row r="206" spans="3:7" s="186" customFormat="1" x14ac:dyDescent="0.25">
      <c r="C206" s="147"/>
      <c r="F206" s="187"/>
      <c r="G206" s="187"/>
    </row>
    <row r="207" spans="3:7" s="186" customFormat="1" x14ac:dyDescent="0.25">
      <c r="C207" s="147"/>
      <c r="F207" s="187"/>
      <c r="G207" s="187"/>
    </row>
    <row r="208" spans="3:7" s="186" customFormat="1" x14ac:dyDescent="0.25">
      <c r="C208" s="147"/>
      <c r="F208" s="187"/>
      <c r="G208" s="187"/>
    </row>
    <row r="209" spans="3:7" s="186" customFormat="1" x14ac:dyDescent="0.25">
      <c r="C209" s="147"/>
      <c r="F209" s="187"/>
      <c r="G209" s="187"/>
    </row>
    <row r="210" spans="3:7" s="186" customFormat="1" x14ac:dyDescent="0.25">
      <c r="C210" s="147"/>
      <c r="F210" s="187"/>
      <c r="G210" s="187"/>
    </row>
    <row r="211" spans="3:7" s="186" customFormat="1" x14ac:dyDescent="0.25">
      <c r="C211" s="147"/>
      <c r="F211" s="187"/>
      <c r="G211" s="187"/>
    </row>
    <row r="212" spans="3:7" s="186" customFormat="1" x14ac:dyDescent="0.25">
      <c r="C212" s="147"/>
      <c r="F212" s="187"/>
      <c r="G212" s="187"/>
    </row>
    <row r="213" spans="3:7" s="186" customFormat="1" x14ac:dyDescent="0.25">
      <c r="C213" s="147"/>
      <c r="F213" s="187"/>
      <c r="G213" s="187"/>
    </row>
    <row r="214" spans="3:7" s="186" customFormat="1" x14ac:dyDescent="0.25">
      <c r="C214" s="147"/>
      <c r="F214" s="187"/>
      <c r="G214" s="187"/>
    </row>
    <row r="215" spans="3:7" s="186" customFormat="1" x14ac:dyDescent="0.25">
      <c r="C215" s="147"/>
      <c r="F215" s="187"/>
      <c r="G215" s="187"/>
    </row>
    <row r="216" spans="3:7" s="186" customFormat="1" x14ac:dyDescent="0.25">
      <c r="C216" s="147"/>
      <c r="F216" s="187"/>
      <c r="G216" s="187"/>
    </row>
    <row r="217" spans="3:7" s="186" customFormat="1" x14ac:dyDescent="0.25">
      <c r="C217" s="147"/>
      <c r="F217" s="187"/>
      <c r="G217" s="187"/>
    </row>
    <row r="218" spans="3:7" s="186" customFormat="1" x14ac:dyDescent="0.25">
      <c r="C218" s="147"/>
      <c r="F218" s="187"/>
      <c r="G218" s="187"/>
    </row>
    <row r="219" spans="3:7" s="186" customFormat="1" x14ac:dyDescent="0.25">
      <c r="C219" s="147"/>
      <c r="F219" s="187"/>
      <c r="G219" s="187"/>
    </row>
    <row r="220" spans="3:7" s="186" customFormat="1" x14ac:dyDescent="0.25">
      <c r="C220" s="147"/>
      <c r="F220" s="187"/>
      <c r="G220" s="187"/>
    </row>
    <row r="221" spans="3:7" s="186" customFormat="1" x14ac:dyDescent="0.25">
      <c r="C221" s="147"/>
      <c r="F221" s="187"/>
      <c r="G221" s="187"/>
    </row>
    <row r="222" spans="3:7" s="186" customFormat="1" x14ac:dyDescent="0.25">
      <c r="C222" s="147"/>
      <c r="F222" s="187"/>
      <c r="G222" s="187"/>
    </row>
    <row r="223" spans="3:7" s="186" customFormat="1" x14ac:dyDescent="0.25">
      <c r="C223" s="147"/>
      <c r="F223" s="187"/>
      <c r="G223" s="187"/>
    </row>
    <row r="224" spans="3:7" s="186" customFormat="1" x14ac:dyDescent="0.25">
      <c r="C224" s="147"/>
      <c r="F224" s="187"/>
      <c r="G224" s="187"/>
    </row>
    <row r="225" spans="1:25" s="186" customFormat="1" x14ac:dyDescent="0.25">
      <c r="C225" s="147"/>
      <c r="F225" s="187"/>
      <c r="G225" s="187"/>
    </row>
    <row r="226" spans="1:25" s="186" customFormat="1" x14ac:dyDescent="0.25">
      <c r="A226" s="146"/>
      <c r="B226" s="146"/>
      <c r="C226" s="188"/>
      <c r="D226" s="189"/>
      <c r="F226" s="149"/>
      <c r="G226" s="149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</row>
    <row r="227" spans="1:25" s="186" customFormat="1" x14ac:dyDescent="0.25">
      <c r="A227" s="146"/>
      <c r="B227" s="146"/>
      <c r="C227" s="188"/>
      <c r="D227" s="189"/>
      <c r="F227" s="149"/>
      <c r="G227" s="149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</row>
    <row r="228" spans="1:25" s="186" customFormat="1" x14ac:dyDescent="0.25">
      <c r="A228" s="146"/>
      <c r="B228" s="146"/>
      <c r="C228" s="188"/>
      <c r="D228" s="189"/>
      <c r="F228" s="149"/>
      <c r="G228" s="149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</row>
    <row r="229" spans="1:25" s="186" customFormat="1" x14ac:dyDescent="0.25">
      <c r="A229" s="146"/>
      <c r="B229" s="146"/>
      <c r="C229" s="188"/>
      <c r="D229" s="189"/>
      <c r="F229" s="149"/>
      <c r="G229" s="149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</row>
    <row r="230" spans="1:25" s="186" customFormat="1" x14ac:dyDescent="0.25">
      <c r="A230" s="146"/>
      <c r="B230" s="146"/>
      <c r="C230" s="188"/>
      <c r="D230" s="189"/>
      <c r="F230" s="149"/>
      <c r="G230" s="149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</row>
    <row r="231" spans="1:25" s="186" customFormat="1" x14ac:dyDescent="0.25">
      <c r="A231" s="146"/>
      <c r="B231" s="146"/>
      <c r="C231" s="188"/>
      <c r="D231" s="189"/>
      <c r="F231" s="149"/>
      <c r="G231" s="149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</row>
    <row r="232" spans="1:25" s="186" customFormat="1" x14ac:dyDescent="0.25">
      <c r="A232" s="146"/>
      <c r="B232" s="146"/>
      <c r="C232" s="188"/>
      <c r="D232" s="189"/>
      <c r="F232" s="149"/>
      <c r="G232" s="149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</row>
    <row r="233" spans="1:25" s="186" customFormat="1" x14ac:dyDescent="0.25">
      <c r="A233" s="146"/>
      <c r="B233" s="146"/>
      <c r="C233" s="188"/>
      <c r="D233" s="189"/>
      <c r="F233" s="149"/>
      <c r="G233" s="149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</row>
    <row r="234" spans="1:25" s="186" customFormat="1" x14ac:dyDescent="0.25">
      <c r="A234" s="146"/>
      <c r="B234" s="146"/>
      <c r="C234" s="188"/>
      <c r="D234" s="189"/>
      <c r="F234" s="149"/>
      <c r="G234" s="149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</row>
    <row r="235" spans="1:25" s="186" customFormat="1" x14ac:dyDescent="0.25">
      <c r="A235" s="146"/>
      <c r="B235" s="146"/>
      <c r="C235" s="188"/>
      <c r="D235" s="189"/>
      <c r="F235" s="149"/>
      <c r="G235" s="149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</row>
    <row r="236" spans="1:25" s="186" customFormat="1" x14ac:dyDescent="0.25">
      <c r="A236" s="146"/>
      <c r="B236" s="146"/>
      <c r="C236" s="188"/>
      <c r="D236" s="189"/>
      <c r="F236" s="149"/>
      <c r="G236" s="149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</row>
    <row r="237" spans="1:25" s="186" customFormat="1" x14ac:dyDescent="0.25">
      <c r="A237" s="146"/>
      <c r="B237" s="146"/>
      <c r="C237" s="188"/>
      <c r="D237" s="189"/>
      <c r="F237" s="149"/>
      <c r="G237" s="149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</row>
    <row r="238" spans="1:25" s="186" customFormat="1" x14ac:dyDescent="0.25">
      <c r="A238" s="146"/>
      <c r="B238" s="146"/>
      <c r="C238" s="188"/>
      <c r="D238" s="189"/>
      <c r="F238" s="149"/>
      <c r="G238" s="149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</row>
  </sheetData>
  <autoFilter ref="A8:Y98" xr:uid="{00000000-0009-0000-0000-000019000000}"/>
  <mergeCells count="26"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</mergeCells>
  <printOptions horizontalCentered="1" verticalCentered="1"/>
  <pageMargins left="0" right="0" top="0" bottom="0" header="0.31496062992125984" footer="0.31496062992125984"/>
  <pageSetup paperSize="9" scale="3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J31"/>
  <sheetViews>
    <sheetView zoomScale="90" zoomScaleNormal="90" workbookViewId="0">
      <pane ySplit="5" topLeftCell="A6" activePane="bottomLeft" state="frozen"/>
      <selection activeCell="B11" sqref="B11:C11"/>
      <selection pane="bottomLeft" activeCell="F21" sqref="F21"/>
    </sheetView>
  </sheetViews>
  <sheetFormatPr defaultRowHeight="12.75" x14ac:dyDescent="0.25"/>
  <cols>
    <col min="1" max="1" width="3.5703125" style="939" customWidth="1"/>
    <col min="2" max="2" width="11.5703125" style="939" customWidth="1"/>
    <col min="3" max="3" width="39.42578125" style="953" customWidth="1"/>
    <col min="4" max="4" width="11.28515625" style="939" customWidth="1"/>
    <col min="5" max="5" width="9.140625" style="939"/>
    <col min="6" max="6" width="10.7109375" style="939" customWidth="1"/>
    <col min="7" max="16384" width="9.140625" style="939"/>
  </cols>
  <sheetData>
    <row r="1" spans="1:10" ht="49.5" customHeight="1" x14ac:dyDescent="0.25">
      <c r="A1" s="1402" t="s">
        <v>694</v>
      </c>
      <c r="B1" s="1402"/>
      <c r="C1" s="1402"/>
      <c r="D1" s="1402"/>
    </row>
    <row r="2" spans="1:10" ht="12.75" customHeight="1" x14ac:dyDescent="0.25">
      <c r="A2" s="1403" t="s">
        <v>0</v>
      </c>
      <c r="B2" s="1405" t="s">
        <v>302</v>
      </c>
      <c r="C2" s="1407" t="s">
        <v>292</v>
      </c>
      <c r="D2" s="1407" t="s">
        <v>695</v>
      </c>
    </row>
    <row r="3" spans="1:10" ht="48.75" customHeight="1" x14ac:dyDescent="0.25">
      <c r="A3" s="1404"/>
      <c r="B3" s="1406"/>
      <c r="C3" s="1406"/>
      <c r="D3" s="1406"/>
    </row>
    <row r="4" spans="1:10" ht="12.75" customHeight="1" x14ac:dyDescent="0.25">
      <c r="A4" s="940"/>
      <c r="B4" s="940"/>
      <c r="C4" s="941" t="s">
        <v>6</v>
      </c>
      <c r="D4" s="942">
        <f>D6+D5</f>
        <v>400323</v>
      </c>
    </row>
    <row r="5" spans="1:10" ht="12.75" customHeight="1" x14ac:dyDescent="0.25">
      <c r="A5" s="940"/>
      <c r="B5" s="940"/>
      <c r="C5" s="941" t="s">
        <v>14</v>
      </c>
      <c r="D5" s="943">
        <v>0</v>
      </c>
    </row>
    <row r="6" spans="1:10" ht="12.75" customHeight="1" x14ac:dyDescent="0.25">
      <c r="A6" s="940"/>
      <c r="B6" s="940"/>
      <c r="C6" s="941" t="s">
        <v>15</v>
      </c>
      <c r="D6" s="942">
        <f>SUM(D7:D28)</f>
        <v>400323</v>
      </c>
    </row>
    <row r="7" spans="1:10" ht="12.75" customHeight="1" x14ac:dyDescent="0.25">
      <c r="A7" s="940">
        <v>1</v>
      </c>
      <c r="B7" s="940" t="s">
        <v>26</v>
      </c>
      <c r="C7" s="944" t="s">
        <v>27</v>
      </c>
      <c r="D7" s="946">
        <f>73913-44348+9329+1829</f>
        <v>40723</v>
      </c>
      <c r="E7" s="945"/>
      <c r="F7" s="945"/>
      <c r="H7" s="945"/>
      <c r="I7" s="945"/>
      <c r="J7" s="945"/>
    </row>
    <row r="8" spans="1:10" ht="12.75" customHeight="1" x14ac:dyDescent="0.25">
      <c r="A8" s="940">
        <v>2</v>
      </c>
      <c r="B8" s="940" t="s">
        <v>28</v>
      </c>
      <c r="C8" s="944" t="s">
        <v>29</v>
      </c>
      <c r="D8" s="946">
        <f>30984-17041+3913+605</f>
        <v>18461</v>
      </c>
      <c r="E8" s="945"/>
      <c r="F8" s="945"/>
      <c r="H8" s="945"/>
      <c r="I8" s="945"/>
      <c r="J8" s="945"/>
    </row>
    <row r="9" spans="1:10" ht="12.75" customHeight="1" x14ac:dyDescent="0.25">
      <c r="A9" s="940">
        <v>3</v>
      </c>
      <c r="B9" s="940" t="s">
        <v>50</v>
      </c>
      <c r="C9" s="944" t="s">
        <v>51</v>
      </c>
      <c r="D9" s="946">
        <f>65477-42130+2086+3103</f>
        <v>28536</v>
      </c>
      <c r="E9" s="945"/>
      <c r="F9" s="945"/>
      <c r="H9" s="945"/>
      <c r="I9" s="945"/>
      <c r="J9" s="945"/>
    </row>
    <row r="10" spans="1:10" ht="12.75" customHeight="1" x14ac:dyDescent="0.25">
      <c r="A10" s="940">
        <v>4</v>
      </c>
      <c r="B10" s="940" t="s">
        <v>58</v>
      </c>
      <c r="C10" s="944" t="s">
        <v>59</v>
      </c>
      <c r="D10" s="946">
        <f>42085-27566+323</f>
        <v>14842</v>
      </c>
      <c r="E10" s="945"/>
      <c r="F10" s="945"/>
      <c r="H10" s="945"/>
      <c r="I10" s="945"/>
      <c r="J10" s="945"/>
    </row>
    <row r="11" spans="1:10" ht="12.75" customHeight="1" x14ac:dyDescent="0.25">
      <c r="A11" s="940">
        <v>5</v>
      </c>
      <c r="B11" s="940" t="s">
        <v>66</v>
      </c>
      <c r="C11" s="944" t="s">
        <v>67</v>
      </c>
      <c r="D11" s="946">
        <f>47385+16644-41939-2600+7938</f>
        <v>27428</v>
      </c>
      <c r="E11" s="945"/>
      <c r="F11" s="945"/>
      <c r="H11" s="945"/>
      <c r="I11" s="945"/>
      <c r="J11" s="945"/>
    </row>
    <row r="12" spans="1:10" ht="12.75" customHeight="1" x14ac:dyDescent="0.25">
      <c r="A12" s="940">
        <v>6</v>
      </c>
      <c r="B12" s="940" t="s">
        <v>68</v>
      </c>
      <c r="C12" s="944" t="s">
        <v>69</v>
      </c>
      <c r="D12" s="946">
        <f>111905-65278-22932-3</f>
        <v>23692</v>
      </c>
      <c r="E12" s="945"/>
      <c r="F12" s="945"/>
      <c r="H12" s="945"/>
      <c r="I12" s="945"/>
      <c r="J12" s="945"/>
    </row>
    <row r="13" spans="1:10" ht="12.75" customHeight="1" x14ac:dyDescent="0.2">
      <c r="A13" s="940">
        <v>7</v>
      </c>
      <c r="B13" s="940" t="s">
        <v>77</v>
      </c>
      <c r="C13" s="190" t="s">
        <v>696</v>
      </c>
      <c r="D13" s="946">
        <f>62797-41132-5160-5386</f>
        <v>11119</v>
      </c>
      <c r="E13" s="945"/>
      <c r="F13" s="945"/>
      <c r="H13" s="945"/>
      <c r="I13" s="945"/>
      <c r="J13" s="945"/>
    </row>
    <row r="14" spans="1:10" ht="12.75" customHeight="1" x14ac:dyDescent="0.25">
      <c r="A14" s="940">
        <v>8</v>
      </c>
      <c r="B14" s="940" t="s">
        <v>79</v>
      </c>
      <c r="C14" s="944" t="s">
        <v>80</v>
      </c>
      <c r="D14" s="946">
        <f>32781-19669+6399+3345</f>
        <v>22856</v>
      </c>
      <c r="E14" s="945"/>
      <c r="F14" s="945"/>
      <c r="H14" s="945"/>
      <c r="I14" s="945"/>
      <c r="J14" s="945"/>
    </row>
    <row r="15" spans="1:10" ht="12.75" customHeight="1" x14ac:dyDescent="0.25">
      <c r="A15" s="940">
        <v>9</v>
      </c>
      <c r="B15" s="940" t="s">
        <v>97</v>
      </c>
      <c r="C15" s="944" t="s">
        <v>98</v>
      </c>
      <c r="D15" s="946">
        <f>4603-1610+220</f>
        <v>3213</v>
      </c>
      <c r="E15" s="945"/>
      <c r="F15" s="945"/>
      <c r="H15" s="945"/>
      <c r="I15" s="945"/>
      <c r="J15" s="945"/>
    </row>
    <row r="16" spans="1:10" ht="12.75" customHeight="1" x14ac:dyDescent="0.25">
      <c r="A16" s="940">
        <v>10</v>
      </c>
      <c r="B16" s="940" t="s">
        <v>99</v>
      </c>
      <c r="C16" s="944" t="s">
        <v>100</v>
      </c>
      <c r="D16" s="946">
        <f>108058-70235+2354</f>
        <v>40177</v>
      </c>
      <c r="E16" s="945"/>
      <c r="F16" s="945"/>
      <c r="H16" s="945"/>
      <c r="I16" s="945"/>
      <c r="J16" s="945"/>
    </row>
    <row r="17" spans="1:10" ht="12.75" customHeight="1" x14ac:dyDescent="0.25">
      <c r="A17" s="940"/>
      <c r="B17" s="940" t="s">
        <v>115</v>
      </c>
      <c r="C17" s="944" t="s">
        <v>116</v>
      </c>
      <c r="D17" s="946">
        <v>2</v>
      </c>
      <c r="E17" s="945"/>
      <c r="F17" s="945"/>
      <c r="H17" s="945"/>
      <c r="I17" s="945"/>
      <c r="J17" s="945"/>
    </row>
    <row r="18" spans="1:10" ht="12.75" customHeight="1" x14ac:dyDescent="0.25">
      <c r="A18" s="940">
        <v>11</v>
      </c>
      <c r="B18" s="940" t="s">
        <v>169</v>
      </c>
      <c r="C18" s="944" t="s">
        <v>170</v>
      </c>
      <c r="D18" s="946">
        <f>132367-86700-3800+9011</f>
        <v>50878</v>
      </c>
      <c r="E18" s="945"/>
      <c r="F18" s="945"/>
      <c r="H18" s="945"/>
      <c r="I18" s="945"/>
      <c r="J18" s="945"/>
    </row>
    <row r="19" spans="1:10" ht="12.75" customHeight="1" x14ac:dyDescent="0.2">
      <c r="A19" s="940">
        <v>12</v>
      </c>
      <c r="B19" s="940" t="s">
        <v>178</v>
      </c>
      <c r="C19" s="947" t="s">
        <v>697</v>
      </c>
      <c r="D19" s="946">
        <f>1772-1000+203+87</f>
        <v>1062</v>
      </c>
      <c r="E19" s="945"/>
      <c r="F19" s="945"/>
      <c r="H19" s="945"/>
      <c r="I19" s="945"/>
      <c r="J19" s="945"/>
    </row>
    <row r="20" spans="1:10" ht="12.75" customHeight="1" x14ac:dyDescent="0.25">
      <c r="A20" s="940">
        <v>13</v>
      </c>
      <c r="B20" s="940" t="s">
        <v>258</v>
      </c>
      <c r="C20" s="944" t="s">
        <v>671</v>
      </c>
      <c r="D20" s="926">
        <f>40699-26658-2500</f>
        <v>11541</v>
      </c>
      <c r="E20" s="945"/>
      <c r="F20" s="945"/>
      <c r="H20" s="945"/>
      <c r="I20" s="945"/>
      <c r="J20" s="945"/>
    </row>
    <row r="21" spans="1:10" ht="12.75" customHeight="1" x14ac:dyDescent="0.25">
      <c r="A21" s="940">
        <v>14</v>
      </c>
      <c r="B21" s="940" t="s">
        <v>260</v>
      </c>
      <c r="C21" s="944" t="s">
        <v>261</v>
      </c>
      <c r="D21" s="946">
        <f>52241-33957-15558</f>
        <v>2726</v>
      </c>
      <c r="E21" s="945"/>
      <c r="F21" s="945"/>
      <c r="H21" s="945"/>
      <c r="I21" s="945"/>
      <c r="J21" s="945"/>
    </row>
    <row r="22" spans="1:10" ht="12.75" customHeight="1" x14ac:dyDescent="0.25">
      <c r="A22" s="940">
        <v>15</v>
      </c>
      <c r="B22" s="940" t="s">
        <v>266</v>
      </c>
      <c r="C22" s="944" t="s">
        <v>698</v>
      </c>
      <c r="D22" s="946">
        <f>64359-42155-5000-10706</f>
        <v>6498</v>
      </c>
      <c r="E22" s="945"/>
      <c r="F22" s="945"/>
      <c r="H22" s="945"/>
      <c r="I22" s="945"/>
      <c r="J22" s="945"/>
    </row>
    <row r="23" spans="1:10" ht="12.75" customHeight="1" x14ac:dyDescent="0.25">
      <c r="A23" s="940">
        <v>16</v>
      </c>
      <c r="B23" s="940" t="s">
        <v>270</v>
      </c>
      <c r="C23" s="948" t="s">
        <v>271</v>
      </c>
      <c r="D23" s="946">
        <f>87793-57504+6098</f>
        <v>36387</v>
      </c>
      <c r="E23" s="945"/>
      <c r="F23" s="945"/>
      <c r="H23" s="945"/>
      <c r="I23" s="945"/>
      <c r="J23" s="945"/>
    </row>
    <row r="24" spans="1:10" ht="12.75" customHeight="1" x14ac:dyDescent="0.25">
      <c r="A24" s="940">
        <v>17</v>
      </c>
      <c r="B24" s="940" t="s">
        <v>276</v>
      </c>
      <c r="C24" s="944" t="s">
        <v>277</v>
      </c>
      <c r="D24" s="946">
        <f>38630-25303+1310+4578</f>
        <v>19215</v>
      </c>
      <c r="E24" s="945"/>
      <c r="F24" s="945"/>
      <c r="H24" s="945"/>
      <c r="I24" s="945"/>
      <c r="J24" s="945"/>
    </row>
    <row r="25" spans="1:10" ht="12.75" customHeight="1" x14ac:dyDescent="0.25">
      <c r="A25" s="940">
        <v>18</v>
      </c>
      <c r="B25" s="940" t="s">
        <v>278</v>
      </c>
      <c r="C25" s="944" t="s">
        <v>279</v>
      </c>
      <c r="D25" s="946">
        <f>44843-29372-4400-2028</f>
        <v>9043</v>
      </c>
      <c r="E25" s="945"/>
      <c r="F25" s="945"/>
      <c r="H25" s="945"/>
      <c r="I25" s="945"/>
      <c r="J25" s="945"/>
    </row>
    <row r="26" spans="1:10" ht="12.75" customHeight="1" x14ac:dyDescent="0.25">
      <c r="A26" s="940">
        <v>19</v>
      </c>
      <c r="B26" s="940" t="s">
        <v>280</v>
      </c>
      <c r="C26" s="944" t="s">
        <v>281</v>
      </c>
      <c r="D26" s="946">
        <f>83627+17893+6288-70614-5272</f>
        <v>31922</v>
      </c>
      <c r="E26" s="945"/>
      <c r="F26" s="945"/>
      <c r="H26" s="945"/>
      <c r="I26" s="945"/>
      <c r="J26" s="945"/>
    </row>
    <row r="27" spans="1:10" ht="12.75" customHeight="1" x14ac:dyDescent="0.25">
      <c r="A27" s="940">
        <v>20</v>
      </c>
      <c r="B27" s="940" t="s">
        <v>22</v>
      </c>
      <c r="C27" s="944" t="s">
        <v>23</v>
      </c>
      <c r="D27" s="946">
        <v>1</v>
      </c>
      <c r="E27" s="945"/>
      <c r="F27" s="945"/>
      <c r="H27" s="945"/>
      <c r="I27" s="945"/>
      <c r="J27" s="945"/>
    </row>
    <row r="28" spans="1:10" ht="12.75" customHeight="1" x14ac:dyDescent="0.25">
      <c r="A28" s="940">
        <v>21</v>
      </c>
      <c r="B28" s="940" t="s">
        <v>113</v>
      </c>
      <c r="C28" s="944" t="s">
        <v>820</v>
      </c>
      <c r="D28" s="946">
        <v>1</v>
      </c>
      <c r="E28" s="945"/>
      <c r="F28" s="945"/>
      <c r="H28" s="945"/>
      <c r="I28" s="945"/>
      <c r="J28" s="945"/>
    </row>
    <row r="29" spans="1:10" x14ac:dyDescent="0.25">
      <c r="A29" s="949"/>
      <c r="B29" s="949"/>
      <c r="C29" s="950" t="s">
        <v>467</v>
      </c>
      <c r="D29" s="951">
        <f>SUM(D7:D28)</f>
        <v>400323</v>
      </c>
    </row>
    <row r="30" spans="1:10" x14ac:dyDescent="0.25">
      <c r="C30" s="952"/>
      <c r="D30" s="945"/>
    </row>
    <row r="31" spans="1:10" x14ac:dyDescent="0.25">
      <c r="C31" s="952"/>
      <c r="D31" s="945"/>
    </row>
  </sheetData>
  <autoFilter ref="B6:D31" xr:uid="{00000000-0009-0000-0000-00001A000000}"/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B32"/>
  <sheetViews>
    <sheetView zoomScaleNormal="100"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Q14" sqref="Q14"/>
    </sheetView>
  </sheetViews>
  <sheetFormatPr defaultColWidth="9.140625" defaultRowHeight="11.25" x14ac:dyDescent="0.25"/>
  <cols>
    <col min="1" max="1" width="3.42578125" style="192" customWidth="1"/>
    <col min="2" max="2" width="6.5703125" style="192" customWidth="1"/>
    <col min="3" max="3" width="30.42578125" style="191" customWidth="1"/>
    <col min="4" max="4" width="9.7109375" style="193" customWidth="1"/>
    <col min="5" max="5" width="8.85546875" style="193" customWidth="1"/>
    <col min="6" max="6" width="11.140625" style="193" customWidth="1"/>
    <col min="7" max="7" width="12.42578125" style="193" customWidth="1"/>
    <col min="8" max="8" width="12.140625" style="193" customWidth="1"/>
    <col min="9" max="9" width="7.42578125" style="193" customWidth="1"/>
    <col min="10" max="10" width="7.7109375" style="193" customWidth="1"/>
    <col min="11" max="11" width="6.42578125" style="193" customWidth="1"/>
    <col min="12" max="12" width="7" style="193" customWidth="1"/>
    <col min="13" max="13" width="8.42578125" style="193" customWidth="1"/>
    <col min="14" max="15" width="10" style="193" customWidth="1"/>
    <col min="16" max="16" width="10.85546875" style="193" customWidth="1"/>
    <col min="17" max="17" width="9.85546875" style="193" customWidth="1"/>
    <col min="18" max="18" width="10.140625" style="193" customWidth="1"/>
    <col min="19" max="19" width="9.5703125" style="193" customWidth="1"/>
    <col min="20" max="20" width="10.5703125" style="191" customWidth="1"/>
    <col min="21" max="21" width="6" style="191" customWidth="1"/>
    <col min="22" max="22" width="5.7109375" style="191" customWidth="1"/>
    <col min="23" max="23" width="4.5703125" style="191" customWidth="1"/>
    <col min="24" max="24" width="5.7109375" style="191" customWidth="1"/>
    <col min="25" max="16384" width="9.140625" style="191"/>
  </cols>
  <sheetData>
    <row r="1" spans="1:28" ht="28.5" customHeight="1" x14ac:dyDescent="0.25">
      <c r="A1" s="1416" t="s">
        <v>699</v>
      </c>
      <c r="B1" s="1416"/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</row>
    <row r="2" spans="1:28" ht="15.75" customHeight="1" thickBot="1" x14ac:dyDescent="0.3"/>
    <row r="3" spans="1:28" ht="14.25" customHeight="1" x14ac:dyDescent="0.25">
      <c r="A3" s="1417" t="s">
        <v>0</v>
      </c>
      <c r="B3" s="1419" t="s">
        <v>302</v>
      </c>
      <c r="C3" s="1419" t="s">
        <v>292</v>
      </c>
      <c r="D3" s="1421" t="s">
        <v>700</v>
      </c>
      <c r="E3" s="1421"/>
      <c r="F3" s="1421"/>
      <c r="G3" s="1421"/>
      <c r="H3" s="1421"/>
      <c r="I3" s="1421"/>
      <c r="J3" s="1421"/>
      <c r="K3" s="1421"/>
      <c r="L3" s="1422"/>
      <c r="M3" s="1423" t="s">
        <v>701</v>
      </c>
      <c r="N3" s="1410" t="s">
        <v>702</v>
      </c>
      <c r="O3" s="1411"/>
      <c r="P3" s="1426" t="s">
        <v>703</v>
      </c>
      <c r="Q3" s="1427"/>
      <c r="R3" s="1427"/>
      <c r="S3" s="1428"/>
      <c r="T3" s="1408" t="s">
        <v>813</v>
      </c>
    </row>
    <row r="4" spans="1:28" ht="15" customHeight="1" thickBot="1" x14ac:dyDescent="0.3">
      <c r="A4" s="1418"/>
      <c r="B4" s="1420"/>
      <c r="C4" s="1420"/>
      <c r="D4" s="1429" t="s">
        <v>704</v>
      </c>
      <c r="E4" s="1430"/>
      <c r="F4" s="1430"/>
      <c r="G4" s="1430"/>
      <c r="H4" s="1430"/>
      <c r="I4" s="1430"/>
      <c r="J4" s="1430"/>
      <c r="K4" s="1429" t="s">
        <v>705</v>
      </c>
      <c r="L4" s="1431" t="s">
        <v>6</v>
      </c>
      <c r="M4" s="1424"/>
      <c r="N4" s="1412"/>
      <c r="O4" s="1413"/>
      <c r="P4" s="1433" t="s">
        <v>706</v>
      </c>
      <c r="Q4" s="1429" t="s">
        <v>707</v>
      </c>
      <c r="R4" s="1429" t="s">
        <v>708</v>
      </c>
      <c r="S4" s="1414" t="s">
        <v>6</v>
      </c>
      <c r="T4" s="1409"/>
    </row>
    <row r="5" spans="1:28" ht="97.5" customHeight="1" x14ac:dyDescent="0.25">
      <c r="A5" s="1418"/>
      <c r="B5" s="1420"/>
      <c r="C5" s="1420"/>
      <c r="D5" s="205" t="s">
        <v>709</v>
      </c>
      <c r="E5" s="205" t="s">
        <v>710</v>
      </c>
      <c r="F5" s="205" t="s">
        <v>809</v>
      </c>
      <c r="G5" s="205" t="s">
        <v>810</v>
      </c>
      <c r="H5" s="205" t="s">
        <v>711</v>
      </c>
      <c r="I5" s="205" t="s">
        <v>712</v>
      </c>
      <c r="J5" s="205" t="s">
        <v>6</v>
      </c>
      <c r="K5" s="1430"/>
      <c r="L5" s="1432"/>
      <c r="M5" s="1425"/>
      <c r="N5" s="459" t="s">
        <v>793</v>
      </c>
      <c r="O5" s="629" t="s">
        <v>794</v>
      </c>
      <c r="P5" s="1434"/>
      <c r="Q5" s="1430"/>
      <c r="R5" s="1430"/>
      <c r="S5" s="1415"/>
      <c r="T5" s="1409"/>
    </row>
    <row r="6" spans="1:28" x14ac:dyDescent="0.25">
      <c r="A6" s="194"/>
      <c r="B6" s="206"/>
      <c r="C6" s="207" t="s">
        <v>467</v>
      </c>
      <c r="D6" s="208">
        <f t="shared" ref="D6:S6" si="0">SUM(D7:D27)</f>
        <v>3618</v>
      </c>
      <c r="E6" s="208">
        <f t="shared" si="0"/>
        <v>4470</v>
      </c>
      <c r="F6" s="208">
        <f t="shared" si="0"/>
        <v>840</v>
      </c>
      <c r="G6" s="208">
        <f t="shared" si="0"/>
        <v>1512</v>
      </c>
      <c r="H6" s="208">
        <f t="shared" si="0"/>
        <v>700</v>
      </c>
      <c r="I6" s="208">
        <f t="shared" si="0"/>
        <v>1050</v>
      </c>
      <c r="J6" s="208">
        <f t="shared" si="0"/>
        <v>12190</v>
      </c>
      <c r="K6" s="208">
        <f t="shared" si="0"/>
        <v>1030</v>
      </c>
      <c r="L6" s="217">
        <f t="shared" si="0"/>
        <v>13220</v>
      </c>
      <c r="M6" s="220">
        <f t="shared" si="0"/>
        <v>1000</v>
      </c>
      <c r="N6" s="222">
        <f t="shared" si="0"/>
        <v>11035</v>
      </c>
      <c r="O6" s="217">
        <f t="shared" si="0"/>
        <v>1418</v>
      </c>
      <c r="P6" s="222">
        <f t="shared" si="0"/>
        <v>29490</v>
      </c>
      <c r="Q6" s="208">
        <f t="shared" si="0"/>
        <v>29180</v>
      </c>
      <c r="R6" s="208">
        <f t="shared" si="0"/>
        <v>27341</v>
      </c>
      <c r="S6" s="460">
        <f t="shared" si="0"/>
        <v>86011</v>
      </c>
      <c r="T6" s="675"/>
    </row>
    <row r="7" spans="1:28" x14ac:dyDescent="0.25">
      <c r="A7" s="194">
        <v>1</v>
      </c>
      <c r="B7" s="206" t="s">
        <v>20</v>
      </c>
      <c r="C7" s="209" t="s">
        <v>21</v>
      </c>
      <c r="D7" s="196"/>
      <c r="E7" s="196"/>
      <c r="F7" s="196"/>
      <c r="G7" s="196"/>
      <c r="H7" s="196"/>
      <c r="I7" s="196"/>
      <c r="J7" s="196"/>
      <c r="K7" s="196"/>
      <c r="L7" s="218"/>
      <c r="M7" s="197"/>
      <c r="N7" s="195"/>
      <c r="O7" s="218"/>
      <c r="P7" s="195">
        <v>900</v>
      </c>
      <c r="Q7" s="196">
        <v>820</v>
      </c>
      <c r="R7" s="196">
        <v>365</v>
      </c>
      <c r="S7" s="461">
        <f>SUM(P7:R7)</f>
        <v>2085</v>
      </c>
      <c r="T7" s="675"/>
      <c r="Y7" s="719"/>
      <c r="Z7" s="719"/>
      <c r="AA7" s="719"/>
      <c r="AB7" s="719"/>
    </row>
    <row r="8" spans="1:28" x14ac:dyDescent="0.25">
      <c r="A8" s="194">
        <v>2</v>
      </c>
      <c r="B8" s="206" t="s">
        <v>26</v>
      </c>
      <c r="C8" s="209" t="s">
        <v>27</v>
      </c>
      <c r="D8" s="196"/>
      <c r="E8" s="196"/>
      <c r="F8" s="196"/>
      <c r="G8" s="196"/>
      <c r="H8" s="196"/>
      <c r="I8" s="196"/>
      <c r="J8" s="196"/>
      <c r="K8" s="196"/>
      <c r="L8" s="218"/>
      <c r="M8" s="197"/>
      <c r="N8" s="195"/>
      <c r="O8" s="218"/>
      <c r="P8" s="195">
        <v>1850</v>
      </c>
      <c r="Q8" s="196">
        <v>1750</v>
      </c>
      <c r="R8" s="196">
        <v>1720</v>
      </c>
      <c r="S8" s="461">
        <f t="shared" ref="S8:S25" si="1">SUM(P8:R8)</f>
        <v>5320</v>
      </c>
      <c r="T8" s="675"/>
      <c r="Y8" s="719"/>
      <c r="Z8" s="719"/>
      <c r="AA8" s="719"/>
      <c r="AB8" s="719"/>
    </row>
    <row r="9" spans="1:28" x14ac:dyDescent="0.25">
      <c r="A9" s="194">
        <v>3</v>
      </c>
      <c r="B9" s="206" t="s">
        <v>50</v>
      </c>
      <c r="C9" s="209" t="s">
        <v>51</v>
      </c>
      <c r="D9" s="196"/>
      <c r="E9" s="196"/>
      <c r="F9" s="196"/>
      <c r="G9" s="196"/>
      <c r="H9" s="196"/>
      <c r="I9" s="196"/>
      <c r="J9" s="196"/>
      <c r="K9" s="196"/>
      <c r="L9" s="218"/>
      <c r="M9" s="197"/>
      <c r="N9" s="195"/>
      <c r="O9" s="218"/>
      <c r="P9" s="195">
        <v>1650</v>
      </c>
      <c r="Q9" s="196">
        <v>1400</v>
      </c>
      <c r="R9" s="196">
        <v>1300</v>
      </c>
      <c r="S9" s="461">
        <f t="shared" si="1"/>
        <v>4350</v>
      </c>
      <c r="T9" s="675"/>
      <c r="Y9" s="719"/>
      <c r="Z9" s="719"/>
      <c r="AA9" s="719"/>
      <c r="AB9" s="719"/>
    </row>
    <row r="10" spans="1:28" x14ac:dyDescent="0.25">
      <c r="A10" s="194">
        <v>4</v>
      </c>
      <c r="B10" s="206" t="s">
        <v>58</v>
      </c>
      <c r="C10" s="209" t="s">
        <v>59</v>
      </c>
      <c r="D10" s="196"/>
      <c r="E10" s="196"/>
      <c r="F10" s="196"/>
      <c r="G10" s="196"/>
      <c r="H10" s="196"/>
      <c r="I10" s="196"/>
      <c r="J10" s="196"/>
      <c r="K10" s="196"/>
      <c r="L10" s="218"/>
      <c r="M10" s="197"/>
      <c r="N10" s="195"/>
      <c r="O10" s="218"/>
      <c r="P10" s="195">
        <v>1400</v>
      </c>
      <c r="Q10" s="196">
        <v>1400</v>
      </c>
      <c r="R10" s="196">
        <v>1400</v>
      </c>
      <c r="S10" s="461">
        <f t="shared" si="1"/>
        <v>4200</v>
      </c>
      <c r="T10" s="675"/>
      <c r="Y10" s="719"/>
      <c r="Z10" s="719"/>
      <c r="AA10" s="719"/>
      <c r="AB10" s="719"/>
    </row>
    <row r="11" spans="1:28" x14ac:dyDescent="0.25">
      <c r="A11" s="194">
        <v>5</v>
      </c>
      <c r="B11" s="206" t="s">
        <v>66</v>
      </c>
      <c r="C11" s="209" t="s">
        <v>67</v>
      </c>
      <c r="D11" s="196"/>
      <c r="E11" s="196"/>
      <c r="F11" s="196"/>
      <c r="G11" s="196"/>
      <c r="H11" s="196"/>
      <c r="I11" s="196"/>
      <c r="J11" s="196"/>
      <c r="K11" s="196"/>
      <c r="L11" s="218"/>
      <c r="M11" s="421"/>
      <c r="N11" s="195"/>
      <c r="O11" s="218"/>
      <c r="P11" s="195">
        <v>2529</v>
      </c>
      <c r="Q11" s="196">
        <v>2637</v>
      </c>
      <c r="R11" s="196">
        <v>2094</v>
      </c>
      <c r="S11" s="461">
        <f t="shared" si="1"/>
        <v>7260</v>
      </c>
      <c r="T11" s="675"/>
      <c r="Y11" s="719"/>
      <c r="Z11" s="719"/>
      <c r="AA11" s="719"/>
      <c r="AB11" s="719"/>
    </row>
    <row r="12" spans="1:28" x14ac:dyDescent="0.25">
      <c r="A12" s="194">
        <v>6</v>
      </c>
      <c r="B12" s="206" t="s">
        <v>68</v>
      </c>
      <c r="C12" s="209" t="s">
        <v>69</v>
      </c>
      <c r="D12" s="196"/>
      <c r="E12" s="196"/>
      <c r="F12" s="196"/>
      <c r="G12" s="196"/>
      <c r="H12" s="196"/>
      <c r="I12" s="196"/>
      <c r="J12" s="196"/>
      <c r="K12" s="196"/>
      <c r="L12" s="218"/>
      <c r="M12" s="197"/>
      <c r="N12" s="195"/>
      <c r="O12" s="218"/>
      <c r="P12" s="195">
        <v>1471</v>
      </c>
      <c r="Q12" s="196">
        <v>1263</v>
      </c>
      <c r="R12" s="196">
        <v>1128</v>
      </c>
      <c r="S12" s="461">
        <f t="shared" si="1"/>
        <v>3862</v>
      </c>
      <c r="T12" s="675"/>
      <c r="Y12" s="719"/>
      <c r="Z12" s="719"/>
      <c r="AA12" s="719"/>
      <c r="AB12" s="719"/>
    </row>
    <row r="13" spans="1:28" x14ac:dyDescent="0.25">
      <c r="A13" s="194">
        <v>7</v>
      </c>
      <c r="B13" s="206" t="s">
        <v>77</v>
      </c>
      <c r="C13" s="209" t="s">
        <v>78</v>
      </c>
      <c r="D13" s="196"/>
      <c r="E13" s="196"/>
      <c r="F13" s="196"/>
      <c r="G13" s="196"/>
      <c r="H13" s="196"/>
      <c r="I13" s="196"/>
      <c r="J13" s="196"/>
      <c r="K13" s="196"/>
      <c r="L13" s="218"/>
      <c r="M13" s="197"/>
      <c r="N13" s="195"/>
      <c r="O13" s="218"/>
      <c r="P13" s="195">
        <v>1230</v>
      </c>
      <c r="Q13" s="196">
        <v>1230</v>
      </c>
      <c r="R13" s="196">
        <v>600</v>
      </c>
      <c r="S13" s="461">
        <f t="shared" si="1"/>
        <v>3060</v>
      </c>
      <c r="T13" s="675"/>
      <c r="Y13" s="719"/>
      <c r="Z13" s="719"/>
      <c r="AA13" s="719"/>
      <c r="AB13" s="719"/>
    </row>
    <row r="14" spans="1:28" x14ac:dyDescent="0.25">
      <c r="A14" s="194">
        <v>8</v>
      </c>
      <c r="B14" s="206" t="s">
        <v>79</v>
      </c>
      <c r="C14" s="209" t="s">
        <v>80</v>
      </c>
      <c r="D14" s="196"/>
      <c r="E14" s="196"/>
      <c r="F14" s="196"/>
      <c r="G14" s="196"/>
      <c r="H14" s="196"/>
      <c r="I14" s="196"/>
      <c r="J14" s="196"/>
      <c r="K14" s="196"/>
      <c r="L14" s="218"/>
      <c r="M14" s="197"/>
      <c r="N14" s="195"/>
      <c r="O14" s="218"/>
      <c r="P14" s="195">
        <v>1700</v>
      </c>
      <c r="Q14" s="196">
        <v>1500</v>
      </c>
      <c r="R14" s="196">
        <v>1500</v>
      </c>
      <c r="S14" s="461">
        <f t="shared" si="1"/>
        <v>4700</v>
      </c>
      <c r="T14" s="675"/>
      <c r="Y14" s="719"/>
      <c r="Z14" s="719"/>
      <c r="AA14" s="719"/>
      <c r="AB14" s="719"/>
    </row>
    <row r="15" spans="1:28" x14ac:dyDescent="0.25">
      <c r="A15" s="194">
        <v>9</v>
      </c>
      <c r="B15" s="206" t="s">
        <v>99</v>
      </c>
      <c r="C15" s="210" t="s">
        <v>100</v>
      </c>
      <c r="D15" s="196"/>
      <c r="E15" s="196"/>
      <c r="F15" s="196"/>
      <c r="G15" s="196"/>
      <c r="H15" s="196"/>
      <c r="I15" s="196"/>
      <c r="J15" s="196"/>
      <c r="K15" s="196"/>
      <c r="L15" s="218"/>
      <c r="M15" s="197"/>
      <c r="N15" s="195"/>
      <c r="O15" s="218"/>
      <c r="P15" s="195">
        <v>1300</v>
      </c>
      <c r="Q15" s="196">
        <v>1300</v>
      </c>
      <c r="R15" s="196">
        <v>1400</v>
      </c>
      <c r="S15" s="461">
        <f t="shared" si="1"/>
        <v>4000</v>
      </c>
      <c r="T15" s="675"/>
      <c r="Y15" s="719"/>
      <c r="Z15" s="719"/>
      <c r="AA15" s="719"/>
      <c r="AB15" s="719"/>
    </row>
    <row r="16" spans="1:28" x14ac:dyDescent="0.25">
      <c r="A16" s="194">
        <v>10</v>
      </c>
      <c r="B16" s="206" t="s">
        <v>117</v>
      </c>
      <c r="C16" s="211" t="s">
        <v>118</v>
      </c>
      <c r="D16" s="196"/>
      <c r="E16" s="196"/>
      <c r="F16" s="196"/>
      <c r="G16" s="196"/>
      <c r="H16" s="196"/>
      <c r="I16" s="196"/>
      <c r="J16" s="196"/>
      <c r="K16" s="196"/>
      <c r="L16" s="218"/>
      <c r="M16" s="197"/>
      <c r="N16" s="195"/>
      <c r="O16" s="218"/>
      <c r="P16" s="195">
        <v>1010</v>
      </c>
      <c r="Q16" s="196">
        <v>1150</v>
      </c>
      <c r="R16" s="196">
        <v>1184</v>
      </c>
      <c r="S16" s="461">
        <f t="shared" si="1"/>
        <v>3344</v>
      </c>
      <c r="T16" s="675"/>
      <c r="Y16" s="719"/>
      <c r="Z16" s="719"/>
      <c r="AA16" s="719"/>
      <c r="AB16" s="719"/>
    </row>
    <row r="17" spans="1:28" x14ac:dyDescent="0.25">
      <c r="A17" s="194">
        <v>11</v>
      </c>
      <c r="B17" s="206" t="s">
        <v>141</v>
      </c>
      <c r="C17" s="209" t="s">
        <v>454</v>
      </c>
      <c r="D17" s="196"/>
      <c r="E17" s="196"/>
      <c r="F17" s="196"/>
      <c r="G17" s="196"/>
      <c r="H17" s="196"/>
      <c r="I17" s="196"/>
      <c r="J17" s="196"/>
      <c r="K17" s="196"/>
      <c r="L17" s="218"/>
      <c r="M17" s="197"/>
      <c r="N17" s="195"/>
      <c r="O17" s="218"/>
      <c r="P17" s="195">
        <v>750</v>
      </c>
      <c r="Q17" s="196">
        <v>700</v>
      </c>
      <c r="R17" s="196">
        <v>700</v>
      </c>
      <c r="S17" s="461">
        <f t="shared" si="1"/>
        <v>2150</v>
      </c>
      <c r="T17" s="675"/>
      <c r="Y17" s="719"/>
      <c r="Z17" s="719"/>
      <c r="AA17" s="719"/>
      <c r="AB17" s="719"/>
    </row>
    <row r="18" spans="1:28" x14ac:dyDescent="0.25">
      <c r="A18" s="194">
        <v>12</v>
      </c>
      <c r="B18" s="206" t="s">
        <v>145</v>
      </c>
      <c r="C18" s="209" t="s">
        <v>455</v>
      </c>
      <c r="D18" s="196"/>
      <c r="E18" s="196"/>
      <c r="F18" s="196"/>
      <c r="G18" s="196"/>
      <c r="H18" s="196"/>
      <c r="I18" s="196"/>
      <c r="J18" s="196"/>
      <c r="K18" s="196"/>
      <c r="L18" s="218"/>
      <c r="M18" s="197"/>
      <c r="N18" s="195"/>
      <c r="O18" s="218"/>
      <c r="P18" s="195">
        <v>1650</v>
      </c>
      <c r="Q18" s="196">
        <v>1600</v>
      </c>
      <c r="R18" s="196">
        <v>1650</v>
      </c>
      <c r="S18" s="461">
        <f t="shared" si="1"/>
        <v>4900</v>
      </c>
      <c r="T18" s="675"/>
      <c r="Y18" s="719"/>
      <c r="Z18" s="719"/>
      <c r="AA18" s="719"/>
      <c r="AB18" s="719"/>
    </row>
    <row r="19" spans="1:28" x14ac:dyDescent="0.25">
      <c r="A19" s="194">
        <v>13</v>
      </c>
      <c r="B19" s="206" t="s">
        <v>169</v>
      </c>
      <c r="C19" s="209" t="s">
        <v>170</v>
      </c>
      <c r="D19" s="196"/>
      <c r="E19" s="196"/>
      <c r="F19" s="196"/>
      <c r="G19" s="196"/>
      <c r="H19" s="196"/>
      <c r="I19" s="196"/>
      <c r="J19" s="196"/>
      <c r="K19" s="196"/>
      <c r="L19" s="218"/>
      <c r="M19" s="197"/>
      <c r="N19" s="195"/>
      <c r="O19" s="218"/>
      <c r="P19" s="195">
        <v>2300</v>
      </c>
      <c r="Q19" s="196">
        <v>2200</v>
      </c>
      <c r="R19" s="196">
        <v>2100</v>
      </c>
      <c r="S19" s="461">
        <f t="shared" si="1"/>
        <v>6600</v>
      </c>
      <c r="T19" s="675"/>
      <c r="Y19" s="719"/>
      <c r="Z19" s="719"/>
      <c r="AA19" s="719"/>
      <c r="AB19" s="719"/>
    </row>
    <row r="20" spans="1:28" x14ac:dyDescent="0.25">
      <c r="A20" s="194">
        <v>14</v>
      </c>
      <c r="B20" s="206" t="s">
        <v>175</v>
      </c>
      <c r="C20" s="212" t="s">
        <v>176</v>
      </c>
      <c r="D20" s="196"/>
      <c r="E20" s="196"/>
      <c r="F20" s="196"/>
      <c r="G20" s="196"/>
      <c r="H20" s="196"/>
      <c r="I20" s="196"/>
      <c r="J20" s="196"/>
      <c r="K20" s="196"/>
      <c r="L20" s="218"/>
      <c r="M20" s="197"/>
      <c r="N20" s="195"/>
      <c r="O20" s="218"/>
      <c r="P20" s="195">
        <v>1750</v>
      </c>
      <c r="Q20" s="196">
        <v>1700</v>
      </c>
      <c r="R20" s="196">
        <v>1700</v>
      </c>
      <c r="S20" s="461">
        <f t="shared" si="1"/>
        <v>5150</v>
      </c>
      <c r="T20" s="675"/>
      <c r="Y20" s="719"/>
      <c r="Z20" s="719"/>
      <c r="AA20" s="719"/>
      <c r="AB20" s="719"/>
    </row>
    <row r="21" spans="1:28" x14ac:dyDescent="0.25">
      <c r="A21" s="194">
        <v>15</v>
      </c>
      <c r="B21" s="206" t="s">
        <v>207</v>
      </c>
      <c r="C21" s="209" t="s">
        <v>208</v>
      </c>
      <c r="D21" s="196"/>
      <c r="E21" s="196"/>
      <c r="F21" s="196"/>
      <c r="G21" s="196"/>
      <c r="H21" s="196"/>
      <c r="I21" s="196"/>
      <c r="J21" s="196"/>
      <c r="K21" s="196"/>
      <c r="L21" s="218"/>
      <c r="M21" s="197"/>
      <c r="N21" s="195"/>
      <c r="O21" s="218"/>
      <c r="P21" s="195">
        <v>800</v>
      </c>
      <c r="Q21" s="196">
        <v>800</v>
      </c>
      <c r="R21" s="196">
        <v>800</v>
      </c>
      <c r="S21" s="461">
        <f t="shared" si="1"/>
        <v>2400</v>
      </c>
      <c r="T21" s="675"/>
      <c r="Y21" s="719"/>
      <c r="Z21" s="719"/>
      <c r="AA21" s="719"/>
      <c r="AB21" s="719"/>
    </row>
    <row r="22" spans="1:28" x14ac:dyDescent="0.25">
      <c r="A22" s="194">
        <v>16</v>
      </c>
      <c r="B22" s="206" t="s">
        <v>258</v>
      </c>
      <c r="C22" s="209" t="s">
        <v>671</v>
      </c>
      <c r="D22" s="196">
        <v>348</v>
      </c>
      <c r="E22" s="196">
        <v>1640</v>
      </c>
      <c r="F22" s="196">
        <v>400</v>
      </c>
      <c r="G22" s="196">
        <v>682</v>
      </c>
      <c r="H22" s="196"/>
      <c r="I22" s="196">
        <v>1000</v>
      </c>
      <c r="J22" s="196">
        <f>D22+E22+F22+G22+H22+I22</f>
        <v>4070</v>
      </c>
      <c r="K22" s="196">
        <v>1030</v>
      </c>
      <c r="L22" s="218">
        <f>J22+K22</f>
        <v>5100</v>
      </c>
      <c r="M22" s="197"/>
      <c r="N22" s="195"/>
      <c r="O22" s="218"/>
      <c r="P22" s="195">
        <v>0</v>
      </c>
      <c r="Q22" s="196">
        <v>0</v>
      </c>
      <c r="R22" s="196">
        <v>0</v>
      </c>
      <c r="S22" s="461">
        <f t="shared" si="1"/>
        <v>0</v>
      </c>
      <c r="T22" s="675"/>
      <c r="Y22" s="719"/>
      <c r="Z22" s="719"/>
      <c r="AA22" s="719"/>
      <c r="AB22" s="719"/>
    </row>
    <row r="23" spans="1:28" x14ac:dyDescent="0.25">
      <c r="A23" s="194">
        <v>17</v>
      </c>
      <c r="B23" s="206" t="s">
        <v>260</v>
      </c>
      <c r="C23" s="209" t="s">
        <v>261</v>
      </c>
      <c r="D23" s="196">
        <v>3270</v>
      </c>
      <c r="E23" s="196">
        <v>2500</v>
      </c>
      <c r="F23" s="196">
        <v>300</v>
      </c>
      <c r="G23" s="196">
        <v>100</v>
      </c>
      <c r="H23" s="196">
        <v>700</v>
      </c>
      <c r="I23" s="196">
        <v>50</v>
      </c>
      <c r="J23" s="196">
        <f>D23+E23+F23+G23+H23+I23</f>
        <v>6920</v>
      </c>
      <c r="K23" s="196"/>
      <c r="L23" s="218">
        <f>J23+K23</f>
        <v>6920</v>
      </c>
      <c r="M23" s="197">
        <v>1000</v>
      </c>
      <c r="N23" s="195"/>
      <c r="O23" s="218"/>
      <c r="P23" s="195">
        <v>0</v>
      </c>
      <c r="Q23" s="196">
        <v>0</v>
      </c>
      <c r="R23" s="196">
        <v>0</v>
      </c>
      <c r="S23" s="461">
        <f t="shared" si="1"/>
        <v>0</v>
      </c>
      <c r="T23" s="675"/>
      <c r="Y23" s="719"/>
      <c r="Z23" s="719"/>
      <c r="AA23" s="719"/>
      <c r="AB23" s="719"/>
    </row>
    <row r="24" spans="1:28" x14ac:dyDescent="0.25">
      <c r="A24" s="194">
        <v>18</v>
      </c>
      <c r="B24" s="206" t="s">
        <v>262</v>
      </c>
      <c r="C24" s="209" t="s">
        <v>263</v>
      </c>
      <c r="D24" s="196"/>
      <c r="E24" s="196">
        <v>330</v>
      </c>
      <c r="F24" s="196">
        <v>140</v>
      </c>
      <c r="G24" s="196">
        <v>730</v>
      </c>
      <c r="H24" s="196"/>
      <c r="I24" s="196"/>
      <c r="J24" s="196">
        <f>D24+E24+F24+G24+H24+I24</f>
        <v>1200</v>
      </c>
      <c r="K24" s="196"/>
      <c r="L24" s="218">
        <f>J24+K24</f>
        <v>1200</v>
      </c>
      <c r="M24" s="197"/>
      <c r="N24" s="195"/>
      <c r="O24" s="218"/>
      <c r="P24" s="195">
        <v>0</v>
      </c>
      <c r="Q24" s="196">
        <v>0</v>
      </c>
      <c r="R24" s="196">
        <v>0</v>
      </c>
      <c r="S24" s="461">
        <f t="shared" si="1"/>
        <v>0</v>
      </c>
      <c r="T24" s="675"/>
      <c r="Y24" s="719"/>
      <c r="Z24" s="719"/>
      <c r="AA24" s="719"/>
      <c r="AB24" s="719"/>
    </row>
    <row r="25" spans="1:28" x14ac:dyDescent="0.25">
      <c r="A25" s="194">
        <v>19</v>
      </c>
      <c r="B25" s="206" t="s">
        <v>268</v>
      </c>
      <c r="C25" s="213" t="s">
        <v>269</v>
      </c>
      <c r="D25" s="196"/>
      <c r="E25" s="196"/>
      <c r="F25" s="196"/>
      <c r="G25" s="196"/>
      <c r="H25" s="196"/>
      <c r="I25" s="196"/>
      <c r="J25" s="196"/>
      <c r="K25" s="196"/>
      <c r="L25" s="218"/>
      <c r="M25" s="197"/>
      <c r="N25" s="195"/>
      <c r="O25" s="218"/>
      <c r="P25" s="195">
        <v>5100</v>
      </c>
      <c r="Q25" s="196">
        <v>4800</v>
      </c>
      <c r="R25" s="196">
        <v>4700</v>
      </c>
      <c r="S25" s="461">
        <f t="shared" si="1"/>
        <v>14600</v>
      </c>
      <c r="T25" s="675"/>
      <c r="Y25" s="719"/>
      <c r="Z25" s="719"/>
      <c r="AA25" s="719"/>
      <c r="AB25" s="719"/>
    </row>
    <row r="26" spans="1:28" x14ac:dyDescent="0.25">
      <c r="A26" s="194">
        <v>20</v>
      </c>
      <c r="B26" s="206" t="s">
        <v>270</v>
      </c>
      <c r="C26" s="212" t="s">
        <v>271</v>
      </c>
      <c r="D26" s="196"/>
      <c r="E26" s="196"/>
      <c r="F26" s="196"/>
      <c r="G26" s="196"/>
      <c r="H26" s="196"/>
      <c r="I26" s="196"/>
      <c r="J26" s="196"/>
      <c r="K26" s="196"/>
      <c r="L26" s="218"/>
      <c r="M26" s="197"/>
      <c r="N26" s="195"/>
      <c r="O26" s="218"/>
      <c r="P26" s="195">
        <v>2100</v>
      </c>
      <c r="Q26" s="196">
        <v>2930</v>
      </c>
      <c r="R26" s="196">
        <v>3000</v>
      </c>
      <c r="S26" s="461">
        <f>SUM(P26:R26)</f>
        <v>8030</v>
      </c>
      <c r="T26" s="678">
        <v>141</v>
      </c>
      <c r="Y26" s="719"/>
      <c r="Z26" s="719"/>
      <c r="AA26" s="719"/>
      <c r="AB26" s="719"/>
    </row>
    <row r="27" spans="1:28" ht="12" thickBot="1" x14ac:dyDescent="0.3">
      <c r="A27" s="194">
        <v>21</v>
      </c>
      <c r="B27" s="214" t="s">
        <v>284</v>
      </c>
      <c r="C27" s="215" t="s">
        <v>285</v>
      </c>
      <c r="D27" s="216"/>
      <c r="E27" s="216"/>
      <c r="F27" s="216"/>
      <c r="G27" s="216"/>
      <c r="H27" s="216"/>
      <c r="I27" s="216"/>
      <c r="J27" s="216"/>
      <c r="K27" s="216"/>
      <c r="L27" s="219"/>
      <c r="M27" s="221"/>
      <c r="N27" s="462">
        <v>11035</v>
      </c>
      <c r="O27" s="219">
        <v>1418</v>
      </c>
      <c r="P27" s="462">
        <v>0</v>
      </c>
      <c r="Q27" s="216">
        <v>0</v>
      </c>
      <c r="R27" s="216">
        <v>0</v>
      </c>
      <c r="S27" s="677">
        <f>SUM(P27:R27)</f>
        <v>0</v>
      </c>
      <c r="T27" s="676"/>
      <c r="Y27" s="719"/>
      <c r="Z27" s="719"/>
      <c r="AA27" s="719"/>
      <c r="AB27" s="719"/>
    </row>
    <row r="28" spans="1:28" x14ac:dyDescent="0.25">
      <c r="A28" s="198"/>
      <c r="B28" s="198"/>
      <c r="C28" s="199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</row>
    <row r="29" spans="1:28" ht="16.5" customHeight="1" x14ac:dyDescent="0.25">
      <c r="A29" s="198"/>
      <c r="B29" s="198"/>
      <c r="C29" s="201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</row>
    <row r="30" spans="1:28" s="201" customFormat="1" x14ac:dyDescent="0.25">
      <c r="A30" s="198"/>
      <c r="B30" s="198"/>
      <c r="C30" s="202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191"/>
    </row>
    <row r="31" spans="1:28" s="201" customFormat="1" x14ac:dyDescent="0.25">
      <c r="A31" s="192"/>
      <c r="B31" s="192"/>
      <c r="C31" s="191" t="s">
        <v>713</v>
      </c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1"/>
    </row>
    <row r="32" spans="1:28" s="201" customFormat="1" x14ac:dyDescent="0.25">
      <c r="A32" s="192"/>
      <c r="B32" s="192"/>
      <c r="C32" s="191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1"/>
    </row>
  </sheetData>
  <mergeCells count="16">
    <mergeCell ref="T3:T5"/>
    <mergeCell ref="N3:O4"/>
    <mergeCell ref="S4:S5"/>
    <mergeCell ref="A1:S1"/>
    <mergeCell ref="A3:A5"/>
    <mergeCell ref="B3:B5"/>
    <mergeCell ref="C3:C5"/>
    <mergeCell ref="D3:L3"/>
    <mergeCell ref="M3:M5"/>
    <mergeCell ref="P3:S3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T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Q26" sqref="Q26"/>
    </sheetView>
  </sheetViews>
  <sheetFormatPr defaultRowHeight="11.25" x14ac:dyDescent="0.2"/>
  <cols>
    <col min="1" max="1" width="3.7109375" style="16" customWidth="1"/>
    <col min="2" max="2" width="7.7109375" style="16" customWidth="1"/>
    <col min="3" max="3" width="26.7109375" style="16" customWidth="1"/>
    <col min="4" max="4" width="10.140625" style="16" customWidth="1"/>
    <col min="5" max="6" width="12" style="16" customWidth="1"/>
    <col min="7" max="7" width="11.140625" style="16" customWidth="1"/>
    <col min="8" max="8" width="12" style="16" customWidth="1"/>
    <col min="9" max="9" width="11" style="16" customWidth="1"/>
    <col min="10" max="10" width="11.7109375" style="16" customWidth="1"/>
    <col min="11" max="11" width="8" style="444" customWidth="1"/>
    <col min="12" max="12" width="11.42578125" style="16" customWidth="1"/>
    <col min="13" max="14" width="12.7109375" style="16" customWidth="1"/>
    <col min="15" max="15" width="8.5703125" style="444" customWidth="1"/>
    <col min="16" max="16" width="12.28515625" style="16" customWidth="1"/>
    <col min="17" max="17" width="11.28515625" style="16" customWidth="1"/>
    <col min="18" max="18" width="8.28515625" style="16" customWidth="1"/>
    <col min="19" max="19" width="13.28515625" style="16" customWidth="1"/>
    <col min="20" max="20" width="11" style="16" customWidth="1"/>
    <col min="21" max="251" width="9.140625" style="16"/>
    <col min="252" max="252" width="3.7109375" style="16" customWidth="1"/>
    <col min="253" max="253" width="7.7109375" style="16" customWidth="1"/>
    <col min="254" max="254" width="23.28515625" style="16" customWidth="1"/>
    <col min="255" max="255" width="9.140625" style="16"/>
    <col min="256" max="257" width="12" style="16" customWidth="1"/>
    <col min="258" max="258" width="11.140625" style="16" customWidth="1"/>
    <col min="259" max="259" width="12" style="16" customWidth="1"/>
    <col min="260" max="260" width="11" style="16" customWidth="1"/>
    <col min="261" max="261" width="11.7109375" style="16" customWidth="1"/>
    <col min="262" max="262" width="8" style="16" customWidth="1"/>
    <col min="263" max="263" width="11.42578125" style="16" customWidth="1"/>
    <col min="264" max="265" width="12.7109375" style="16" customWidth="1"/>
    <col min="266" max="266" width="7.7109375" style="16" customWidth="1"/>
    <col min="267" max="267" width="12.28515625" style="16" customWidth="1"/>
    <col min="268" max="268" width="11.28515625" style="16" customWidth="1"/>
    <col min="269" max="269" width="8.28515625" style="16" customWidth="1"/>
    <col min="270" max="270" width="13.28515625" style="16" customWidth="1"/>
    <col min="271" max="271" width="11" style="16" customWidth="1"/>
    <col min="272" max="507" width="9.140625" style="16"/>
    <col min="508" max="508" width="3.7109375" style="16" customWidth="1"/>
    <col min="509" max="509" width="7.7109375" style="16" customWidth="1"/>
    <col min="510" max="510" width="23.28515625" style="16" customWidth="1"/>
    <col min="511" max="511" width="9.140625" style="16"/>
    <col min="512" max="513" width="12" style="16" customWidth="1"/>
    <col min="514" max="514" width="11.140625" style="16" customWidth="1"/>
    <col min="515" max="515" width="12" style="16" customWidth="1"/>
    <col min="516" max="516" width="11" style="16" customWidth="1"/>
    <col min="517" max="517" width="11.7109375" style="16" customWidth="1"/>
    <col min="518" max="518" width="8" style="16" customWidth="1"/>
    <col min="519" max="519" width="11.42578125" style="16" customWidth="1"/>
    <col min="520" max="521" width="12.7109375" style="16" customWidth="1"/>
    <col min="522" max="522" width="7.7109375" style="16" customWidth="1"/>
    <col min="523" max="523" width="12.28515625" style="16" customWidth="1"/>
    <col min="524" max="524" width="11.28515625" style="16" customWidth="1"/>
    <col min="525" max="525" width="8.28515625" style="16" customWidth="1"/>
    <col min="526" max="526" width="13.28515625" style="16" customWidth="1"/>
    <col min="527" max="527" width="11" style="16" customWidth="1"/>
    <col min="528" max="763" width="9.140625" style="16"/>
    <col min="764" max="764" width="3.7109375" style="16" customWidth="1"/>
    <col min="765" max="765" width="7.7109375" style="16" customWidth="1"/>
    <col min="766" max="766" width="23.28515625" style="16" customWidth="1"/>
    <col min="767" max="767" width="9.140625" style="16"/>
    <col min="768" max="769" width="12" style="16" customWidth="1"/>
    <col min="770" max="770" width="11.140625" style="16" customWidth="1"/>
    <col min="771" max="771" width="12" style="16" customWidth="1"/>
    <col min="772" max="772" width="11" style="16" customWidth="1"/>
    <col min="773" max="773" width="11.7109375" style="16" customWidth="1"/>
    <col min="774" max="774" width="8" style="16" customWidth="1"/>
    <col min="775" max="775" width="11.42578125" style="16" customWidth="1"/>
    <col min="776" max="777" width="12.7109375" style="16" customWidth="1"/>
    <col min="778" max="778" width="7.7109375" style="16" customWidth="1"/>
    <col min="779" max="779" width="12.28515625" style="16" customWidth="1"/>
    <col min="780" max="780" width="11.28515625" style="16" customWidth="1"/>
    <col min="781" max="781" width="8.28515625" style="16" customWidth="1"/>
    <col min="782" max="782" width="13.28515625" style="16" customWidth="1"/>
    <col min="783" max="783" width="11" style="16" customWidth="1"/>
    <col min="784" max="1019" width="9.140625" style="16"/>
    <col min="1020" max="1020" width="3.7109375" style="16" customWidth="1"/>
    <col min="1021" max="1021" width="7.7109375" style="16" customWidth="1"/>
    <col min="1022" max="1022" width="23.28515625" style="16" customWidth="1"/>
    <col min="1023" max="1023" width="9.140625" style="16"/>
    <col min="1024" max="1025" width="12" style="16" customWidth="1"/>
    <col min="1026" max="1026" width="11.140625" style="16" customWidth="1"/>
    <col min="1027" max="1027" width="12" style="16" customWidth="1"/>
    <col min="1028" max="1028" width="11" style="16" customWidth="1"/>
    <col min="1029" max="1029" width="11.7109375" style="16" customWidth="1"/>
    <col min="1030" max="1030" width="8" style="16" customWidth="1"/>
    <col min="1031" max="1031" width="11.42578125" style="16" customWidth="1"/>
    <col min="1032" max="1033" width="12.7109375" style="16" customWidth="1"/>
    <col min="1034" max="1034" width="7.7109375" style="16" customWidth="1"/>
    <col min="1035" max="1035" width="12.28515625" style="16" customWidth="1"/>
    <col min="1036" max="1036" width="11.28515625" style="16" customWidth="1"/>
    <col min="1037" max="1037" width="8.28515625" style="16" customWidth="1"/>
    <col min="1038" max="1038" width="13.28515625" style="16" customWidth="1"/>
    <col min="1039" max="1039" width="11" style="16" customWidth="1"/>
    <col min="1040" max="1275" width="9.140625" style="16"/>
    <col min="1276" max="1276" width="3.7109375" style="16" customWidth="1"/>
    <col min="1277" max="1277" width="7.7109375" style="16" customWidth="1"/>
    <col min="1278" max="1278" width="23.28515625" style="16" customWidth="1"/>
    <col min="1279" max="1279" width="9.140625" style="16"/>
    <col min="1280" max="1281" width="12" style="16" customWidth="1"/>
    <col min="1282" max="1282" width="11.140625" style="16" customWidth="1"/>
    <col min="1283" max="1283" width="12" style="16" customWidth="1"/>
    <col min="1284" max="1284" width="11" style="16" customWidth="1"/>
    <col min="1285" max="1285" width="11.7109375" style="16" customWidth="1"/>
    <col min="1286" max="1286" width="8" style="16" customWidth="1"/>
    <col min="1287" max="1287" width="11.42578125" style="16" customWidth="1"/>
    <col min="1288" max="1289" width="12.7109375" style="16" customWidth="1"/>
    <col min="1290" max="1290" width="7.7109375" style="16" customWidth="1"/>
    <col min="1291" max="1291" width="12.28515625" style="16" customWidth="1"/>
    <col min="1292" max="1292" width="11.28515625" style="16" customWidth="1"/>
    <col min="1293" max="1293" width="8.28515625" style="16" customWidth="1"/>
    <col min="1294" max="1294" width="13.28515625" style="16" customWidth="1"/>
    <col min="1295" max="1295" width="11" style="16" customWidth="1"/>
    <col min="1296" max="1531" width="9.140625" style="16"/>
    <col min="1532" max="1532" width="3.7109375" style="16" customWidth="1"/>
    <col min="1533" max="1533" width="7.7109375" style="16" customWidth="1"/>
    <col min="1534" max="1534" width="23.28515625" style="16" customWidth="1"/>
    <col min="1535" max="1535" width="9.140625" style="16"/>
    <col min="1536" max="1537" width="12" style="16" customWidth="1"/>
    <col min="1538" max="1538" width="11.140625" style="16" customWidth="1"/>
    <col min="1539" max="1539" width="12" style="16" customWidth="1"/>
    <col min="1540" max="1540" width="11" style="16" customWidth="1"/>
    <col min="1541" max="1541" width="11.7109375" style="16" customWidth="1"/>
    <col min="1542" max="1542" width="8" style="16" customWidth="1"/>
    <col min="1543" max="1543" width="11.42578125" style="16" customWidth="1"/>
    <col min="1544" max="1545" width="12.7109375" style="16" customWidth="1"/>
    <col min="1546" max="1546" width="7.7109375" style="16" customWidth="1"/>
    <col min="1547" max="1547" width="12.28515625" style="16" customWidth="1"/>
    <col min="1548" max="1548" width="11.28515625" style="16" customWidth="1"/>
    <col min="1549" max="1549" width="8.28515625" style="16" customWidth="1"/>
    <col min="1550" max="1550" width="13.28515625" style="16" customWidth="1"/>
    <col min="1551" max="1551" width="11" style="16" customWidth="1"/>
    <col min="1552" max="1787" width="9.140625" style="16"/>
    <col min="1788" max="1788" width="3.7109375" style="16" customWidth="1"/>
    <col min="1789" max="1789" width="7.7109375" style="16" customWidth="1"/>
    <col min="1790" max="1790" width="23.28515625" style="16" customWidth="1"/>
    <col min="1791" max="1791" width="9.140625" style="16"/>
    <col min="1792" max="1793" width="12" style="16" customWidth="1"/>
    <col min="1794" max="1794" width="11.140625" style="16" customWidth="1"/>
    <col min="1795" max="1795" width="12" style="16" customWidth="1"/>
    <col min="1796" max="1796" width="11" style="16" customWidth="1"/>
    <col min="1797" max="1797" width="11.7109375" style="16" customWidth="1"/>
    <col min="1798" max="1798" width="8" style="16" customWidth="1"/>
    <col min="1799" max="1799" width="11.42578125" style="16" customWidth="1"/>
    <col min="1800" max="1801" width="12.7109375" style="16" customWidth="1"/>
    <col min="1802" max="1802" width="7.7109375" style="16" customWidth="1"/>
    <col min="1803" max="1803" width="12.28515625" style="16" customWidth="1"/>
    <col min="1804" max="1804" width="11.28515625" style="16" customWidth="1"/>
    <col min="1805" max="1805" width="8.28515625" style="16" customWidth="1"/>
    <col min="1806" max="1806" width="13.28515625" style="16" customWidth="1"/>
    <col min="1807" max="1807" width="11" style="16" customWidth="1"/>
    <col min="1808" max="2043" width="9.140625" style="16"/>
    <col min="2044" max="2044" width="3.7109375" style="16" customWidth="1"/>
    <col min="2045" max="2045" width="7.7109375" style="16" customWidth="1"/>
    <col min="2046" max="2046" width="23.28515625" style="16" customWidth="1"/>
    <col min="2047" max="2047" width="9.140625" style="16"/>
    <col min="2048" max="2049" width="12" style="16" customWidth="1"/>
    <col min="2050" max="2050" width="11.140625" style="16" customWidth="1"/>
    <col min="2051" max="2051" width="12" style="16" customWidth="1"/>
    <col min="2052" max="2052" width="11" style="16" customWidth="1"/>
    <col min="2053" max="2053" width="11.7109375" style="16" customWidth="1"/>
    <col min="2054" max="2054" width="8" style="16" customWidth="1"/>
    <col min="2055" max="2055" width="11.42578125" style="16" customWidth="1"/>
    <col min="2056" max="2057" width="12.7109375" style="16" customWidth="1"/>
    <col min="2058" max="2058" width="7.7109375" style="16" customWidth="1"/>
    <col min="2059" max="2059" width="12.28515625" style="16" customWidth="1"/>
    <col min="2060" max="2060" width="11.28515625" style="16" customWidth="1"/>
    <col min="2061" max="2061" width="8.28515625" style="16" customWidth="1"/>
    <col min="2062" max="2062" width="13.28515625" style="16" customWidth="1"/>
    <col min="2063" max="2063" width="11" style="16" customWidth="1"/>
    <col min="2064" max="2299" width="9.140625" style="16"/>
    <col min="2300" max="2300" width="3.7109375" style="16" customWidth="1"/>
    <col min="2301" max="2301" width="7.7109375" style="16" customWidth="1"/>
    <col min="2302" max="2302" width="23.28515625" style="16" customWidth="1"/>
    <col min="2303" max="2303" width="9.140625" style="16"/>
    <col min="2304" max="2305" width="12" style="16" customWidth="1"/>
    <col min="2306" max="2306" width="11.140625" style="16" customWidth="1"/>
    <col min="2307" max="2307" width="12" style="16" customWidth="1"/>
    <col min="2308" max="2308" width="11" style="16" customWidth="1"/>
    <col min="2309" max="2309" width="11.7109375" style="16" customWidth="1"/>
    <col min="2310" max="2310" width="8" style="16" customWidth="1"/>
    <col min="2311" max="2311" width="11.42578125" style="16" customWidth="1"/>
    <col min="2312" max="2313" width="12.7109375" style="16" customWidth="1"/>
    <col min="2314" max="2314" width="7.7109375" style="16" customWidth="1"/>
    <col min="2315" max="2315" width="12.28515625" style="16" customWidth="1"/>
    <col min="2316" max="2316" width="11.28515625" style="16" customWidth="1"/>
    <col min="2317" max="2317" width="8.28515625" style="16" customWidth="1"/>
    <col min="2318" max="2318" width="13.28515625" style="16" customWidth="1"/>
    <col min="2319" max="2319" width="11" style="16" customWidth="1"/>
    <col min="2320" max="2555" width="9.140625" style="16"/>
    <col min="2556" max="2556" width="3.7109375" style="16" customWidth="1"/>
    <col min="2557" max="2557" width="7.7109375" style="16" customWidth="1"/>
    <col min="2558" max="2558" width="23.28515625" style="16" customWidth="1"/>
    <col min="2559" max="2559" width="9.140625" style="16"/>
    <col min="2560" max="2561" width="12" style="16" customWidth="1"/>
    <col min="2562" max="2562" width="11.140625" style="16" customWidth="1"/>
    <col min="2563" max="2563" width="12" style="16" customWidth="1"/>
    <col min="2564" max="2564" width="11" style="16" customWidth="1"/>
    <col min="2565" max="2565" width="11.7109375" style="16" customWidth="1"/>
    <col min="2566" max="2566" width="8" style="16" customWidth="1"/>
    <col min="2567" max="2567" width="11.42578125" style="16" customWidth="1"/>
    <col min="2568" max="2569" width="12.7109375" style="16" customWidth="1"/>
    <col min="2570" max="2570" width="7.7109375" style="16" customWidth="1"/>
    <col min="2571" max="2571" width="12.28515625" style="16" customWidth="1"/>
    <col min="2572" max="2572" width="11.28515625" style="16" customWidth="1"/>
    <col min="2573" max="2573" width="8.28515625" style="16" customWidth="1"/>
    <col min="2574" max="2574" width="13.28515625" style="16" customWidth="1"/>
    <col min="2575" max="2575" width="11" style="16" customWidth="1"/>
    <col min="2576" max="2811" width="9.140625" style="16"/>
    <col min="2812" max="2812" width="3.7109375" style="16" customWidth="1"/>
    <col min="2813" max="2813" width="7.7109375" style="16" customWidth="1"/>
    <col min="2814" max="2814" width="23.28515625" style="16" customWidth="1"/>
    <col min="2815" max="2815" width="9.140625" style="16"/>
    <col min="2816" max="2817" width="12" style="16" customWidth="1"/>
    <col min="2818" max="2818" width="11.140625" style="16" customWidth="1"/>
    <col min="2819" max="2819" width="12" style="16" customWidth="1"/>
    <col min="2820" max="2820" width="11" style="16" customWidth="1"/>
    <col min="2821" max="2821" width="11.7109375" style="16" customWidth="1"/>
    <col min="2822" max="2822" width="8" style="16" customWidth="1"/>
    <col min="2823" max="2823" width="11.42578125" style="16" customWidth="1"/>
    <col min="2824" max="2825" width="12.7109375" style="16" customWidth="1"/>
    <col min="2826" max="2826" width="7.7109375" style="16" customWidth="1"/>
    <col min="2827" max="2827" width="12.28515625" style="16" customWidth="1"/>
    <col min="2828" max="2828" width="11.28515625" style="16" customWidth="1"/>
    <col min="2829" max="2829" width="8.28515625" style="16" customWidth="1"/>
    <col min="2830" max="2830" width="13.28515625" style="16" customWidth="1"/>
    <col min="2831" max="2831" width="11" style="16" customWidth="1"/>
    <col min="2832" max="3067" width="9.140625" style="16"/>
    <col min="3068" max="3068" width="3.7109375" style="16" customWidth="1"/>
    <col min="3069" max="3069" width="7.7109375" style="16" customWidth="1"/>
    <col min="3070" max="3070" width="23.28515625" style="16" customWidth="1"/>
    <col min="3071" max="3071" width="9.140625" style="16"/>
    <col min="3072" max="3073" width="12" style="16" customWidth="1"/>
    <col min="3074" max="3074" width="11.140625" style="16" customWidth="1"/>
    <col min="3075" max="3075" width="12" style="16" customWidth="1"/>
    <col min="3076" max="3076" width="11" style="16" customWidth="1"/>
    <col min="3077" max="3077" width="11.7109375" style="16" customWidth="1"/>
    <col min="3078" max="3078" width="8" style="16" customWidth="1"/>
    <col min="3079" max="3079" width="11.42578125" style="16" customWidth="1"/>
    <col min="3080" max="3081" width="12.7109375" style="16" customWidth="1"/>
    <col min="3082" max="3082" width="7.7109375" style="16" customWidth="1"/>
    <col min="3083" max="3083" width="12.28515625" style="16" customWidth="1"/>
    <col min="3084" max="3084" width="11.28515625" style="16" customWidth="1"/>
    <col min="3085" max="3085" width="8.28515625" style="16" customWidth="1"/>
    <col min="3086" max="3086" width="13.28515625" style="16" customWidth="1"/>
    <col min="3087" max="3087" width="11" style="16" customWidth="1"/>
    <col min="3088" max="3323" width="9.140625" style="16"/>
    <col min="3324" max="3324" width="3.7109375" style="16" customWidth="1"/>
    <col min="3325" max="3325" width="7.7109375" style="16" customWidth="1"/>
    <col min="3326" max="3326" width="23.28515625" style="16" customWidth="1"/>
    <col min="3327" max="3327" width="9.140625" style="16"/>
    <col min="3328" max="3329" width="12" style="16" customWidth="1"/>
    <col min="3330" max="3330" width="11.140625" style="16" customWidth="1"/>
    <col min="3331" max="3331" width="12" style="16" customWidth="1"/>
    <col min="3332" max="3332" width="11" style="16" customWidth="1"/>
    <col min="3333" max="3333" width="11.7109375" style="16" customWidth="1"/>
    <col min="3334" max="3334" width="8" style="16" customWidth="1"/>
    <col min="3335" max="3335" width="11.42578125" style="16" customWidth="1"/>
    <col min="3336" max="3337" width="12.7109375" style="16" customWidth="1"/>
    <col min="3338" max="3338" width="7.7109375" style="16" customWidth="1"/>
    <col min="3339" max="3339" width="12.28515625" style="16" customWidth="1"/>
    <col min="3340" max="3340" width="11.28515625" style="16" customWidth="1"/>
    <col min="3341" max="3341" width="8.28515625" style="16" customWidth="1"/>
    <col min="3342" max="3342" width="13.28515625" style="16" customWidth="1"/>
    <col min="3343" max="3343" width="11" style="16" customWidth="1"/>
    <col min="3344" max="3579" width="9.140625" style="16"/>
    <col min="3580" max="3580" width="3.7109375" style="16" customWidth="1"/>
    <col min="3581" max="3581" width="7.7109375" style="16" customWidth="1"/>
    <col min="3582" max="3582" width="23.28515625" style="16" customWidth="1"/>
    <col min="3583" max="3583" width="9.140625" style="16"/>
    <col min="3584" max="3585" width="12" style="16" customWidth="1"/>
    <col min="3586" max="3586" width="11.140625" style="16" customWidth="1"/>
    <col min="3587" max="3587" width="12" style="16" customWidth="1"/>
    <col min="3588" max="3588" width="11" style="16" customWidth="1"/>
    <col min="3589" max="3589" width="11.7109375" style="16" customWidth="1"/>
    <col min="3590" max="3590" width="8" style="16" customWidth="1"/>
    <col min="3591" max="3591" width="11.42578125" style="16" customWidth="1"/>
    <col min="3592" max="3593" width="12.7109375" style="16" customWidth="1"/>
    <col min="3594" max="3594" width="7.7109375" style="16" customWidth="1"/>
    <col min="3595" max="3595" width="12.28515625" style="16" customWidth="1"/>
    <col min="3596" max="3596" width="11.28515625" style="16" customWidth="1"/>
    <col min="3597" max="3597" width="8.28515625" style="16" customWidth="1"/>
    <col min="3598" max="3598" width="13.28515625" style="16" customWidth="1"/>
    <col min="3599" max="3599" width="11" style="16" customWidth="1"/>
    <col min="3600" max="3835" width="9.140625" style="16"/>
    <col min="3836" max="3836" width="3.7109375" style="16" customWidth="1"/>
    <col min="3837" max="3837" width="7.7109375" style="16" customWidth="1"/>
    <col min="3838" max="3838" width="23.28515625" style="16" customWidth="1"/>
    <col min="3839" max="3839" width="9.140625" style="16"/>
    <col min="3840" max="3841" width="12" style="16" customWidth="1"/>
    <col min="3842" max="3842" width="11.140625" style="16" customWidth="1"/>
    <col min="3843" max="3843" width="12" style="16" customWidth="1"/>
    <col min="3844" max="3844" width="11" style="16" customWidth="1"/>
    <col min="3845" max="3845" width="11.7109375" style="16" customWidth="1"/>
    <col min="3846" max="3846" width="8" style="16" customWidth="1"/>
    <col min="3847" max="3847" width="11.42578125" style="16" customWidth="1"/>
    <col min="3848" max="3849" width="12.7109375" style="16" customWidth="1"/>
    <col min="3850" max="3850" width="7.7109375" style="16" customWidth="1"/>
    <col min="3851" max="3851" width="12.28515625" style="16" customWidth="1"/>
    <col min="3852" max="3852" width="11.28515625" style="16" customWidth="1"/>
    <col min="3853" max="3853" width="8.28515625" style="16" customWidth="1"/>
    <col min="3854" max="3854" width="13.28515625" style="16" customWidth="1"/>
    <col min="3855" max="3855" width="11" style="16" customWidth="1"/>
    <col min="3856" max="4091" width="9.140625" style="16"/>
    <col min="4092" max="4092" width="3.7109375" style="16" customWidth="1"/>
    <col min="4093" max="4093" width="7.7109375" style="16" customWidth="1"/>
    <col min="4094" max="4094" width="23.28515625" style="16" customWidth="1"/>
    <col min="4095" max="4095" width="9.140625" style="16"/>
    <col min="4096" max="4097" width="12" style="16" customWidth="1"/>
    <col min="4098" max="4098" width="11.140625" style="16" customWidth="1"/>
    <col min="4099" max="4099" width="12" style="16" customWidth="1"/>
    <col min="4100" max="4100" width="11" style="16" customWidth="1"/>
    <col min="4101" max="4101" width="11.7109375" style="16" customWidth="1"/>
    <col min="4102" max="4102" width="8" style="16" customWidth="1"/>
    <col min="4103" max="4103" width="11.42578125" style="16" customWidth="1"/>
    <col min="4104" max="4105" width="12.7109375" style="16" customWidth="1"/>
    <col min="4106" max="4106" width="7.7109375" style="16" customWidth="1"/>
    <col min="4107" max="4107" width="12.28515625" style="16" customWidth="1"/>
    <col min="4108" max="4108" width="11.28515625" style="16" customWidth="1"/>
    <col min="4109" max="4109" width="8.28515625" style="16" customWidth="1"/>
    <col min="4110" max="4110" width="13.28515625" style="16" customWidth="1"/>
    <col min="4111" max="4111" width="11" style="16" customWidth="1"/>
    <col min="4112" max="4347" width="9.140625" style="16"/>
    <col min="4348" max="4348" width="3.7109375" style="16" customWidth="1"/>
    <col min="4349" max="4349" width="7.7109375" style="16" customWidth="1"/>
    <col min="4350" max="4350" width="23.28515625" style="16" customWidth="1"/>
    <col min="4351" max="4351" width="9.140625" style="16"/>
    <col min="4352" max="4353" width="12" style="16" customWidth="1"/>
    <col min="4354" max="4354" width="11.140625" style="16" customWidth="1"/>
    <col min="4355" max="4355" width="12" style="16" customWidth="1"/>
    <col min="4356" max="4356" width="11" style="16" customWidth="1"/>
    <col min="4357" max="4357" width="11.7109375" style="16" customWidth="1"/>
    <col min="4358" max="4358" width="8" style="16" customWidth="1"/>
    <col min="4359" max="4359" width="11.42578125" style="16" customWidth="1"/>
    <col min="4360" max="4361" width="12.7109375" style="16" customWidth="1"/>
    <col min="4362" max="4362" width="7.7109375" style="16" customWidth="1"/>
    <col min="4363" max="4363" width="12.28515625" style="16" customWidth="1"/>
    <col min="4364" max="4364" width="11.28515625" style="16" customWidth="1"/>
    <col min="4365" max="4365" width="8.28515625" style="16" customWidth="1"/>
    <col min="4366" max="4366" width="13.28515625" style="16" customWidth="1"/>
    <col min="4367" max="4367" width="11" style="16" customWidth="1"/>
    <col min="4368" max="4603" width="9.140625" style="16"/>
    <col min="4604" max="4604" width="3.7109375" style="16" customWidth="1"/>
    <col min="4605" max="4605" width="7.7109375" style="16" customWidth="1"/>
    <col min="4606" max="4606" width="23.28515625" style="16" customWidth="1"/>
    <col min="4607" max="4607" width="9.140625" style="16"/>
    <col min="4608" max="4609" width="12" style="16" customWidth="1"/>
    <col min="4610" max="4610" width="11.140625" style="16" customWidth="1"/>
    <col min="4611" max="4611" width="12" style="16" customWidth="1"/>
    <col min="4612" max="4612" width="11" style="16" customWidth="1"/>
    <col min="4613" max="4613" width="11.7109375" style="16" customWidth="1"/>
    <col min="4614" max="4614" width="8" style="16" customWidth="1"/>
    <col min="4615" max="4615" width="11.42578125" style="16" customWidth="1"/>
    <col min="4616" max="4617" width="12.7109375" style="16" customWidth="1"/>
    <col min="4618" max="4618" width="7.7109375" style="16" customWidth="1"/>
    <col min="4619" max="4619" width="12.28515625" style="16" customWidth="1"/>
    <col min="4620" max="4620" width="11.28515625" style="16" customWidth="1"/>
    <col min="4621" max="4621" width="8.28515625" style="16" customWidth="1"/>
    <col min="4622" max="4622" width="13.28515625" style="16" customWidth="1"/>
    <col min="4623" max="4623" width="11" style="16" customWidth="1"/>
    <col min="4624" max="4859" width="9.140625" style="16"/>
    <col min="4860" max="4860" width="3.7109375" style="16" customWidth="1"/>
    <col min="4861" max="4861" width="7.7109375" style="16" customWidth="1"/>
    <col min="4862" max="4862" width="23.28515625" style="16" customWidth="1"/>
    <col min="4863" max="4863" width="9.140625" style="16"/>
    <col min="4864" max="4865" width="12" style="16" customWidth="1"/>
    <col min="4866" max="4866" width="11.140625" style="16" customWidth="1"/>
    <col min="4867" max="4867" width="12" style="16" customWidth="1"/>
    <col min="4868" max="4868" width="11" style="16" customWidth="1"/>
    <col min="4869" max="4869" width="11.7109375" style="16" customWidth="1"/>
    <col min="4870" max="4870" width="8" style="16" customWidth="1"/>
    <col min="4871" max="4871" width="11.42578125" style="16" customWidth="1"/>
    <col min="4872" max="4873" width="12.7109375" style="16" customWidth="1"/>
    <col min="4874" max="4874" width="7.7109375" style="16" customWidth="1"/>
    <col min="4875" max="4875" width="12.28515625" style="16" customWidth="1"/>
    <col min="4876" max="4876" width="11.28515625" style="16" customWidth="1"/>
    <col min="4877" max="4877" width="8.28515625" style="16" customWidth="1"/>
    <col min="4878" max="4878" width="13.28515625" style="16" customWidth="1"/>
    <col min="4879" max="4879" width="11" style="16" customWidth="1"/>
    <col min="4880" max="5115" width="9.140625" style="16"/>
    <col min="5116" max="5116" width="3.7109375" style="16" customWidth="1"/>
    <col min="5117" max="5117" width="7.7109375" style="16" customWidth="1"/>
    <col min="5118" max="5118" width="23.28515625" style="16" customWidth="1"/>
    <col min="5119" max="5119" width="9.140625" style="16"/>
    <col min="5120" max="5121" width="12" style="16" customWidth="1"/>
    <col min="5122" max="5122" width="11.140625" style="16" customWidth="1"/>
    <col min="5123" max="5123" width="12" style="16" customWidth="1"/>
    <col min="5124" max="5124" width="11" style="16" customWidth="1"/>
    <col min="5125" max="5125" width="11.7109375" style="16" customWidth="1"/>
    <col min="5126" max="5126" width="8" style="16" customWidth="1"/>
    <col min="5127" max="5127" width="11.42578125" style="16" customWidth="1"/>
    <col min="5128" max="5129" width="12.7109375" style="16" customWidth="1"/>
    <col min="5130" max="5130" width="7.7109375" style="16" customWidth="1"/>
    <col min="5131" max="5131" width="12.28515625" style="16" customWidth="1"/>
    <col min="5132" max="5132" width="11.28515625" style="16" customWidth="1"/>
    <col min="5133" max="5133" width="8.28515625" style="16" customWidth="1"/>
    <col min="5134" max="5134" width="13.28515625" style="16" customWidth="1"/>
    <col min="5135" max="5135" width="11" style="16" customWidth="1"/>
    <col min="5136" max="5371" width="9.140625" style="16"/>
    <col min="5372" max="5372" width="3.7109375" style="16" customWidth="1"/>
    <col min="5373" max="5373" width="7.7109375" style="16" customWidth="1"/>
    <col min="5374" max="5374" width="23.28515625" style="16" customWidth="1"/>
    <col min="5375" max="5375" width="9.140625" style="16"/>
    <col min="5376" max="5377" width="12" style="16" customWidth="1"/>
    <col min="5378" max="5378" width="11.140625" style="16" customWidth="1"/>
    <col min="5379" max="5379" width="12" style="16" customWidth="1"/>
    <col min="5380" max="5380" width="11" style="16" customWidth="1"/>
    <col min="5381" max="5381" width="11.7109375" style="16" customWidth="1"/>
    <col min="5382" max="5382" width="8" style="16" customWidth="1"/>
    <col min="5383" max="5383" width="11.42578125" style="16" customWidth="1"/>
    <col min="5384" max="5385" width="12.7109375" style="16" customWidth="1"/>
    <col min="5386" max="5386" width="7.7109375" style="16" customWidth="1"/>
    <col min="5387" max="5387" width="12.28515625" style="16" customWidth="1"/>
    <col min="5388" max="5388" width="11.28515625" style="16" customWidth="1"/>
    <col min="5389" max="5389" width="8.28515625" style="16" customWidth="1"/>
    <col min="5390" max="5390" width="13.28515625" style="16" customWidth="1"/>
    <col min="5391" max="5391" width="11" style="16" customWidth="1"/>
    <col min="5392" max="5627" width="9.140625" style="16"/>
    <col min="5628" max="5628" width="3.7109375" style="16" customWidth="1"/>
    <col min="5629" max="5629" width="7.7109375" style="16" customWidth="1"/>
    <col min="5630" max="5630" width="23.28515625" style="16" customWidth="1"/>
    <col min="5631" max="5631" width="9.140625" style="16"/>
    <col min="5632" max="5633" width="12" style="16" customWidth="1"/>
    <col min="5634" max="5634" width="11.140625" style="16" customWidth="1"/>
    <col min="5635" max="5635" width="12" style="16" customWidth="1"/>
    <col min="5636" max="5636" width="11" style="16" customWidth="1"/>
    <col min="5637" max="5637" width="11.7109375" style="16" customWidth="1"/>
    <col min="5638" max="5638" width="8" style="16" customWidth="1"/>
    <col min="5639" max="5639" width="11.42578125" style="16" customWidth="1"/>
    <col min="5640" max="5641" width="12.7109375" style="16" customWidth="1"/>
    <col min="5642" max="5642" width="7.7109375" style="16" customWidth="1"/>
    <col min="5643" max="5643" width="12.28515625" style="16" customWidth="1"/>
    <col min="5644" max="5644" width="11.28515625" style="16" customWidth="1"/>
    <col min="5645" max="5645" width="8.28515625" style="16" customWidth="1"/>
    <col min="5646" max="5646" width="13.28515625" style="16" customWidth="1"/>
    <col min="5647" max="5647" width="11" style="16" customWidth="1"/>
    <col min="5648" max="5883" width="9.140625" style="16"/>
    <col min="5884" max="5884" width="3.7109375" style="16" customWidth="1"/>
    <col min="5885" max="5885" width="7.7109375" style="16" customWidth="1"/>
    <col min="5886" max="5886" width="23.28515625" style="16" customWidth="1"/>
    <col min="5887" max="5887" width="9.140625" style="16"/>
    <col min="5888" max="5889" width="12" style="16" customWidth="1"/>
    <col min="5890" max="5890" width="11.140625" style="16" customWidth="1"/>
    <col min="5891" max="5891" width="12" style="16" customWidth="1"/>
    <col min="5892" max="5892" width="11" style="16" customWidth="1"/>
    <col min="5893" max="5893" width="11.7109375" style="16" customWidth="1"/>
    <col min="5894" max="5894" width="8" style="16" customWidth="1"/>
    <col min="5895" max="5895" width="11.42578125" style="16" customWidth="1"/>
    <col min="5896" max="5897" width="12.7109375" style="16" customWidth="1"/>
    <col min="5898" max="5898" width="7.7109375" style="16" customWidth="1"/>
    <col min="5899" max="5899" width="12.28515625" style="16" customWidth="1"/>
    <col min="5900" max="5900" width="11.28515625" style="16" customWidth="1"/>
    <col min="5901" max="5901" width="8.28515625" style="16" customWidth="1"/>
    <col min="5902" max="5902" width="13.28515625" style="16" customWidth="1"/>
    <col min="5903" max="5903" width="11" style="16" customWidth="1"/>
    <col min="5904" max="6139" width="9.140625" style="16"/>
    <col min="6140" max="6140" width="3.7109375" style="16" customWidth="1"/>
    <col min="6141" max="6141" width="7.7109375" style="16" customWidth="1"/>
    <col min="6142" max="6142" width="23.28515625" style="16" customWidth="1"/>
    <col min="6143" max="6143" width="9.140625" style="16"/>
    <col min="6144" max="6145" width="12" style="16" customWidth="1"/>
    <col min="6146" max="6146" width="11.140625" style="16" customWidth="1"/>
    <col min="6147" max="6147" width="12" style="16" customWidth="1"/>
    <col min="6148" max="6148" width="11" style="16" customWidth="1"/>
    <col min="6149" max="6149" width="11.7109375" style="16" customWidth="1"/>
    <col min="6150" max="6150" width="8" style="16" customWidth="1"/>
    <col min="6151" max="6151" width="11.42578125" style="16" customWidth="1"/>
    <col min="6152" max="6153" width="12.7109375" style="16" customWidth="1"/>
    <col min="6154" max="6154" width="7.7109375" style="16" customWidth="1"/>
    <col min="6155" max="6155" width="12.28515625" style="16" customWidth="1"/>
    <col min="6156" max="6156" width="11.28515625" style="16" customWidth="1"/>
    <col min="6157" max="6157" width="8.28515625" style="16" customWidth="1"/>
    <col min="6158" max="6158" width="13.28515625" style="16" customWidth="1"/>
    <col min="6159" max="6159" width="11" style="16" customWidth="1"/>
    <col min="6160" max="6395" width="9.140625" style="16"/>
    <col min="6396" max="6396" width="3.7109375" style="16" customWidth="1"/>
    <col min="6397" max="6397" width="7.7109375" style="16" customWidth="1"/>
    <col min="6398" max="6398" width="23.28515625" style="16" customWidth="1"/>
    <col min="6399" max="6399" width="9.140625" style="16"/>
    <col min="6400" max="6401" width="12" style="16" customWidth="1"/>
    <col min="6402" max="6402" width="11.140625" style="16" customWidth="1"/>
    <col min="6403" max="6403" width="12" style="16" customWidth="1"/>
    <col min="6404" max="6404" width="11" style="16" customWidth="1"/>
    <col min="6405" max="6405" width="11.7109375" style="16" customWidth="1"/>
    <col min="6406" max="6406" width="8" style="16" customWidth="1"/>
    <col min="6407" max="6407" width="11.42578125" style="16" customWidth="1"/>
    <col min="6408" max="6409" width="12.7109375" style="16" customWidth="1"/>
    <col min="6410" max="6410" width="7.7109375" style="16" customWidth="1"/>
    <col min="6411" max="6411" width="12.28515625" style="16" customWidth="1"/>
    <col min="6412" max="6412" width="11.28515625" style="16" customWidth="1"/>
    <col min="6413" max="6413" width="8.28515625" style="16" customWidth="1"/>
    <col min="6414" max="6414" width="13.28515625" style="16" customWidth="1"/>
    <col min="6415" max="6415" width="11" style="16" customWidth="1"/>
    <col min="6416" max="6651" width="9.140625" style="16"/>
    <col min="6652" max="6652" width="3.7109375" style="16" customWidth="1"/>
    <col min="6653" max="6653" width="7.7109375" style="16" customWidth="1"/>
    <col min="6654" max="6654" width="23.28515625" style="16" customWidth="1"/>
    <col min="6655" max="6655" width="9.140625" style="16"/>
    <col min="6656" max="6657" width="12" style="16" customWidth="1"/>
    <col min="6658" max="6658" width="11.140625" style="16" customWidth="1"/>
    <col min="6659" max="6659" width="12" style="16" customWidth="1"/>
    <col min="6660" max="6660" width="11" style="16" customWidth="1"/>
    <col min="6661" max="6661" width="11.7109375" style="16" customWidth="1"/>
    <col min="6662" max="6662" width="8" style="16" customWidth="1"/>
    <col min="6663" max="6663" width="11.42578125" style="16" customWidth="1"/>
    <col min="6664" max="6665" width="12.7109375" style="16" customWidth="1"/>
    <col min="6666" max="6666" width="7.7109375" style="16" customWidth="1"/>
    <col min="6667" max="6667" width="12.28515625" style="16" customWidth="1"/>
    <col min="6668" max="6668" width="11.28515625" style="16" customWidth="1"/>
    <col min="6669" max="6669" width="8.28515625" style="16" customWidth="1"/>
    <col min="6670" max="6670" width="13.28515625" style="16" customWidth="1"/>
    <col min="6671" max="6671" width="11" style="16" customWidth="1"/>
    <col min="6672" max="6907" width="9.140625" style="16"/>
    <col min="6908" max="6908" width="3.7109375" style="16" customWidth="1"/>
    <col min="6909" max="6909" width="7.7109375" style="16" customWidth="1"/>
    <col min="6910" max="6910" width="23.28515625" style="16" customWidth="1"/>
    <col min="6911" max="6911" width="9.140625" style="16"/>
    <col min="6912" max="6913" width="12" style="16" customWidth="1"/>
    <col min="6914" max="6914" width="11.140625" style="16" customWidth="1"/>
    <col min="6915" max="6915" width="12" style="16" customWidth="1"/>
    <col min="6916" max="6916" width="11" style="16" customWidth="1"/>
    <col min="6917" max="6917" width="11.7109375" style="16" customWidth="1"/>
    <col min="6918" max="6918" width="8" style="16" customWidth="1"/>
    <col min="6919" max="6919" width="11.42578125" style="16" customWidth="1"/>
    <col min="6920" max="6921" width="12.7109375" style="16" customWidth="1"/>
    <col min="6922" max="6922" width="7.7109375" style="16" customWidth="1"/>
    <col min="6923" max="6923" width="12.28515625" style="16" customWidth="1"/>
    <col min="6924" max="6924" width="11.28515625" style="16" customWidth="1"/>
    <col min="6925" max="6925" width="8.28515625" style="16" customWidth="1"/>
    <col min="6926" max="6926" width="13.28515625" style="16" customWidth="1"/>
    <col min="6927" max="6927" width="11" style="16" customWidth="1"/>
    <col min="6928" max="7163" width="9.140625" style="16"/>
    <col min="7164" max="7164" width="3.7109375" style="16" customWidth="1"/>
    <col min="7165" max="7165" width="7.7109375" style="16" customWidth="1"/>
    <col min="7166" max="7166" width="23.28515625" style="16" customWidth="1"/>
    <col min="7167" max="7167" width="9.140625" style="16"/>
    <col min="7168" max="7169" width="12" style="16" customWidth="1"/>
    <col min="7170" max="7170" width="11.140625" style="16" customWidth="1"/>
    <col min="7171" max="7171" width="12" style="16" customWidth="1"/>
    <col min="7172" max="7172" width="11" style="16" customWidth="1"/>
    <col min="7173" max="7173" width="11.7109375" style="16" customWidth="1"/>
    <col min="7174" max="7174" width="8" style="16" customWidth="1"/>
    <col min="7175" max="7175" width="11.42578125" style="16" customWidth="1"/>
    <col min="7176" max="7177" width="12.7109375" style="16" customWidth="1"/>
    <col min="7178" max="7178" width="7.7109375" style="16" customWidth="1"/>
    <col min="7179" max="7179" width="12.28515625" style="16" customWidth="1"/>
    <col min="7180" max="7180" width="11.28515625" style="16" customWidth="1"/>
    <col min="7181" max="7181" width="8.28515625" style="16" customWidth="1"/>
    <col min="7182" max="7182" width="13.28515625" style="16" customWidth="1"/>
    <col min="7183" max="7183" width="11" style="16" customWidth="1"/>
    <col min="7184" max="7419" width="9.140625" style="16"/>
    <col min="7420" max="7420" width="3.7109375" style="16" customWidth="1"/>
    <col min="7421" max="7421" width="7.7109375" style="16" customWidth="1"/>
    <col min="7422" max="7422" width="23.28515625" style="16" customWidth="1"/>
    <col min="7423" max="7423" width="9.140625" style="16"/>
    <col min="7424" max="7425" width="12" style="16" customWidth="1"/>
    <col min="7426" max="7426" width="11.140625" style="16" customWidth="1"/>
    <col min="7427" max="7427" width="12" style="16" customWidth="1"/>
    <col min="7428" max="7428" width="11" style="16" customWidth="1"/>
    <col min="7429" max="7429" width="11.7109375" style="16" customWidth="1"/>
    <col min="7430" max="7430" width="8" style="16" customWidth="1"/>
    <col min="7431" max="7431" width="11.42578125" style="16" customWidth="1"/>
    <col min="7432" max="7433" width="12.7109375" style="16" customWidth="1"/>
    <col min="7434" max="7434" width="7.7109375" style="16" customWidth="1"/>
    <col min="7435" max="7435" width="12.28515625" style="16" customWidth="1"/>
    <col min="7436" max="7436" width="11.28515625" style="16" customWidth="1"/>
    <col min="7437" max="7437" width="8.28515625" style="16" customWidth="1"/>
    <col min="7438" max="7438" width="13.28515625" style="16" customWidth="1"/>
    <col min="7439" max="7439" width="11" style="16" customWidth="1"/>
    <col min="7440" max="7675" width="9.140625" style="16"/>
    <col min="7676" max="7676" width="3.7109375" style="16" customWidth="1"/>
    <col min="7677" max="7677" width="7.7109375" style="16" customWidth="1"/>
    <col min="7678" max="7678" width="23.28515625" style="16" customWidth="1"/>
    <col min="7679" max="7679" width="9.140625" style="16"/>
    <col min="7680" max="7681" width="12" style="16" customWidth="1"/>
    <col min="7682" max="7682" width="11.140625" style="16" customWidth="1"/>
    <col min="7683" max="7683" width="12" style="16" customWidth="1"/>
    <col min="7684" max="7684" width="11" style="16" customWidth="1"/>
    <col min="7685" max="7685" width="11.7109375" style="16" customWidth="1"/>
    <col min="7686" max="7686" width="8" style="16" customWidth="1"/>
    <col min="7687" max="7687" width="11.42578125" style="16" customWidth="1"/>
    <col min="7688" max="7689" width="12.7109375" style="16" customWidth="1"/>
    <col min="7690" max="7690" width="7.7109375" style="16" customWidth="1"/>
    <col min="7691" max="7691" width="12.28515625" style="16" customWidth="1"/>
    <col min="7692" max="7692" width="11.28515625" style="16" customWidth="1"/>
    <col min="7693" max="7693" width="8.28515625" style="16" customWidth="1"/>
    <col min="7694" max="7694" width="13.28515625" style="16" customWidth="1"/>
    <col min="7695" max="7695" width="11" style="16" customWidth="1"/>
    <col min="7696" max="7931" width="9.140625" style="16"/>
    <col min="7932" max="7932" width="3.7109375" style="16" customWidth="1"/>
    <col min="7933" max="7933" width="7.7109375" style="16" customWidth="1"/>
    <col min="7934" max="7934" width="23.28515625" style="16" customWidth="1"/>
    <col min="7935" max="7935" width="9.140625" style="16"/>
    <col min="7936" max="7937" width="12" style="16" customWidth="1"/>
    <col min="7938" max="7938" width="11.140625" style="16" customWidth="1"/>
    <col min="7939" max="7939" width="12" style="16" customWidth="1"/>
    <col min="7940" max="7940" width="11" style="16" customWidth="1"/>
    <col min="7941" max="7941" width="11.7109375" style="16" customWidth="1"/>
    <col min="7942" max="7942" width="8" style="16" customWidth="1"/>
    <col min="7943" max="7943" width="11.42578125" style="16" customWidth="1"/>
    <col min="7944" max="7945" width="12.7109375" style="16" customWidth="1"/>
    <col min="7946" max="7946" width="7.7109375" style="16" customWidth="1"/>
    <col min="7947" max="7947" width="12.28515625" style="16" customWidth="1"/>
    <col min="7948" max="7948" width="11.28515625" style="16" customWidth="1"/>
    <col min="7949" max="7949" width="8.28515625" style="16" customWidth="1"/>
    <col min="7950" max="7950" width="13.28515625" style="16" customWidth="1"/>
    <col min="7951" max="7951" width="11" style="16" customWidth="1"/>
    <col min="7952" max="8187" width="9.140625" style="16"/>
    <col min="8188" max="8188" width="3.7109375" style="16" customWidth="1"/>
    <col min="8189" max="8189" width="7.7109375" style="16" customWidth="1"/>
    <col min="8190" max="8190" width="23.28515625" style="16" customWidth="1"/>
    <col min="8191" max="8191" width="9.140625" style="16"/>
    <col min="8192" max="8193" width="12" style="16" customWidth="1"/>
    <col min="8194" max="8194" width="11.140625" style="16" customWidth="1"/>
    <col min="8195" max="8195" width="12" style="16" customWidth="1"/>
    <col min="8196" max="8196" width="11" style="16" customWidth="1"/>
    <col min="8197" max="8197" width="11.7109375" style="16" customWidth="1"/>
    <col min="8198" max="8198" width="8" style="16" customWidth="1"/>
    <col min="8199" max="8199" width="11.42578125" style="16" customWidth="1"/>
    <col min="8200" max="8201" width="12.7109375" style="16" customWidth="1"/>
    <col min="8202" max="8202" width="7.7109375" style="16" customWidth="1"/>
    <col min="8203" max="8203" width="12.28515625" style="16" customWidth="1"/>
    <col min="8204" max="8204" width="11.28515625" style="16" customWidth="1"/>
    <col min="8205" max="8205" width="8.28515625" style="16" customWidth="1"/>
    <col min="8206" max="8206" width="13.28515625" style="16" customWidth="1"/>
    <col min="8207" max="8207" width="11" style="16" customWidth="1"/>
    <col min="8208" max="8443" width="9.140625" style="16"/>
    <col min="8444" max="8444" width="3.7109375" style="16" customWidth="1"/>
    <col min="8445" max="8445" width="7.7109375" style="16" customWidth="1"/>
    <col min="8446" max="8446" width="23.28515625" style="16" customWidth="1"/>
    <col min="8447" max="8447" width="9.140625" style="16"/>
    <col min="8448" max="8449" width="12" style="16" customWidth="1"/>
    <col min="8450" max="8450" width="11.140625" style="16" customWidth="1"/>
    <col min="8451" max="8451" width="12" style="16" customWidth="1"/>
    <col min="8452" max="8452" width="11" style="16" customWidth="1"/>
    <col min="8453" max="8453" width="11.7109375" style="16" customWidth="1"/>
    <col min="8454" max="8454" width="8" style="16" customWidth="1"/>
    <col min="8455" max="8455" width="11.42578125" style="16" customWidth="1"/>
    <col min="8456" max="8457" width="12.7109375" style="16" customWidth="1"/>
    <col min="8458" max="8458" width="7.7109375" style="16" customWidth="1"/>
    <col min="8459" max="8459" width="12.28515625" style="16" customWidth="1"/>
    <col min="8460" max="8460" width="11.28515625" style="16" customWidth="1"/>
    <col min="8461" max="8461" width="8.28515625" style="16" customWidth="1"/>
    <col min="8462" max="8462" width="13.28515625" style="16" customWidth="1"/>
    <col min="8463" max="8463" width="11" style="16" customWidth="1"/>
    <col min="8464" max="8699" width="9.140625" style="16"/>
    <col min="8700" max="8700" width="3.7109375" style="16" customWidth="1"/>
    <col min="8701" max="8701" width="7.7109375" style="16" customWidth="1"/>
    <col min="8702" max="8702" width="23.28515625" style="16" customWidth="1"/>
    <col min="8703" max="8703" width="9.140625" style="16"/>
    <col min="8704" max="8705" width="12" style="16" customWidth="1"/>
    <col min="8706" max="8706" width="11.140625" style="16" customWidth="1"/>
    <col min="8707" max="8707" width="12" style="16" customWidth="1"/>
    <col min="8708" max="8708" width="11" style="16" customWidth="1"/>
    <col min="8709" max="8709" width="11.7109375" style="16" customWidth="1"/>
    <col min="8710" max="8710" width="8" style="16" customWidth="1"/>
    <col min="8711" max="8711" width="11.42578125" style="16" customWidth="1"/>
    <col min="8712" max="8713" width="12.7109375" style="16" customWidth="1"/>
    <col min="8714" max="8714" width="7.7109375" style="16" customWidth="1"/>
    <col min="8715" max="8715" width="12.28515625" style="16" customWidth="1"/>
    <col min="8716" max="8716" width="11.28515625" style="16" customWidth="1"/>
    <col min="8717" max="8717" width="8.28515625" style="16" customWidth="1"/>
    <col min="8718" max="8718" width="13.28515625" style="16" customWidth="1"/>
    <col min="8719" max="8719" width="11" style="16" customWidth="1"/>
    <col min="8720" max="8955" width="9.140625" style="16"/>
    <col min="8956" max="8956" width="3.7109375" style="16" customWidth="1"/>
    <col min="8957" max="8957" width="7.7109375" style="16" customWidth="1"/>
    <col min="8958" max="8958" width="23.28515625" style="16" customWidth="1"/>
    <col min="8959" max="8959" width="9.140625" style="16"/>
    <col min="8960" max="8961" width="12" style="16" customWidth="1"/>
    <col min="8962" max="8962" width="11.140625" style="16" customWidth="1"/>
    <col min="8963" max="8963" width="12" style="16" customWidth="1"/>
    <col min="8964" max="8964" width="11" style="16" customWidth="1"/>
    <col min="8965" max="8965" width="11.7109375" style="16" customWidth="1"/>
    <col min="8966" max="8966" width="8" style="16" customWidth="1"/>
    <col min="8967" max="8967" width="11.42578125" style="16" customWidth="1"/>
    <col min="8968" max="8969" width="12.7109375" style="16" customWidth="1"/>
    <col min="8970" max="8970" width="7.7109375" style="16" customWidth="1"/>
    <col min="8971" max="8971" width="12.28515625" style="16" customWidth="1"/>
    <col min="8972" max="8972" width="11.28515625" style="16" customWidth="1"/>
    <col min="8973" max="8973" width="8.28515625" style="16" customWidth="1"/>
    <col min="8974" max="8974" width="13.28515625" style="16" customWidth="1"/>
    <col min="8975" max="8975" width="11" style="16" customWidth="1"/>
    <col min="8976" max="9211" width="9.140625" style="16"/>
    <col min="9212" max="9212" width="3.7109375" style="16" customWidth="1"/>
    <col min="9213" max="9213" width="7.7109375" style="16" customWidth="1"/>
    <col min="9214" max="9214" width="23.28515625" style="16" customWidth="1"/>
    <col min="9215" max="9215" width="9.140625" style="16"/>
    <col min="9216" max="9217" width="12" style="16" customWidth="1"/>
    <col min="9218" max="9218" width="11.140625" style="16" customWidth="1"/>
    <col min="9219" max="9219" width="12" style="16" customWidth="1"/>
    <col min="9220" max="9220" width="11" style="16" customWidth="1"/>
    <col min="9221" max="9221" width="11.7109375" style="16" customWidth="1"/>
    <col min="9222" max="9222" width="8" style="16" customWidth="1"/>
    <col min="9223" max="9223" width="11.42578125" style="16" customWidth="1"/>
    <col min="9224" max="9225" width="12.7109375" style="16" customWidth="1"/>
    <col min="9226" max="9226" width="7.7109375" style="16" customWidth="1"/>
    <col min="9227" max="9227" width="12.28515625" style="16" customWidth="1"/>
    <col min="9228" max="9228" width="11.28515625" style="16" customWidth="1"/>
    <col min="9229" max="9229" width="8.28515625" style="16" customWidth="1"/>
    <col min="9230" max="9230" width="13.28515625" style="16" customWidth="1"/>
    <col min="9231" max="9231" width="11" style="16" customWidth="1"/>
    <col min="9232" max="9467" width="9.140625" style="16"/>
    <col min="9468" max="9468" width="3.7109375" style="16" customWidth="1"/>
    <col min="9469" max="9469" width="7.7109375" style="16" customWidth="1"/>
    <col min="9470" max="9470" width="23.28515625" style="16" customWidth="1"/>
    <col min="9471" max="9471" width="9.140625" style="16"/>
    <col min="9472" max="9473" width="12" style="16" customWidth="1"/>
    <col min="9474" max="9474" width="11.140625" style="16" customWidth="1"/>
    <col min="9475" max="9475" width="12" style="16" customWidth="1"/>
    <col min="9476" max="9476" width="11" style="16" customWidth="1"/>
    <col min="9477" max="9477" width="11.7109375" style="16" customWidth="1"/>
    <col min="9478" max="9478" width="8" style="16" customWidth="1"/>
    <col min="9479" max="9479" width="11.42578125" style="16" customWidth="1"/>
    <col min="9480" max="9481" width="12.7109375" style="16" customWidth="1"/>
    <col min="9482" max="9482" width="7.7109375" style="16" customWidth="1"/>
    <col min="9483" max="9483" width="12.28515625" style="16" customWidth="1"/>
    <col min="9484" max="9484" width="11.28515625" style="16" customWidth="1"/>
    <col min="9485" max="9485" width="8.28515625" style="16" customWidth="1"/>
    <col min="9486" max="9486" width="13.28515625" style="16" customWidth="1"/>
    <col min="9487" max="9487" width="11" style="16" customWidth="1"/>
    <col min="9488" max="9723" width="9.140625" style="16"/>
    <col min="9724" max="9724" width="3.7109375" style="16" customWidth="1"/>
    <col min="9725" max="9725" width="7.7109375" style="16" customWidth="1"/>
    <col min="9726" max="9726" width="23.28515625" style="16" customWidth="1"/>
    <col min="9727" max="9727" width="9.140625" style="16"/>
    <col min="9728" max="9729" width="12" style="16" customWidth="1"/>
    <col min="9730" max="9730" width="11.140625" style="16" customWidth="1"/>
    <col min="9731" max="9731" width="12" style="16" customWidth="1"/>
    <col min="9732" max="9732" width="11" style="16" customWidth="1"/>
    <col min="9733" max="9733" width="11.7109375" style="16" customWidth="1"/>
    <col min="9734" max="9734" width="8" style="16" customWidth="1"/>
    <col min="9735" max="9735" width="11.42578125" style="16" customWidth="1"/>
    <col min="9736" max="9737" width="12.7109375" style="16" customWidth="1"/>
    <col min="9738" max="9738" width="7.7109375" style="16" customWidth="1"/>
    <col min="9739" max="9739" width="12.28515625" style="16" customWidth="1"/>
    <col min="9740" max="9740" width="11.28515625" style="16" customWidth="1"/>
    <col min="9741" max="9741" width="8.28515625" style="16" customWidth="1"/>
    <col min="9742" max="9742" width="13.28515625" style="16" customWidth="1"/>
    <col min="9743" max="9743" width="11" style="16" customWidth="1"/>
    <col min="9744" max="9979" width="9.140625" style="16"/>
    <col min="9980" max="9980" width="3.7109375" style="16" customWidth="1"/>
    <col min="9981" max="9981" width="7.7109375" style="16" customWidth="1"/>
    <col min="9982" max="9982" width="23.28515625" style="16" customWidth="1"/>
    <col min="9983" max="9983" width="9.140625" style="16"/>
    <col min="9984" max="9985" width="12" style="16" customWidth="1"/>
    <col min="9986" max="9986" width="11.140625" style="16" customWidth="1"/>
    <col min="9987" max="9987" width="12" style="16" customWidth="1"/>
    <col min="9988" max="9988" width="11" style="16" customWidth="1"/>
    <col min="9989" max="9989" width="11.7109375" style="16" customWidth="1"/>
    <col min="9990" max="9990" width="8" style="16" customWidth="1"/>
    <col min="9991" max="9991" width="11.42578125" style="16" customWidth="1"/>
    <col min="9992" max="9993" width="12.7109375" style="16" customWidth="1"/>
    <col min="9994" max="9994" width="7.7109375" style="16" customWidth="1"/>
    <col min="9995" max="9995" width="12.28515625" style="16" customWidth="1"/>
    <col min="9996" max="9996" width="11.28515625" style="16" customWidth="1"/>
    <col min="9997" max="9997" width="8.28515625" style="16" customWidth="1"/>
    <col min="9998" max="9998" width="13.28515625" style="16" customWidth="1"/>
    <col min="9999" max="9999" width="11" style="16" customWidth="1"/>
    <col min="10000" max="10235" width="9.140625" style="16"/>
    <col min="10236" max="10236" width="3.7109375" style="16" customWidth="1"/>
    <col min="10237" max="10237" width="7.7109375" style="16" customWidth="1"/>
    <col min="10238" max="10238" width="23.28515625" style="16" customWidth="1"/>
    <col min="10239" max="10239" width="9.140625" style="16"/>
    <col min="10240" max="10241" width="12" style="16" customWidth="1"/>
    <col min="10242" max="10242" width="11.140625" style="16" customWidth="1"/>
    <col min="10243" max="10243" width="12" style="16" customWidth="1"/>
    <col min="10244" max="10244" width="11" style="16" customWidth="1"/>
    <col min="10245" max="10245" width="11.7109375" style="16" customWidth="1"/>
    <col min="10246" max="10246" width="8" style="16" customWidth="1"/>
    <col min="10247" max="10247" width="11.42578125" style="16" customWidth="1"/>
    <col min="10248" max="10249" width="12.7109375" style="16" customWidth="1"/>
    <col min="10250" max="10250" width="7.7109375" style="16" customWidth="1"/>
    <col min="10251" max="10251" width="12.28515625" style="16" customWidth="1"/>
    <col min="10252" max="10252" width="11.28515625" style="16" customWidth="1"/>
    <col min="10253" max="10253" width="8.28515625" style="16" customWidth="1"/>
    <col min="10254" max="10254" width="13.28515625" style="16" customWidth="1"/>
    <col min="10255" max="10255" width="11" style="16" customWidth="1"/>
    <col min="10256" max="10491" width="9.140625" style="16"/>
    <col min="10492" max="10492" width="3.7109375" style="16" customWidth="1"/>
    <col min="10493" max="10493" width="7.7109375" style="16" customWidth="1"/>
    <col min="10494" max="10494" width="23.28515625" style="16" customWidth="1"/>
    <col min="10495" max="10495" width="9.140625" style="16"/>
    <col min="10496" max="10497" width="12" style="16" customWidth="1"/>
    <col min="10498" max="10498" width="11.140625" style="16" customWidth="1"/>
    <col min="10499" max="10499" width="12" style="16" customWidth="1"/>
    <col min="10500" max="10500" width="11" style="16" customWidth="1"/>
    <col min="10501" max="10501" width="11.7109375" style="16" customWidth="1"/>
    <col min="10502" max="10502" width="8" style="16" customWidth="1"/>
    <col min="10503" max="10503" width="11.42578125" style="16" customWidth="1"/>
    <col min="10504" max="10505" width="12.7109375" style="16" customWidth="1"/>
    <col min="10506" max="10506" width="7.7109375" style="16" customWidth="1"/>
    <col min="10507" max="10507" width="12.28515625" style="16" customWidth="1"/>
    <col min="10508" max="10508" width="11.28515625" style="16" customWidth="1"/>
    <col min="10509" max="10509" width="8.28515625" style="16" customWidth="1"/>
    <col min="10510" max="10510" width="13.28515625" style="16" customWidth="1"/>
    <col min="10511" max="10511" width="11" style="16" customWidth="1"/>
    <col min="10512" max="10747" width="9.140625" style="16"/>
    <col min="10748" max="10748" width="3.7109375" style="16" customWidth="1"/>
    <col min="10749" max="10749" width="7.7109375" style="16" customWidth="1"/>
    <col min="10750" max="10750" width="23.28515625" style="16" customWidth="1"/>
    <col min="10751" max="10751" width="9.140625" style="16"/>
    <col min="10752" max="10753" width="12" style="16" customWidth="1"/>
    <col min="10754" max="10754" width="11.140625" style="16" customWidth="1"/>
    <col min="10755" max="10755" width="12" style="16" customWidth="1"/>
    <col min="10756" max="10756" width="11" style="16" customWidth="1"/>
    <col min="10757" max="10757" width="11.7109375" style="16" customWidth="1"/>
    <col min="10758" max="10758" width="8" style="16" customWidth="1"/>
    <col min="10759" max="10759" width="11.42578125" style="16" customWidth="1"/>
    <col min="10760" max="10761" width="12.7109375" style="16" customWidth="1"/>
    <col min="10762" max="10762" width="7.7109375" style="16" customWidth="1"/>
    <col min="10763" max="10763" width="12.28515625" style="16" customWidth="1"/>
    <col min="10764" max="10764" width="11.28515625" style="16" customWidth="1"/>
    <col min="10765" max="10765" width="8.28515625" style="16" customWidth="1"/>
    <col min="10766" max="10766" width="13.28515625" style="16" customWidth="1"/>
    <col min="10767" max="10767" width="11" style="16" customWidth="1"/>
    <col min="10768" max="11003" width="9.140625" style="16"/>
    <col min="11004" max="11004" width="3.7109375" style="16" customWidth="1"/>
    <col min="11005" max="11005" width="7.7109375" style="16" customWidth="1"/>
    <col min="11006" max="11006" width="23.28515625" style="16" customWidth="1"/>
    <col min="11007" max="11007" width="9.140625" style="16"/>
    <col min="11008" max="11009" width="12" style="16" customWidth="1"/>
    <col min="11010" max="11010" width="11.140625" style="16" customWidth="1"/>
    <col min="11011" max="11011" width="12" style="16" customWidth="1"/>
    <col min="11012" max="11012" width="11" style="16" customWidth="1"/>
    <col min="11013" max="11013" width="11.7109375" style="16" customWidth="1"/>
    <col min="11014" max="11014" width="8" style="16" customWidth="1"/>
    <col min="11015" max="11015" width="11.42578125" style="16" customWidth="1"/>
    <col min="11016" max="11017" width="12.7109375" style="16" customWidth="1"/>
    <col min="11018" max="11018" width="7.7109375" style="16" customWidth="1"/>
    <col min="11019" max="11019" width="12.28515625" style="16" customWidth="1"/>
    <col min="11020" max="11020" width="11.28515625" style="16" customWidth="1"/>
    <col min="11021" max="11021" width="8.28515625" style="16" customWidth="1"/>
    <col min="11022" max="11022" width="13.28515625" style="16" customWidth="1"/>
    <col min="11023" max="11023" width="11" style="16" customWidth="1"/>
    <col min="11024" max="11259" width="9.140625" style="16"/>
    <col min="11260" max="11260" width="3.7109375" style="16" customWidth="1"/>
    <col min="11261" max="11261" width="7.7109375" style="16" customWidth="1"/>
    <col min="11262" max="11262" width="23.28515625" style="16" customWidth="1"/>
    <col min="11263" max="11263" width="9.140625" style="16"/>
    <col min="11264" max="11265" width="12" style="16" customWidth="1"/>
    <col min="11266" max="11266" width="11.140625" style="16" customWidth="1"/>
    <col min="11267" max="11267" width="12" style="16" customWidth="1"/>
    <col min="11268" max="11268" width="11" style="16" customWidth="1"/>
    <col min="11269" max="11269" width="11.7109375" style="16" customWidth="1"/>
    <col min="11270" max="11270" width="8" style="16" customWidth="1"/>
    <col min="11271" max="11271" width="11.42578125" style="16" customWidth="1"/>
    <col min="11272" max="11273" width="12.7109375" style="16" customWidth="1"/>
    <col min="11274" max="11274" width="7.7109375" style="16" customWidth="1"/>
    <col min="11275" max="11275" width="12.28515625" style="16" customWidth="1"/>
    <col min="11276" max="11276" width="11.28515625" style="16" customWidth="1"/>
    <col min="11277" max="11277" width="8.28515625" style="16" customWidth="1"/>
    <col min="11278" max="11278" width="13.28515625" style="16" customWidth="1"/>
    <col min="11279" max="11279" width="11" style="16" customWidth="1"/>
    <col min="11280" max="11515" width="9.140625" style="16"/>
    <col min="11516" max="11516" width="3.7109375" style="16" customWidth="1"/>
    <col min="11517" max="11517" width="7.7109375" style="16" customWidth="1"/>
    <col min="11518" max="11518" width="23.28515625" style="16" customWidth="1"/>
    <col min="11519" max="11519" width="9.140625" style="16"/>
    <col min="11520" max="11521" width="12" style="16" customWidth="1"/>
    <col min="11522" max="11522" width="11.140625" style="16" customWidth="1"/>
    <col min="11523" max="11523" width="12" style="16" customWidth="1"/>
    <col min="11524" max="11524" width="11" style="16" customWidth="1"/>
    <col min="11525" max="11525" width="11.7109375" style="16" customWidth="1"/>
    <col min="11526" max="11526" width="8" style="16" customWidth="1"/>
    <col min="11527" max="11527" width="11.42578125" style="16" customWidth="1"/>
    <col min="11528" max="11529" width="12.7109375" style="16" customWidth="1"/>
    <col min="11530" max="11530" width="7.7109375" style="16" customWidth="1"/>
    <col min="11531" max="11531" width="12.28515625" style="16" customWidth="1"/>
    <col min="11532" max="11532" width="11.28515625" style="16" customWidth="1"/>
    <col min="11533" max="11533" width="8.28515625" style="16" customWidth="1"/>
    <col min="11534" max="11534" width="13.28515625" style="16" customWidth="1"/>
    <col min="11535" max="11535" width="11" style="16" customWidth="1"/>
    <col min="11536" max="11771" width="9.140625" style="16"/>
    <col min="11772" max="11772" width="3.7109375" style="16" customWidth="1"/>
    <col min="11773" max="11773" width="7.7109375" style="16" customWidth="1"/>
    <col min="11774" max="11774" width="23.28515625" style="16" customWidth="1"/>
    <col min="11775" max="11775" width="9.140625" style="16"/>
    <col min="11776" max="11777" width="12" style="16" customWidth="1"/>
    <col min="11778" max="11778" width="11.140625" style="16" customWidth="1"/>
    <col min="11779" max="11779" width="12" style="16" customWidth="1"/>
    <col min="11780" max="11780" width="11" style="16" customWidth="1"/>
    <col min="11781" max="11781" width="11.7109375" style="16" customWidth="1"/>
    <col min="11782" max="11782" width="8" style="16" customWidth="1"/>
    <col min="11783" max="11783" width="11.42578125" style="16" customWidth="1"/>
    <col min="11784" max="11785" width="12.7109375" style="16" customWidth="1"/>
    <col min="11786" max="11786" width="7.7109375" style="16" customWidth="1"/>
    <col min="11787" max="11787" width="12.28515625" style="16" customWidth="1"/>
    <col min="11788" max="11788" width="11.28515625" style="16" customWidth="1"/>
    <col min="11789" max="11789" width="8.28515625" style="16" customWidth="1"/>
    <col min="11790" max="11790" width="13.28515625" style="16" customWidth="1"/>
    <col min="11791" max="11791" width="11" style="16" customWidth="1"/>
    <col min="11792" max="12027" width="9.140625" style="16"/>
    <col min="12028" max="12028" width="3.7109375" style="16" customWidth="1"/>
    <col min="12029" max="12029" width="7.7109375" style="16" customWidth="1"/>
    <col min="12030" max="12030" width="23.28515625" style="16" customWidth="1"/>
    <col min="12031" max="12031" width="9.140625" style="16"/>
    <col min="12032" max="12033" width="12" style="16" customWidth="1"/>
    <col min="12034" max="12034" width="11.140625" style="16" customWidth="1"/>
    <col min="12035" max="12035" width="12" style="16" customWidth="1"/>
    <col min="12036" max="12036" width="11" style="16" customWidth="1"/>
    <col min="12037" max="12037" width="11.7109375" style="16" customWidth="1"/>
    <col min="12038" max="12038" width="8" style="16" customWidth="1"/>
    <col min="12039" max="12039" width="11.42578125" style="16" customWidth="1"/>
    <col min="12040" max="12041" width="12.7109375" style="16" customWidth="1"/>
    <col min="12042" max="12042" width="7.7109375" style="16" customWidth="1"/>
    <col min="12043" max="12043" width="12.28515625" style="16" customWidth="1"/>
    <col min="12044" max="12044" width="11.28515625" style="16" customWidth="1"/>
    <col min="12045" max="12045" width="8.28515625" style="16" customWidth="1"/>
    <col min="12046" max="12046" width="13.28515625" style="16" customWidth="1"/>
    <col min="12047" max="12047" width="11" style="16" customWidth="1"/>
    <col min="12048" max="12283" width="9.140625" style="16"/>
    <col min="12284" max="12284" width="3.7109375" style="16" customWidth="1"/>
    <col min="12285" max="12285" width="7.7109375" style="16" customWidth="1"/>
    <col min="12286" max="12286" width="23.28515625" style="16" customWidth="1"/>
    <col min="12287" max="12287" width="9.140625" style="16"/>
    <col min="12288" max="12289" width="12" style="16" customWidth="1"/>
    <col min="12290" max="12290" width="11.140625" style="16" customWidth="1"/>
    <col min="12291" max="12291" width="12" style="16" customWidth="1"/>
    <col min="12292" max="12292" width="11" style="16" customWidth="1"/>
    <col min="12293" max="12293" width="11.7109375" style="16" customWidth="1"/>
    <col min="12294" max="12294" width="8" style="16" customWidth="1"/>
    <col min="12295" max="12295" width="11.42578125" style="16" customWidth="1"/>
    <col min="12296" max="12297" width="12.7109375" style="16" customWidth="1"/>
    <col min="12298" max="12298" width="7.7109375" style="16" customWidth="1"/>
    <col min="12299" max="12299" width="12.28515625" style="16" customWidth="1"/>
    <col min="12300" max="12300" width="11.28515625" style="16" customWidth="1"/>
    <col min="12301" max="12301" width="8.28515625" style="16" customWidth="1"/>
    <col min="12302" max="12302" width="13.28515625" style="16" customWidth="1"/>
    <col min="12303" max="12303" width="11" style="16" customWidth="1"/>
    <col min="12304" max="12539" width="9.140625" style="16"/>
    <col min="12540" max="12540" width="3.7109375" style="16" customWidth="1"/>
    <col min="12541" max="12541" width="7.7109375" style="16" customWidth="1"/>
    <col min="12542" max="12542" width="23.28515625" style="16" customWidth="1"/>
    <col min="12543" max="12543" width="9.140625" style="16"/>
    <col min="12544" max="12545" width="12" style="16" customWidth="1"/>
    <col min="12546" max="12546" width="11.140625" style="16" customWidth="1"/>
    <col min="12547" max="12547" width="12" style="16" customWidth="1"/>
    <col min="12548" max="12548" width="11" style="16" customWidth="1"/>
    <col min="12549" max="12549" width="11.7109375" style="16" customWidth="1"/>
    <col min="12550" max="12550" width="8" style="16" customWidth="1"/>
    <col min="12551" max="12551" width="11.42578125" style="16" customWidth="1"/>
    <col min="12552" max="12553" width="12.7109375" style="16" customWidth="1"/>
    <col min="12554" max="12554" width="7.7109375" style="16" customWidth="1"/>
    <col min="12555" max="12555" width="12.28515625" style="16" customWidth="1"/>
    <col min="12556" max="12556" width="11.28515625" style="16" customWidth="1"/>
    <col min="12557" max="12557" width="8.28515625" style="16" customWidth="1"/>
    <col min="12558" max="12558" width="13.28515625" style="16" customWidth="1"/>
    <col min="12559" max="12559" width="11" style="16" customWidth="1"/>
    <col min="12560" max="12795" width="9.140625" style="16"/>
    <col min="12796" max="12796" width="3.7109375" style="16" customWidth="1"/>
    <col min="12797" max="12797" width="7.7109375" style="16" customWidth="1"/>
    <col min="12798" max="12798" width="23.28515625" style="16" customWidth="1"/>
    <col min="12799" max="12799" width="9.140625" style="16"/>
    <col min="12800" max="12801" width="12" style="16" customWidth="1"/>
    <col min="12802" max="12802" width="11.140625" style="16" customWidth="1"/>
    <col min="12803" max="12803" width="12" style="16" customWidth="1"/>
    <col min="12804" max="12804" width="11" style="16" customWidth="1"/>
    <col min="12805" max="12805" width="11.7109375" style="16" customWidth="1"/>
    <col min="12806" max="12806" width="8" style="16" customWidth="1"/>
    <col min="12807" max="12807" width="11.42578125" style="16" customWidth="1"/>
    <col min="12808" max="12809" width="12.7109375" style="16" customWidth="1"/>
    <col min="12810" max="12810" width="7.7109375" style="16" customWidth="1"/>
    <col min="12811" max="12811" width="12.28515625" style="16" customWidth="1"/>
    <col min="12812" max="12812" width="11.28515625" style="16" customWidth="1"/>
    <col min="12813" max="12813" width="8.28515625" style="16" customWidth="1"/>
    <col min="12814" max="12814" width="13.28515625" style="16" customWidth="1"/>
    <col min="12815" max="12815" width="11" style="16" customWidth="1"/>
    <col min="12816" max="13051" width="9.140625" style="16"/>
    <col min="13052" max="13052" width="3.7109375" style="16" customWidth="1"/>
    <col min="13053" max="13053" width="7.7109375" style="16" customWidth="1"/>
    <col min="13054" max="13054" width="23.28515625" style="16" customWidth="1"/>
    <col min="13055" max="13055" width="9.140625" style="16"/>
    <col min="13056" max="13057" width="12" style="16" customWidth="1"/>
    <col min="13058" max="13058" width="11.140625" style="16" customWidth="1"/>
    <col min="13059" max="13059" width="12" style="16" customWidth="1"/>
    <col min="13060" max="13060" width="11" style="16" customWidth="1"/>
    <col min="13061" max="13061" width="11.7109375" style="16" customWidth="1"/>
    <col min="13062" max="13062" width="8" style="16" customWidth="1"/>
    <col min="13063" max="13063" width="11.42578125" style="16" customWidth="1"/>
    <col min="13064" max="13065" width="12.7109375" style="16" customWidth="1"/>
    <col min="13066" max="13066" width="7.7109375" style="16" customWidth="1"/>
    <col min="13067" max="13067" width="12.28515625" style="16" customWidth="1"/>
    <col min="13068" max="13068" width="11.28515625" style="16" customWidth="1"/>
    <col min="13069" max="13069" width="8.28515625" style="16" customWidth="1"/>
    <col min="13070" max="13070" width="13.28515625" style="16" customWidth="1"/>
    <col min="13071" max="13071" width="11" style="16" customWidth="1"/>
    <col min="13072" max="13307" width="9.140625" style="16"/>
    <col min="13308" max="13308" width="3.7109375" style="16" customWidth="1"/>
    <col min="13309" max="13309" width="7.7109375" style="16" customWidth="1"/>
    <col min="13310" max="13310" width="23.28515625" style="16" customWidth="1"/>
    <col min="13311" max="13311" width="9.140625" style="16"/>
    <col min="13312" max="13313" width="12" style="16" customWidth="1"/>
    <col min="13314" max="13314" width="11.140625" style="16" customWidth="1"/>
    <col min="13315" max="13315" width="12" style="16" customWidth="1"/>
    <col min="13316" max="13316" width="11" style="16" customWidth="1"/>
    <col min="13317" max="13317" width="11.7109375" style="16" customWidth="1"/>
    <col min="13318" max="13318" width="8" style="16" customWidth="1"/>
    <col min="13319" max="13319" width="11.42578125" style="16" customWidth="1"/>
    <col min="13320" max="13321" width="12.7109375" style="16" customWidth="1"/>
    <col min="13322" max="13322" width="7.7109375" style="16" customWidth="1"/>
    <col min="13323" max="13323" width="12.28515625" style="16" customWidth="1"/>
    <col min="13324" max="13324" width="11.28515625" style="16" customWidth="1"/>
    <col min="13325" max="13325" width="8.28515625" style="16" customWidth="1"/>
    <col min="13326" max="13326" width="13.28515625" style="16" customWidth="1"/>
    <col min="13327" max="13327" width="11" style="16" customWidth="1"/>
    <col min="13328" max="13563" width="9.140625" style="16"/>
    <col min="13564" max="13564" width="3.7109375" style="16" customWidth="1"/>
    <col min="13565" max="13565" width="7.7109375" style="16" customWidth="1"/>
    <col min="13566" max="13566" width="23.28515625" style="16" customWidth="1"/>
    <col min="13567" max="13567" width="9.140625" style="16"/>
    <col min="13568" max="13569" width="12" style="16" customWidth="1"/>
    <col min="13570" max="13570" width="11.140625" style="16" customWidth="1"/>
    <col min="13571" max="13571" width="12" style="16" customWidth="1"/>
    <col min="13572" max="13572" width="11" style="16" customWidth="1"/>
    <col min="13573" max="13573" width="11.7109375" style="16" customWidth="1"/>
    <col min="13574" max="13574" width="8" style="16" customWidth="1"/>
    <col min="13575" max="13575" width="11.42578125" style="16" customWidth="1"/>
    <col min="13576" max="13577" width="12.7109375" style="16" customWidth="1"/>
    <col min="13578" max="13578" width="7.7109375" style="16" customWidth="1"/>
    <col min="13579" max="13579" width="12.28515625" style="16" customWidth="1"/>
    <col min="13580" max="13580" width="11.28515625" style="16" customWidth="1"/>
    <col min="13581" max="13581" width="8.28515625" style="16" customWidth="1"/>
    <col min="13582" max="13582" width="13.28515625" style="16" customWidth="1"/>
    <col min="13583" max="13583" width="11" style="16" customWidth="1"/>
    <col min="13584" max="13819" width="9.140625" style="16"/>
    <col min="13820" max="13820" width="3.7109375" style="16" customWidth="1"/>
    <col min="13821" max="13821" width="7.7109375" style="16" customWidth="1"/>
    <col min="13822" max="13822" width="23.28515625" style="16" customWidth="1"/>
    <col min="13823" max="13823" width="9.140625" style="16"/>
    <col min="13824" max="13825" width="12" style="16" customWidth="1"/>
    <col min="13826" max="13826" width="11.140625" style="16" customWidth="1"/>
    <col min="13827" max="13827" width="12" style="16" customWidth="1"/>
    <col min="13828" max="13828" width="11" style="16" customWidth="1"/>
    <col min="13829" max="13829" width="11.7109375" style="16" customWidth="1"/>
    <col min="13830" max="13830" width="8" style="16" customWidth="1"/>
    <col min="13831" max="13831" width="11.42578125" style="16" customWidth="1"/>
    <col min="13832" max="13833" width="12.7109375" style="16" customWidth="1"/>
    <col min="13834" max="13834" width="7.7109375" style="16" customWidth="1"/>
    <col min="13835" max="13835" width="12.28515625" style="16" customWidth="1"/>
    <col min="13836" max="13836" width="11.28515625" style="16" customWidth="1"/>
    <col min="13837" max="13837" width="8.28515625" style="16" customWidth="1"/>
    <col min="13838" max="13838" width="13.28515625" style="16" customWidth="1"/>
    <col min="13839" max="13839" width="11" style="16" customWidth="1"/>
    <col min="13840" max="14075" width="9.140625" style="16"/>
    <col min="14076" max="14076" width="3.7109375" style="16" customWidth="1"/>
    <col min="14077" max="14077" width="7.7109375" style="16" customWidth="1"/>
    <col min="14078" max="14078" width="23.28515625" style="16" customWidth="1"/>
    <col min="14079" max="14079" width="9.140625" style="16"/>
    <col min="14080" max="14081" width="12" style="16" customWidth="1"/>
    <col min="14082" max="14082" width="11.140625" style="16" customWidth="1"/>
    <col min="14083" max="14083" width="12" style="16" customWidth="1"/>
    <col min="14084" max="14084" width="11" style="16" customWidth="1"/>
    <col min="14085" max="14085" width="11.7109375" style="16" customWidth="1"/>
    <col min="14086" max="14086" width="8" style="16" customWidth="1"/>
    <col min="14087" max="14087" width="11.42578125" style="16" customWidth="1"/>
    <col min="14088" max="14089" width="12.7109375" style="16" customWidth="1"/>
    <col min="14090" max="14090" width="7.7109375" style="16" customWidth="1"/>
    <col min="14091" max="14091" width="12.28515625" style="16" customWidth="1"/>
    <col min="14092" max="14092" width="11.28515625" style="16" customWidth="1"/>
    <col min="14093" max="14093" width="8.28515625" style="16" customWidth="1"/>
    <col min="14094" max="14094" width="13.28515625" style="16" customWidth="1"/>
    <col min="14095" max="14095" width="11" style="16" customWidth="1"/>
    <col min="14096" max="14331" width="9.140625" style="16"/>
    <col min="14332" max="14332" width="3.7109375" style="16" customWidth="1"/>
    <col min="14333" max="14333" width="7.7109375" style="16" customWidth="1"/>
    <col min="14334" max="14334" width="23.28515625" style="16" customWidth="1"/>
    <col min="14335" max="14335" width="9.140625" style="16"/>
    <col min="14336" max="14337" width="12" style="16" customWidth="1"/>
    <col min="14338" max="14338" width="11.140625" style="16" customWidth="1"/>
    <col min="14339" max="14339" width="12" style="16" customWidth="1"/>
    <col min="14340" max="14340" width="11" style="16" customWidth="1"/>
    <col min="14341" max="14341" width="11.7109375" style="16" customWidth="1"/>
    <col min="14342" max="14342" width="8" style="16" customWidth="1"/>
    <col min="14343" max="14343" width="11.42578125" style="16" customWidth="1"/>
    <col min="14344" max="14345" width="12.7109375" style="16" customWidth="1"/>
    <col min="14346" max="14346" width="7.7109375" style="16" customWidth="1"/>
    <col min="14347" max="14347" width="12.28515625" style="16" customWidth="1"/>
    <col min="14348" max="14348" width="11.28515625" style="16" customWidth="1"/>
    <col min="14349" max="14349" width="8.28515625" style="16" customWidth="1"/>
    <col min="14350" max="14350" width="13.28515625" style="16" customWidth="1"/>
    <col min="14351" max="14351" width="11" style="16" customWidth="1"/>
    <col min="14352" max="14587" width="9.140625" style="16"/>
    <col min="14588" max="14588" width="3.7109375" style="16" customWidth="1"/>
    <col min="14589" max="14589" width="7.7109375" style="16" customWidth="1"/>
    <col min="14590" max="14590" width="23.28515625" style="16" customWidth="1"/>
    <col min="14591" max="14591" width="9.140625" style="16"/>
    <col min="14592" max="14593" width="12" style="16" customWidth="1"/>
    <col min="14594" max="14594" width="11.140625" style="16" customWidth="1"/>
    <col min="14595" max="14595" width="12" style="16" customWidth="1"/>
    <col min="14596" max="14596" width="11" style="16" customWidth="1"/>
    <col min="14597" max="14597" width="11.7109375" style="16" customWidth="1"/>
    <col min="14598" max="14598" width="8" style="16" customWidth="1"/>
    <col min="14599" max="14599" width="11.42578125" style="16" customWidth="1"/>
    <col min="14600" max="14601" width="12.7109375" style="16" customWidth="1"/>
    <col min="14602" max="14602" width="7.7109375" style="16" customWidth="1"/>
    <col min="14603" max="14603" width="12.28515625" style="16" customWidth="1"/>
    <col min="14604" max="14604" width="11.28515625" style="16" customWidth="1"/>
    <col min="14605" max="14605" width="8.28515625" style="16" customWidth="1"/>
    <col min="14606" max="14606" width="13.28515625" style="16" customWidth="1"/>
    <col min="14607" max="14607" width="11" style="16" customWidth="1"/>
    <col min="14608" max="14843" width="9.140625" style="16"/>
    <col min="14844" max="14844" width="3.7109375" style="16" customWidth="1"/>
    <col min="14845" max="14845" width="7.7109375" style="16" customWidth="1"/>
    <col min="14846" max="14846" width="23.28515625" style="16" customWidth="1"/>
    <col min="14847" max="14847" width="9.140625" style="16"/>
    <col min="14848" max="14849" width="12" style="16" customWidth="1"/>
    <col min="14850" max="14850" width="11.140625" style="16" customWidth="1"/>
    <col min="14851" max="14851" width="12" style="16" customWidth="1"/>
    <col min="14852" max="14852" width="11" style="16" customWidth="1"/>
    <col min="14853" max="14853" width="11.7109375" style="16" customWidth="1"/>
    <col min="14854" max="14854" width="8" style="16" customWidth="1"/>
    <col min="14855" max="14855" width="11.42578125" style="16" customWidth="1"/>
    <col min="14856" max="14857" width="12.7109375" style="16" customWidth="1"/>
    <col min="14858" max="14858" width="7.7109375" style="16" customWidth="1"/>
    <col min="14859" max="14859" width="12.28515625" style="16" customWidth="1"/>
    <col min="14860" max="14860" width="11.28515625" style="16" customWidth="1"/>
    <col min="14861" max="14861" width="8.28515625" style="16" customWidth="1"/>
    <col min="14862" max="14862" width="13.28515625" style="16" customWidth="1"/>
    <col min="14863" max="14863" width="11" style="16" customWidth="1"/>
    <col min="14864" max="15099" width="9.140625" style="16"/>
    <col min="15100" max="15100" width="3.7109375" style="16" customWidth="1"/>
    <col min="15101" max="15101" width="7.7109375" style="16" customWidth="1"/>
    <col min="15102" max="15102" width="23.28515625" style="16" customWidth="1"/>
    <col min="15103" max="15103" width="9.140625" style="16"/>
    <col min="15104" max="15105" width="12" style="16" customWidth="1"/>
    <col min="15106" max="15106" width="11.140625" style="16" customWidth="1"/>
    <col min="15107" max="15107" width="12" style="16" customWidth="1"/>
    <col min="15108" max="15108" width="11" style="16" customWidth="1"/>
    <col min="15109" max="15109" width="11.7109375" style="16" customWidth="1"/>
    <col min="15110" max="15110" width="8" style="16" customWidth="1"/>
    <col min="15111" max="15111" width="11.42578125" style="16" customWidth="1"/>
    <col min="15112" max="15113" width="12.7109375" style="16" customWidth="1"/>
    <col min="15114" max="15114" width="7.7109375" style="16" customWidth="1"/>
    <col min="15115" max="15115" width="12.28515625" style="16" customWidth="1"/>
    <col min="15116" max="15116" width="11.28515625" style="16" customWidth="1"/>
    <col min="15117" max="15117" width="8.28515625" style="16" customWidth="1"/>
    <col min="15118" max="15118" width="13.28515625" style="16" customWidth="1"/>
    <col min="15119" max="15119" width="11" style="16" customWidth="1"/>
    <col min="15120" max="15355" width="9.140625" style="16"/>
    <col min="15356" max="15356" width="3.7109375" style="16" customWidth="1"/>
    <col min="15357" max="15357" width="7.7109375" style="16" customWidth="1"/>
    <col min="15358" max="15358" width="23.28515625" style="16" customWidth="1"/>
    <col min="15359" max="15359" width="9.140625" style="16"/>
    <col min="15360" max="15361" width="12" style="16" customWidth="1"/>
    <col min="15362" max="15362" width="11.140625" style="16" customWidth="1"/>
    <col min="15363" max="15363" width="12" style="16" customWidth="1"/>
    <col min="15364" max="15364" width="11" style="16" customWidth="1"/>
    <col min="15365" max="15365" width="11.7109375" style="16" customWidth="1"/>
    <col min="15366" max="15366" width="8" style="16" customWidth="1"/>
    <col min="15367" max="15367" width="11.42578125" style="16" customWidth="1"/>
    <col min="15368" max="15369" width="12.7109375" style="16" customWidth="1"/>
    <col min="15370" max="15370" width="7.7109375" style="16" customWidth="1"/>
    <col min="15371" max="15371" width="12.28515625" style="16" customWidth="1"/>
    <col min="15372" max="15372" width="11.28515625" style="16" customWidth="1"/>
    <col min="15373" max="15373" width="8.28515625" style="16" customWidth="1"/>
    <col min="15374" max="15374" width="13.28515625" style="16" customWidth="1"/>
    <col min="15375" max="15375" width="11" style="16" customWidth="1"/>
    <col min="15376" max="15611" width="9.140625" style="16"/>
    <col min="15612" max="15612" width="3.7109375" style="16" customWidth="1"/>
    <col min="15613" max="15613" width="7.7109375" style="16" customWidth="1"/>
    <col min="15614" max="15614" width="23.28515625" style="16" customWidth="1"/>
    <col min="15615" max="15615" width="9.140625" style="16"/>
    <col min="15616" max="15617" width="12" style="16" customWidth="1"/>
    <col min="15618" max="15618" width="11.140625" style="16" customWidth="1"/>
    <col min="15619" max="15619" width="12" style="16" customWidth="1"/>
    <col min="15620" max="15620" width="11" style="16" customWidth="1"/>
    <col min="15621" max="15621" width="11.7109375" style="16" customWidth="1"/>
    <col min="15622" max="15622" width="8" style="16" customWidth="1"/>
    <col min="15623" max="15623" width="11.42578125" style="16" customWidth="1"/>
    <col min="15624" max="15625" width="12.7109375" style="16" customWidth="1"/>
    <col min="15626" max="15626" width="7.7109375" style="16" customWidth="1"/>
    <col min="15627" max="15627" width="12.28515625" style="16" customWidth="1"/>
    <col min="15628" max="15628" width="11.28515625" style="16" customWidth="1"/>
    <col min="15629" max="15629" width="8.28515625" style="16" customWidth="1"/>
    <col min="15630" max="15630" width="13.28515625" style="16" customWidth="1"/>
    <col min="15631" max="15631" width="11" style="16" customWidth="1"/>
    <col min="15632" max="15867" width="9.140625" style="16"/>
    <col min="15868" max="15868" width="3.7109375" style="16" customWidth="1"/>
    <col min="15869" max="15869" width="7.7109375" style="16" customWidth="1"/>
    <col min="15870" max="15870" width="23.28515625" style="16" customWidth="1"/>
    <col min="15871" max="15871" width="9.140625" style="16"/>
    <col min="15872" max="15873" width="12" style="16" customWidth="1"/>
    <col min="15874" max="15874" width="11.140625" style="16" customWidth="1"/>
    <col min="15875" max="15875" width="12" style="16" customWidth="1"/>
    <col min="15876" max="15876" width="11" style="16" customWidth="1"/>
    <col min="15877" max="15877" width="11.7109375" style="16" customWidth="1"/>
    <col min="15878" max="15878" width="8" style="16" customWidth="1"/>
    <col min="15879" max="15879" width="11.42578125" style="16" customWidth="1"/>
    <col min="15880" max="15881" width="12.7109375" style="16" customWidth="1"/>
    <col min="15882" max="15882" width="7.7109375" style="16" customWidth="1"/>
    <col min="15883" max="15883" width="12.28515625" style="16" customWidth="1"/>
    <col min="15884" max="15884" width="11.28515625" style="16" customWidth="1"/>
    <col min="15885" max="15885" width="8.28515625" style="16" customWidth="1"/>
    <col min="15886" max="15886" width="13.28515625" style="16" customWidth="1"/>
    <col min="15887" max="15887" width="11" style="16" customWidth="1"/>
    <col min="15888" max="16123" width="9.140625" style="16"/>
    <col min="16124" max="16124" width="3.7109375" style="16" customWidth="1"/>
    <col min="16125" max="16125" width="7.7109375" style="16" customWidth="1"/>
    <col min="16126" max="16126" width="23.28515625" style="16" customWidth="1"/>
    <col min="16127" max="16127" width="9.140625" style="16"/>
    <col min="16128" max="16129" width="12" style="16" customWidth="1"/>
    <col min="16130" max="16130" width="11.140625" style="16" customWidth="1"/>
    <col min="16131" max="16131" width="12" style="16" customWidth="1"/>
    <col min="16132" max="16132" width="11" style="16" customWidth="1"/>
    <col min="16133" max="16133" width="11.7109375" style="16" customWidth="1"/>
    <col min="16134" max="16134" width="8" style="16" customWidth="1"/>
    <col min="16135" max="16135" width="11.42578125" style="16" customWidth="1"/>
    <col min="16136" max="16137" width="12.7109375" style="16" customWidth="1"/>
    <col min="16138" max="16138" width="7.7109375" style="16" customWidth="1"/>
    <col min="16139" max="16139" width="12.28515625" style="16" customWidth="1"/>
    <col min="16140" max="16140" width="11.28515625" style="16" customWidth="1"/>
    <col min="16141" max="16141" width="8.28515625" style="16" customWidth="1"/>
    <col min="16142" max="16142" width="13.28515625" style="16" customWidth="1"/>
    <col min="16143" max="16143" width="11" style="16" customWidth="1"/>
    <col min="16144" max="16384" width="9.140625" style="16"/>
  </cols>
  <sheetData>
    <row r="1" spans="1:20" s="443" customFormat="1" ht="15.75" x14ac:dyDescent="0.25">
      <c r="A1" s="727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</row>
    <row r="3" spans="1:20" x14ac:dyDescent="0.2">
      <c r="A3" s="1435" t="s">
        <v>0</v>
      </c>
      <c r="B3" s="1436" t="s">
        <v>1</v>
      </c>
      <c r="C3" s="1439" t="s">
        <v>2</v>
      </c>
      <c r="D3" s="1442" t="s">
        <v>717</v>
      </c>
      <c r="E3" s="1445" t="s">
        <v>718</v>
      </c>
      <c r="F3" s="1446"/>
      <c r="G3" s="1446"/>
      <c r="H3" s="1446"/>
      <c r="I3" s="1446"/>
      <c r="J3" s="1447"/>
      <c r="K3" s="1453" t="s">
        <v>719</v>
      </c>
      <c r="L3" s="1453"/>
      <c r="M3" s="1453"/>
      <c r="N3" s="1453"/>
      <c r="O3" s="1453"/>
      <c r="P3" s="1453"/>
      <c r="Q3" s="1453"/>
      <c r="R3" s="1453"/>
      <c r="S3" s="1453"/>
      <c r="T3" s="1453"/>
    </row>
    <row r="4" spans="1:20" ht="21.75" customHeight="1" x14ac:dyDescent="0.2">
      <c r="A4" s="1435"/>
      <c r="B4" s="1437"/>
      <c r="C4" s="1440"/>
      <c r="D4" s="1443"/>
      <c r="E4" s="1454" t="s">
        <v>720</v>
      </c>
      <c r="F4" s="1455"/>
      <c r="G4" s="1458" t="s">
        <v>721</v>
      </c>
      <c r="H4" s="1458"/>
      <c r="I4" s="1458"/>
      <c r="J4" s="1458"/>
      <c r="K4" s="1459" t="s">
        <v>6</v>
      </c>
      <c r="L4" s="1279" t="s">
        <v>722</v>
      </c>
      <c r="M4" s="1279"/>
      <c r="N4" s="1279"/>
      <c r="O4" s="1462" t="s">
        <v>720</v>
      </c>
      <c r="P4" s="1463"/>
      <c r="Q4" s="1463"/>
      <c r="R4" s="1463"/>
      <c r="S4" s="1463"/>
      <c r="T4" s="1464"/>
    </row>
    <row r="5" spans="1:20" ht="21.75" customHeight="1" x14ac:dyDescent="0.2">
      <c r="A5" s="1435"/>
      <c r="B5" s="1437"/>
      <c r="C5" s="1440"/>
      <c r="D5" s="1443"/>
      <c r="E5" s="1456"/>
      <c r="F5" s="1457"/>
      <c r="G5" s="1458"/>
      <c r="H5" s="1458"/>
      <c r="I5" s="1458"/>
      <c r="J5" s="1458"/>
      <c r="K5" s="1460"/>
      <c r="L5" s="720" t="s">
        <v>723</v>
      </c>
      <c r="M5" s="1279" t="s">
        <v>721</v>
      </c>
      <c r="N5" s="1279"/>
      <c r="O5" s="1465"/>
      <c r="P5" s="1466"/>
      <c r="Q5" s="1466"/>
      <c r="R5" s="1466"/>
      <c r="S5" s="1466"/>
      <c r="T5" s="1467"/>
    </row>
    <row r="6" spans="1:20" ht="27" customHeight="1" x14ac:dyDescent="0.2">
      <c r="A6" s="1435"/>
      <c r="B6" s="1437"/>
      <c r="C6" s="1440"/>
      <c r="D6" s="1443"/>
      <c r="E6" s="1449" t="s">
        <v>724</v>
      </c>
      <c r="F6" s="1451" t="s">
        <v>725</v>
      </c>
      <c r="G6" s="1449" t="s">
        <v>726</v>
      </c>
      <c r="H6" s="1448" t="s">
        <v>724</v>
      </c>
      <c r="I6" s="1448" t="s">
        <v>727</v>
      </c>
      <c r="J6" s="1448"/>
      <c r="K6" s="1460"/>
      <c r="L6" s="1451" t="s">
        <v>724</v>
      </c>
      <c r="M6" s="1451" t="s">
        <v>728</v>
      </c>
      <c r="N6" s="1449" t="s">
        <v>726</v>
      </c>
      <c r="O6" s="1468" t="s">
        <v>588</v>
      </c>
      <c r="P6" s="1451" t="s">
        <v>725</v>
      </c>
      <c r="Q6" s="1451" t="s">
        <v>728</v>
      </c>
      <c r="R6" s="1451" t="s">
        <v>729</v>
      </c>
      <c r="S6" s="1448" t="s">
        <v>730</v>
      </c>
      <c r="T6" s="1449" t="s">
        <v>726</v>
      </c>
    </row>
    <row r="7" spans="1:20" ht="33.75" customHeight="1" x14ac:dyDescent="0.2">
      <c r="A7" s="1435"/>
      <c r="B7" s="1438"/>
      <c r="C7" s="1441"/>
      <c r="D7" s="1444"/>
      <c r="E7" s="1450"/>
      <c r="F7" s="1452"/>
      <c r="G7" s="1450"/>
      <c r="H7" s="1448"/>
      <c r="I7" s="721" t="s">
        <v>731</v>
      </c>
      <c r="J7" s="721" t="s">
        <v>732</v>
      </c>
      <c r="K7" s="1461"/>
      <c r="L7" s="1452"/>
      <c r="M7" s="1452"/>
      <c r="N7" s="1450"/>
      <c r="O7" s="1469"/>
      <c r="P7" s="1452"/>
      <c r="Q7" s="1452"/>
      <c r="R7" s="1452"/>
      <c r="S7" s="1448"/>
      <c r="T7" s="1450"/>
    </row>
    <row r="8" spans="1:20" ht="15" customHeight="1" x14ac:dyDescent="0.2">
      <c r="A8" s="445">
        <v>1</v>
      </c>
      <c r="B8" s="446" t="s">
        <v>258</v>
      </c>
      <c r="C8" s="447" t="s">
        <v>518</v>
      </c>
      <c r="D8" s="448">
        <f>E8+G8+H8+I8+J8+K8+F8</f>
        <v>2608</v>
      </c>
      <c r="E8" s="720"/>
      <c r="F8" s="720"/>
      <c r="G8" s="720">
        <f>50-50+100</f>
        <v>100</v>
      </c>
      <c r="H8" s="720">
        <v>350</v>
      </c>
      <c r="I8" s="720">
        <v>30</v>
      </c>
      <c r="J8" s="720">
        <f>20-2</f>
        <v>18</v>
      </c>
      <c r="K8" s="448">
        <f>L8+M8+O8+N8</f>
        <v>2110</v>
      </c>
      <c r="L8" s="449">
        <v>500</v>
      </c>
      <c r="M8" s="720">
        <v>1300</v>
      </c>
      <c r="N8" s="720">
        <f>0+50</f>
        <v>50</v>
      </c>
      <c r="O8" s="448">
        <f>P8+Q8+R8+T8+S8</f>
        <v>260</v>
      </c>
      <c r="P8" s="720"/>
      <c r="Q8" s="720"/>
      <c r="R8" s="720"/>
      <c r="S8" s="720"/>
      <c r="T8" s="720">
        <f>360+50-50-100</f>
        <v>260</v>
      </c>
    </row>
    <row r="9" spans="1:20" x14ac:dyDescent="0.2">
      <c r="A9" s="445">
        <v>2</v>
      </c>
      <c r="B9" s="450" t="s">
        <v>264</v>
      </c>
      <c r="C9" s="451" t="s">
        <v>265</v>
      </c>
      <c r="D9" s="448">
        <f t="shared" ref="D9:D23" si="0">E9+G9+H9+I9+J9+K9+F9</f>
        <v>3684</v>
      </c>
      <c r="E9" s="720"/>
      <c r="F9" s="720"/>
      <c r="G9" s="720">
        <v>80</v>
      </c>
      <c r="H9" s="720">
        <v>20</v>
      </c>
      <c r="I9" s="720"/>
      <c r="J9" s="720"/>
      <c r="K9" s="448">
        <f t="shared" ref="K9:K22" si="1">L9+M9+O9</f>
        <v>3584</v>
      </c>
      <c r="L9" s="452"/>
      <c r="M9" s="452"/>
      <c r="N9" s="452"/>
      <c r="O9" s="448">
        <f>P9+Q9+R9+T9+S9</f>
        <v>3584</v>
      </c>
      <c r="P9" s="720"/>
      <c r="Q9" s="720">
        <f>864-324-70</f>
        <v>470</v>
      </c>
      <c r="R9" s="720">
        <f>384-144-39</f>
        <v>201</v>
      </c>
      <c r="S9" s="720">
        <f>360-132</f>
        <v>228</v>
      </c>
      <c r="T9" s="720">
        <f>2880-195</f>
        <v>2685</v>
      </c>
    </row>
    <row r="10" spans="1:20" x14ac:dyDescent="0.2">
      <c r="A10" s="445">
        <v>3</v>
      </c>
      <c r="B10" s="446" t="s">
        <v>262</v>
      </c>
      <c r="C10" s="451" t="s">
        <v>263</v>
      </c>
      <c r="D10" s="448">
        <f t="shared" si="0"/>
        <v>90</v>
      </c>
      <c r="E10" s="720"/>
      <c r="F10" s="720"/>
      <c r="G10" s="720">
        <v>20</v>
      </c>
      <c r="H10" s="720"/>
      <c r="I10" s="720">
        <v>70</v>
      </c>
      <c r="J10" s="720"/>
      <c r="K10" s="448">
        <f t="shared" si="1"/>
        <v>0</v>
      </c>
      <c r="L10" s="452"/>
      <c r="M10" s="452"/>
      <c r="N10" s="452"/>
      <c r="O10" s="448">
        <f t="shared" ref="O10:O19" si="2">P10+Q10+R10+T10+S10</f>
        <v>0</v>
      </c>
      <c r="P10" s="720"/>
      <c r="Q10" s="720"/>
      <c r="R10" s="720"/>
      <c r="S10" s="720"/>
      <c r="T10" s="720"/>
    </row>
    <row r="11" spans="1:20" x14ac:dyDescent="0.2">
      <c r="A11" s="445">
        <v>4</v>
      </c>
      <c r="B11" s="453" t="s">
        <v>276</v>
      </c>
      <c r="C11" s="451" t="s">
        <v>277</v>
      </c>
      <c r="D11" s="448">
        <f t="shared" si="0"/>
        <v>18</v>
      </c>
      <c r="E11" s="720"/>
      <c r="F11" s="720"/>
      <c r="G11" s="720"/>
      <c r="H11" s="720"/>
      <c r="I11" s="720">
        <v>18</v>
      </c>
      <c r="J11" s="720"/>
      <c r="K11" s="448">
        <f t="shared" si="1"/>
        <v>0</v>
      </c>
      <c r="L11" s="452"/>
      <c r="M11" s="452"/>
      <c r="N11" s="452"/>
      <c r="O11" s="448">
        <f t="shared" si="2"/>
        <v>0</v>
      </c>
      <c r="P11" s="720"/>
      <c r="Q11" s="720"/>
      <c r="R11" s="720"/>
      <c r="S11" s="720"/>
      <c r="T11" s="720"/>
    </row>
    <row r="12" spans="1:20" x14ac:dyDescent="0.2">
      <c r="A12" s="445">
        <v>5</v>
      </c>
      <c r="B12" s="454" t="s">
        <v>278</v>
      </c>
      <c r="C12" s="451" t="s">
        <v>664</v>
      </c>
      <c r="D12" s="448">
        <f t="shared" si="0"/>
        <v>35</v>
      </c>
      <c r="E12" s="720"/>
      <c r="F12" s="720"/>
      <c r="G12" s="720"/>
      <c r="H12" s="720"/>
      <c r="I12" s="720">
        <f>20+15</f>
        <v>35</v>
      </c>
      <c r="J12" s="720"/>
      <c r="K12" s="448">
        <f t="shared" si="1"/>
        <v>0</v>
      </c>
      <c r="L12" s="452"/>
      <c r="M12" s="452"/>
      <c r="N12" s="452"/>
      <c r="O12" s="448">
        <f t="shared" si="2"/>
        <v>0</v>
      </c>
      <c r="P12" s="720"/>
      <c r="Q12" s="720"/>
      <c r="R12" s="720"/>
      <c r="S12" s="720"/>
      <c r="T12" s="720"/>
    </row>
    <row r="13" spans="1:20" x14ac:dyDescent="0.2">
      <c r="A13" s="445">
        <v>6</v>
      </c>
      <c r="B13" s="450" t="s">
        <v>280</v>
      </c>
      <c r="C13" s="447" t="s">
        <v>281</v>
      </c>
      <c r="D13" s="448">
        <v>30</v>
      </c>
      <c r="E13" s="720"/>
      <c r="F13" s="720"/>
      <c r="G13" s="720"/>
      <c r="H13" s="720"/>
      <c r="I13" s="720">
        <v>50</v>
      </c>
      <c r="J13" s="720"/>
      <c r="K13" s="448">
        <f t="shared" si="1"/>
        <v>0</v>
      </c>
      <c r="L13" s="452"/>
      <c r="M13" s="452"/>
      <c r="N13" s="452"/>
      <c r="O13" s="448">
        <f t="shared" si="2"/>
        <v>0</v>
      </c>
      <c r="P13" s="720"/>
      <c r="Q13" s="720"/>
      <c r="R13" s="720"/>
      <c r="S13" s="720"/>
      <c r="T13" s="720"/>
    </row>
    <row r="14" spans="1:20" x14ac:dyDescent="0.2">
      <c r="A14" s="445">
        <v>7</v>
      </c>
      <c r="B14" s="450" t="s">
        <v>173</v>
      </c>
      <c r="C14" s="451" t="s">
        <v>733</v>
      </c>
      <c r="D14" s="448">
        <f t="shared" si="0"/>
        <v>156</v>
      </c>
      <c r="E14" s="720"/>
      <c r="F14" s="720"/>
      <c r="G14" s="720"/>
      <c r="H14" s="720"/>
      <c r="I14" s="720">
        <f>160-4</f>
        <v>156</v>
      </c>
      <c r="J14" s="720"/>
      <c r="K14" s="448">
        <f t="shared" si="1"/>
        <v>0</v>
      </c>
      <c r="L14" s="452"/>
      <c r="M14" s="452"/>
      <c r="N14" s="452"/>
      <c r="O14" s="448">
        <f t="shared" si="2"/>
        <v>0</v>
      </c>
      <c r="P14" s="720"/>
      <c r="Q14" s="720"/>
      <c r="R14" s="720"/>
      <c r="S14" s="720"/>
      <c r="T14" s="720"/>
    </row>
    <row r="15" spans="1:20" x14ac:dyDescent="0.2">
      <c r="A15" s="445">
        <v>8</v>
      </c>
      <c r="B15" s="446" t="s">
        <v>26</v>
      </c>
      <c r="C15" s="451" t="s">
        <v>653</v>
      </c>
      <c r="D15" s="448">
        <f t="shared" si="0"/>
        <v>15</v>
      </c>
      <c r="E15" s="720"/>
      <c r="F15" s="720"/>
      <c r="G15" s="720"/>
      <c r="H15" s="720"/>
      <c r="I15" s="720">
        <v>15</v>
      </c>
      <c r="J15" s="720"/>
      <c r="K15" s="448">
        <f t="shared" si="1"/>
        <v>0</v>
      </c>
      <c r="L15" s="452"/>
      <c r="M15" s="452"/>
      <c r="N15" s="452"/>
      <c r="O15" s="448">
        <f t="shared" si="2"/>
        <v>0</v>
      </c>
      <c r="P15" s="720"/>
      <c r="Q15" s="720"/>
      <c r="R15" s="720"/>
      <c r="S15" s="720"/>
      <c r="T15" s="720"/>
    </row>
    <row r="16" spans="1:20" ht="13.5" customHeight="1" x14ac:dyDescent="0.2">
      <c r="A16" s="445">
        <v>9</v>
      </c>
      <c r="B16" s="450" t="s">
        <v>66</v>
      </c>
      <c r="C16" s="447" t="s">
        <v>479</v>
      </c>
      <c r="D16" s="448">
        <f t="shared" si="0"/>
        <v>94</v>
      </c>
      <c r="E16" s="720"/>
      <c r="F16" s="720"/>
      <c r="G16" s="720"/>
      <c r="H16" s="720">
        <v>75</v>
      </c>
      <c r="I16" s="720">
        <f>12+5</f>
        <v>17</v>
      </c>
      <c r="J16" s="720">
        <f>0+2</f>
        <v>2</v>
      </c>
      <c r="K16" s="448">
        <f t="shared" si="1"/>
        <v>0</v>
      </c>
      <c r="L16" s="452"/>
      <c r="M16" s="452"/>
      <c r="N16" s="452"/>
      <c r="O16" s="448">
        <f t="shared" si="2"/>
        <v>0</v>
      </c>
      <c r="P16" s="720"/>
      <c r="Q16" s="720"/>
      <c r="R16" s="720"/>
      <c r="S16" s="720"/>
      <c r="T16" s="720"/>
    </row>
    <row r="17" spans="1:20" ht="13.5" customHeight="1" x14ac:dyDescent="0.2">
      <c r="A17" s="445">
        <v>10</v>
      </c>
      <c r="B17" s="450" t="s">
        <v>68</v>
      </c>
      <c r="C17" s="447" t="s">
        <v>734</v>
      </c>
      <c r="D17" s="448">
        <f t="shared" si="0"/>
        <v>0</v>
      </c>
      <c r="E17" s="720"/>
      <c r="F17" s="720"/>
      <c r="G17" s="720"/>
      <c r="H17" s="720"/>
      <c r="I17" s="720">
        <f>20-20</f>
        <v>0</v>
      </c>
      <c r="J17" s="720"/>
      <c r="K17" s="448">
        <f t="shared" si="1"/>
        <v>0</v>
      </c>
      <c r="L17" s="452"/>
      <c r="M17" s="452"/>
      <c r="N17" s="452"/>
      <c r="O17" s="448">
        <f t="shared" si="2"/>
        <v>0</v>
      </c>
      <c r="P17" s="720"/>
      <c r="Q17" s="720"/>
      <c r="R17" s="720"/>
      <c r="S17" s="720"/>
      <c r="T17" s="720"/>
    </row>
    <row r="18" spans="1:20" ht="13.5" customHeight="1" x14ac:dyDescent="0.2">
      <c r="A18" s="445">
        <v>11</v>
      </c>
      <c r="B18" s="450" t="s">
        <v>117</v>
      </c>
      <c r="C18" s="447" t="s">
        <v>118</v>
      </c>
      <c r="D18" s="448">
        <f t="shared" si="0"/>
        <v>8</v>
      </c>
      <c r="E18" s="720"/>
      <c r="F18" s="720"/>
      <c r="G18" s="720"/>
      <c r="H18" s="720"/>
      <c r="I18" s="720">
        <f>0+4+4</f>
        <v>8</v>
      </c>
      <c r="J18" s="720"/>
      <c r="K18" s="448">
        <f t="shared" si="1"/>
        <v>0</v>
      </c>
      <c r="L18" s="452"/>
      <c r="M18" s="452"/>
      <c r="N18" s="452"/>
      <c r="O18" s="448">
        <f t="shared" si="2"/>
        <v>0</v>
      </c>
      <c r="P18" s="720"/>
      <c r="Q18" s="720"/>
      <c r="R18" s="720"/>
      <c r="S18" s="720"/>
      <c r="T18" s="720"/>
    </row>
    <row r="19" spans="1:20" x14ac:dyDescent="0.2">
      <c r="A19" s="445">
        <v>12</v>
      </c>
      <c r="B19" s="446" t="s">
        <v>221</v>
      </c>
      <c r="C19" s="451" t="s">
        <v>735</v>
      </c>
      <c r="D19" s="448">
        <f t="shared" si="0"/>
        <v>3803</v>
      </c>
      <c r="E19" s="720"/>
      <c r="F19" s="720"/>
      <c r="G19" s="720"/>
      <c r="H19" s="720"/>
      <c r="I19" s="720"/>
      <c r="J19" s="720"/>
      <c r="K19" s="448">
        <f>L19+M19+O19</f>
        <v>3803</v>
      </c>
      <c r="L19" s="452"/>
      <c r="M19" s="452"/>
      <c r="N19" s="452"/>
      <c r="O19" s="448">
        <f t="shared" si="2"/>
        <v>3803</v>
      </c>
      <c r="P19" s="720"/>
      <c r="Q19" s="720">
        <f>4469-1170-566</f>
        <v>2733</v>
      </c>
      <c r="R19" s="720">
        <f>1117-47</f>
        <v>1070</v>
      </c>
      <c r="S19" s="720"/>
      <c r="T19" s="720"/>
    </row>
    <row r="20" spans="1:20" ht="12" customHeight="1" x14ac:dyDescent="0.2">
      <c r="A20" s="445">
        <v>13</v>
      </c>
      <c r="B20" s="446" t="s">
        <v>231</v>
      </c>
      <c r="C20" s="447" t="s">
        <v>232</v>
      </c>
      <c r="D20" s="448">
        <f t="shared" si="0"/>
        <v>116412</v>
      </c>
      <c r="E20" s="720">
        <f>596+18+103+20+81+39</f>
        <v>857</v>
      </c>
      <c r="F20" s="720"/>
      <c r="G20" s="720"/>
      <c r="H20" s="720"/>
      <c r="I20" s="720"/>
      <c r="J20" s="720"/>
      <c r="K20" s="448">
        <f t="shared" si="1"/>
        <v>115555</v>
      </c>
      <c r="L20" s="452"/>
      <c r="M20" s="452"/>
      <c r="N20" s="452"/>
      <c r="O20" s="448">
        <f>P20+Q20+R20+T20+S20</f>
        <v>115555</v>
      </c>
      <c r="P20" s="720"/>
      <c r="Q20" s="720">
        <f>86069+4212-221-103-20-81+566</f>
        <v>90422</v>
      </c>
      <c r="R20" s="720">
        <f>21517+47</f>
        <v>21564</v>
      </c>
      <c r="S20" s="720">
        <f>1660+750+900+32+56</f>
        <v>3398</v>
      </c>
      <c r="T20" s="720">
        <f>140+2+28+1</f>
        <v>171</v>
      </c>
    </row>
    <row r="21" spans="1:20" x14ac:dyDescent="0.2">
      <c r="A21" s="445">
        <v>14</v>
      </c>
      <c r="B21" s="450" t="s">
        <v>217</v>
      </c>
      <c r="C21" s="451" t="s">
        <v>736</v>
      </c>
      <c r="D21" s="448">
        <f t="shared" si="0"/>
        <v>31033</v>
      </c>
      <c r="E21" s="720"/>
      <c r="F21" s="720"/>
      <c r="G21" s="720"/>
      <c r="H21" s="720"/>
      <c r="I21" s="720"/>
      <c r="J21" s="720"/>
      <c r="K21" s="448">
        <f t="shared" si="1"/>
        <v>31033</v>
      </c>
      <c r="L21" s="452"/>
      <c r="M21" s="452"/>
      <c r="N21" s="452"/>
      <c r="O21" s="448">
        <f>P21+Q21+R21+T21+S21</f>
        <v>31033</v>
      </c>
      <c r="P21" s="720"/>
      <c r="Q21" s="720">
        <f>17525+936+884</f>
        <v>19345</v>
      </c>
      <c r="R21" s="720">
        <v>11688</v>
      </c>
      <c r="S21" s="720"/>
      <c r="T21" s="720"/>
    </row>
    <row r="22" spans="1:20" x14ac:dyDescent="0.2">
      <c r="A22" s="445">
        <v>15</v>
      </c>
      <c r="B22" s="450" t="s">
        <v>250</v>
      </c>
      <c r="C22" s="451" t="s">
        <v>737</v>
      </c>
      <c r="D22" s="448">
        <f t="shared" si="0"/>
        <v>5326</v>
      </c>
      <c r="E22" s="720"/>
      <c r="F22" s="720"/>
      <c r="G22" s="720"/>
      <c r="H22" s="720"/>
      <c r="I22" s="720"/>
      <c r="J22" s="720"/>
      <c r="K22" s="448">
        <f t="shared" si="1"/>
        <v>5326</v>
      </c>
      <c r="L22" s="452"/>
      <c r="M22" s="452"/>
      <c r="N22" s="452"/>
      <c r="O22" s="448">
        <f>P22+Q22+R22+T22+S22</f>
        <v>5326</v>
      </c>
      <c r="P22" s="720"/>
      <c r="Q22" s="720">
        <f>5721-3107+260</f>
        <v>2874</v>
      </c>
      <c r="R22" s="720">
        <v>2452</v>
      </c>
      <c r="S22" s="720"/>
      <c r="T22" s="720"/>
    </row>
    <row r="23" spans="1:20" x14ac:dyDescent="0.2">
      <c r="A23" s="445">
        <v>16</v>
      </c>
      <c r="B23" s="446" t="s">
        <v>254</v>
      </c>
      <c r="C23" s="451" t="s">
        <v>255</v>
      </c>
      <c r="D23" s="448">
        <f t="shared" si="0"/>
        <v>37667</v>
      </c>
      <c r="E23" s="720">
        <f>50+49+33</f>
        <v>132</v>
      </c>
      <c r="F23" s="720">
        <v>100</v>
      </c>
      <c r="G23" s="720"/>
      <c r="H23" s="720"/>
      <c r="I23" s="720"/>
      <c r="J23" s="720"/>
      <c r="K23" s="448">
        <f>L23+M23+O23</f>
        <v>37435</v>
      </c>
      <c r="L23" s="452"/>
      <c r="M23" s="452"/>
      <c r="N23" s="452"/>
      <c r="O23" s="448">
        <f>P23+Q23+R23+T23+S23</f>
        <v>37435</v>
      </c>
      <c r="P23" s="720">
        <v>7103</v>
      </c>
      <c r="Q23" s="720">
        <f>23441+1131+403-33</f>
        <v>24942</v>
      </c>
      <c r="R23" s="720">
        <v>5390</v>
      </c>
      <c r="S23" s="720"/>
      <c r="T23" s="720"/>
    </row>
    <row r="24" spans="1:20" x14ac:dyDescent="0.2">
      <c r="A24" s="455"/>
      <c r="B24" s="455"/>
      <c r="C24" s="456" t="s">
        <v>467</v>
      </c>
      <c r="D24" s="448">
        <f t="shared" ref="D24:T24" si="3">SUM(D8:D23)</f>
        <v>200979</v>
      </c>
      <c r="E24" s="448">
        <f t="shared" si="3"/>
        <v>989</v>
      </c>
      <c r="F24" s="448">
        <f t="shared" si="3"/>
        <v>100</v>
      </c>
      <c r="G24" s="448">
        <f t="shared" si="3"/>
        <v>200</v>
      </c>
      <c r="H24" s="448">
        <f t="shared" si="3"/>
        <v>445</v>
      </c>
      <c r="I24" s="448">
        <f t="shared" si="3"/>
        <v>399</v>
      </c>
      <c r="J24" s="448">
        <f t="shared" si="3"/>
        <v>20</v>
      </c>
      <c r="K24" s="448">
        <f t="shared" si="3"/>
        <v>198846</v>
      </c>
      <c r="L24" s="448">
        <f t="shared" si="3"/>
        <v>500</v>
      </c>
      <c r="M24" s="448">
        <f t="shared" si="3"/>
        <v>1300</v>
      </c>
      <c r="N24" s="448">
        <f>SUM(N8:N23)</f>
        <v>50</v>
      </c>
      <c r="O24" s="448">
        <f t="shared" si="3"/>
        <v>196996</v>
      </c>
      <c r="P24" s="448">
        <f t="shared" si="3"/>
        <v>7103</v>
      </c>
      <c r="Q24" s="448">
        <f t="shared" si="3"/>
        <v>140786</v>
      </c>
      <c r="R24" s="448">
        <f t="shared" si="3"/>
        <v>42365</v>
      </c>
      <c r="S24" s="448">
        <f t="shared" si="3"/>
        <v>3626</v>
      </c>
      <c r="T24" s="448">
        <f t="shared" si="3"/>
        <v>3116</v>
      </c>
    </row>
    <row r="25" spans="1:20" ht="12.75" customHeight="1" x14ac:dyDescent="0.2">
      <c r="A25" s="445"/>
      <c r="B25" s="445"/>
      <c r="C25" s="447" t="s">
        <v>738</v>
      </c>
      <c r="D25" s="448">
        <v>14473</v>
      </c>
      <c r="E25" s="452"/>
      <c r="F25" s="452"/>
      <c r="G25" s="452"/>
      <c r="H25" s="452"/>
      <c r="I25" s="452"/>
      <c r="J25" s="452"/>
      <c r="K25" s="448">
        <f>L25+M25+O25</f>
        <v>14473</v>
      </c>
      <c r="L25" s="452"/>
      <c r="M25" s="452"/>
      <c r="N25" s="452"/>
      <c r="O25" s="448">
        <f>P25+Q25+R25+T25+S25</f>
        <v>14473</v>
      </c>
      <c r="P25" s="720"/>
      <c r="Q25" s="720">
        <v>14473</v>
      </c>
      <c r="R25" s="720"/>
      <c r="S25" s="720"/>
      <c r="T25" s="720"/>
    </row>
    <row r="26" spans="1:20" ht="22.5" customHeight="1" x14ac:dyDescent="0.2">
      <c r="A26" s="445"/>
      <c r="B26" s="445"/>
      <c r="C26" s="457" t="s">
        <v>739</v>
      </c>
      <c r="D26" s="448">
        <f t="shared" ref="D26:T26" si="4">D24+D25</f>
        <v>215452</v>
      </c>
      <c r="E26" s="448">
        <f t="shared" si="4"/>
        <v>989</v>
      </c>
      <c r="F26" s="448">
        <f t="shared" si="4"/>
        <v>100</v>
      </c>
      <c r="G26" s="448">
        <f t="shared" si="4"/>
        <v>200</v>
      </c>
      <c r="H26" s="448">
        <f t="shared" si="4"/>
        <v>445</v>
      </c>
      <c r="I26" s="448">
        <f t="shared" si="4"/>
        <v>399</v>
      </c>
      <c r="J26" s="448">
        <f t="shared" si="4"/>
        <v>20</v>
      </c>
      <c r="K26" s="448">
        <f t="shared" si="4"/>
        <v>213319</v>
      </c>
      <c r="L26" s="448">
        <f t="shared" si="4"/>
        <v>500</v>
      </c>
      <c r="M26" s="448">
        <f t="shared" si="4"/>
        <v>1300</v>
      </c>
      <c r="N26" s="448">
        <f>N24+N25</f>
        <v>50</v>
      </c>
      <c r="O26" s="448">
        <f t="shared" si="4"/>
        <v>211469</v>
      </c>
      <c r="P26" s="448">
        <f t="shared" si="4"/>
        <v>7103</v>
      </c>
      <c r="Q26" s="448">
        <f t="shared" si="4"/>
        <v>155259</v>
      </c>
      <c r="R26" s="448">
        <f t="shared" si="4"/>
        <v>42365</v>
      </c>
      <c r="S26" s="448">
        <f t="shared" si="4"/>
        <v>3626</v>
      </c>
      <c r="T26" s="448">
        <f t="shared" si="4"/>
        <v>3116</v>
      </c>
    </row>
  </sheetData>
  <mergeCells count="26">
    <mergeCell ref="K3:T3"/>
    <mergeCell ref="E4:F5"/>
    <mergeCell ref="G4:J5"/>
    <mergeCell ref="K4:K7"/>
    <mergeCell ref="L4:N4"/>
    <mergeCell ref="O4:T5"/>
    <mergeCell ref="L6:L7"/>
    <mergeCell ref="M6:M7"/>
    <mergeCell ref="T6:T7"/>
    <mergeCell ref="N6:N7"/>
    <mergeCell ref="O6:O7"/>
    <mergeCell ref="P6:P7"/>
    <mergeCell ref="M5:N5"/>
    <mergeCell ref="Q6:Q7"/>
    <mergeCell ref="R6:R7"/>
    <mergeCell ref="S6:S7"/>
    <mergeCell ref="A3:A7"/>
    <mergeCell ref="B3:B7"/>
    <mergeCell ref="C3:C7"/>
    <mergeCell ref="D3:D7"/>
    <mergeCell ref="E3:J3"/>
    <mergeCell ref="H6:H7"/>
    <mergeCell ref="I6:J6"/>
    <mergeCell ref="E6:E7"/>
    <mergeCell ref="F6:F7"/>
    <mergeCell ref="G6:G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147"/>
  <sheetViews>
    <sheetView zoomScaleNormal="100" workbookViewId="0">
      <pane xSplit="3" ySplit="6" topLeftCell="D127" activePane="bottomRight" state="frozen"/>
      <selection pane="topRight" activeCell="D1" sqref="D1"/>
      <selection pane="bottomLeft" activeCell="A6" sqref="A6"/>
      <selection pane="bottomRight" activeCell="D146" sqref="D146"/>
    </sheetView>
  </sheetViews>
  <sheetFormatPr defaultRowHeight="12" x14ac:dyDescent="0.25"/>
  <cols>
    <col min="1" max="1" width="4" style="98" customWidth="1"/>
    <col min="2" max="2" width="9.28515625" style="98" customWidth="1"/>
    <col min="3" max="3" width="31" style="127" customWidth="1"/>
    <col min="4" max="4" width="12.140625" style="127" customWidth="1"/>
    <col min="5" max="7" width="10.85546875" style="98" customWidth="1"/>
    <col min="8" max="8" width="12.85546875" style="98" customWidth="1"/>
    <col min="9" max="10" width="10.85546875" style="98" customWidth="1"/>
    <col min="11" max="11" width="11.5703125" style="98" customWidth="1"/>
    <col min="12" max="12" width="14.7109375" style="128" customWidth="1"/>
    <col min="13" max="16384" width="9.140625" style="128"/>
  </cols>
  <sheetData>
    <row r="2" spans="1:12" s="97" customFormat="1" ht="15.75" customHeight="1" x14ac:dyDescent="0.25">
      <c r="A2" s="1036" t="s">
        <v>626</v>
      </c>
      <c r="B2" s="1036"/>
      <c r="C2" s="1036"/>
      <c r="D2" s="1036"/>
      <c r="E2" s="1036"/>
      <c r="F2" s="1036"/>
      <c r="G2" s="1036"/>
      <c r="H2" s="1036"/>
      <c r="I2" s="1036"/>
      <c r="J2" s="1036"/>
      <c r="K2" s="1036"/>
    </row>
    <row r="3" spans="1:12" s="97" customFormat="1" x14ac:dyDescent="0.25">
      <c r="A3" s="98"/>
      <c r="B3" s="98"/>
      <c r="C3" s="99"/>
      <c r="D3" s="99"/>
      <c r="E3" s="99"/>
      <c r="F3" s="98"/>
      <c r="G3" s="98"/>
      <c r="H3" s="98"/>
      <c r="I3" s="98"/>
      <c r="J3" s="98"/>
      <c r="K3" s="98"/>
    </row>
    <row r="4" spans="1:12" s="97" customFormat="1" x14ac:dyDescent="0.25">
      <c r="A4" s="98"/>
      <c r="B4" s="98"/>
      <c r="C4" s="99"/>
      <c r="D4" s="99"/>
      <c r="E4" s="99"/>
      <c r="F4" s="98"/>
      <c r="G4" s="98"/>
      <c r="H4" s="98"/>
      <c r="I4" s="98"/>
      <c r="J4" s="98"/>
      <c r="K4" s="98"/>
    </row>
    <row r="5" spans="1:12" s="97" customFormat="1" ht="12.75" customHeight="1" x14ac:dyDescent="0.25">
      <c r="A5" s="1037" t="s">
        <v>0</v>
      </c>
      <c r="B5" s="1037" t="s">
        <v>302</v>
      </c>
      <c r="C5" s="1037" t="s">
        <v>292</v>
      </c>
      <c r="D5" s="1037" t="s">
        <v>817</v>
      </c>
      <c r="E5" s="1037" t="s">
        <v>627</v>
      </c>
      <c r="F5" s="1038"/>
      <c r="G5" s="1038"/>
      <c r="H5" s="1038"/>
      <c r="I5" s="1038"/>
      <c r="J5" s="1039" t="s">
        <v>628</v>
      </c>
      <c r="K5" s="1040" t="s">
        <v>629</v>
      </c>
      <c r="L5" s="1033" t="s">
        <v>792</v>
      </c>
    </row>
    <row r="6" spans="1:12" s="100" customFormat="1" ht="48.75" customHeight="1" x14ac:dyDescent="0.25">
      <c r="A6" s="1037"/>
      <c r="B6" s="1037"/>
      <c r="C6" s="1037"/>
      <c r="D6" s="1037"/>
      <c r="E6" s="1037"/>
      <c r="F6" s="329" t="s">
        <v>630</v>
      </c>
      <c r="G6" s="328" t="s">
        <v>631</v>
      </c>
      <c r="H6" s="328" t="s">
        <v>632</v>
      </c>
      <c r="I6" s="328" t="s">
        <v>633</v>
      </c>
      <c r="J6" s="1039"/>
      <c r="K6" s="1040"/>
      <c r="L6" s="1034"/>
    </row>
    <row r="7" spans="1:12" s="97" customFormat="1" ht="12" customHeight="1" x14ac:dyDescent="0.25">
      <c r="A7" s="327">
        <v>1</v>
      </c>
      <c r="B7" s="101" t="s">
        <v>16</v>
      </c>
      <c r="C7" s="102" t="s">
        <v>17</v>
      </c>
      <c r="D7" s="103">
        <f t="shared" ref="D7:D70" si="0">E7+J7</f>
        <v>968</v>
      </c>
      <c r="E7" s="103">
        <v>968</v>
      </c>
      <c r="F7" s="327"/>
      <c r="G7" s="327"/>
      <c r="H7" s="327"/>
      <c r="I7" s="327"/>
      <c r="J7" s="327"/>
      <c r="K7" s="327"/>
      <c r="L7" s="458"/>
    </row>
    <row r="8" spans="1:12" s="97" customFormat="1" x14ac:dyDescent="0.25">
      <c r="A8" s="327">
        <v>2</v>
      </c>
      <c r="B8" s="101" t="s">
        <v>18</v>
      </c>
      <c r="C8" s="104" t="s">
        <v>19</v>
      </c>
      <c r="D8" s="103">
        <f t="shared" si="0"/>
        <v>976</v>
      </c>
      <c r="E8" s="105">
        <v>976</v>
      </c>
      <c r="F8" s="327"/>
      <c r="G8" s="327"/>
      <c r="H8" s="327"/>
      <c r="I8" s="327"/>
      <c r="J8" s="327"/>
      <c r="K8" s="327"/>
      <c r="L8" s="458"/>
    </row>
    <row r="9" spans="1:12" s="97" customFormat="1" x14ac:dyDescent="0.25">
      <c r="A9" s="327">
        <v>3</v>
      </c>
      <c r="B9" s="106" t="s">
        <v>20</v>
      </c>
      <c r="C9" s="107" t="s">
        <v>21</v>
      </c>
      <c r="D9" s="103">
        <f t="shared" si="0"/>
        <v>2984</v>
      </c>
      <c r="E9" s="108">
        <v>2984</v>
      </c>
      <c r="F9" s="327"/>
      <c r="G9" s="327"/>
      <c r="H9" s="327">
        <v>7</v>
      </c>
      <c r="I9" s="327"/>
      <c r="J9" s="327"/>
      <c r="K9" s="327"/>
      <c r="L9" s="458"/>
    </row>
    <row r="10" spans="1:12" s="97" customFormat="1" ht="11.25" customHeight="1" x14ac:dyDescent="0.25">
      <c r="A10" s="327">
        <v>4</v>
      </c>
      <c r="B10" s="101" t="s">
        <v>22</v>
      </c>
      <c r="C10" s="104" t="s">
        <v>23</v>
      </c>
      <c r="D10" s="103">
        <f t="shared" si="0"/>
        <v>1060</v>
      </c>
      <c r="E10" s="105">
        <v>1060</v>
      </c>
      <c r="F10" s="327"/>
      <c r="G10" s="327"/>
      <c r="H10" s="327"/>
      <c r="I10" s="327"/>
      <c r="J10" s="327"/>
      <c r="K10" s="327"/>
      <c r="L10" s="458"/>
    </row>
    <row r="11" spans="1:12" s="97" customFormat="1" ht="12.75" customHeight="1" x14ac:dyDescent="0.25">
      <c r="A11" s="327">
        <v>5</v>
      </c>
      <c r="B11" s="101" t="s">
        <v>24</v>
      </c>
      <c r="C11" s="104" t="s">
        <v>25</v>
      </c>
      <c r="D11" s="103">
        <f t="shared" si="0"/>
        <v>1153</v>
      </c>
      <c r="E11" s="105">
        <v>1153</v>
      </c>
      <c r="F11" s="327"/>
      <c r="G11" s="327"/>
      <c r="H11" s="327"/>
      <c r="I11" s="327"/>
      <c r="J11" s="327"/>
      <c r="K11" s="327"/>
      <c r="L11" s="458"/>
    </row>
    <row r="12" spans="1:12" s="97" customFormat="1" x14ac:dyDescent="0.25">
      <c r="A12" s="327">
        <v>6</v>
      </c>
      <c r="B12" s="106" t="s">
        <v>26</v>
      </c>
      <c r="C12" s="107" t="s">
        <v>27</v>
      </c>
      <c r="D12" s="103">
        <f t="shared" si="0"/>
        <v>8226</v>
      </c>
      <c r="E12" s="108">
        <v>8226</v>
      </c>
      <c r="F12" s="327"/>
      <c r="G12" s="327"/>
      <c r="H12" s="327">
        <v>7</v>
      </c>
      <c r="I12" s="327"/>
      <c r="J12" s="327"/>
      <c r="K12" s="327">
        <v>400</v>
      </c>
      <c r="L12" s="458"/>
    </row>
    <row r="13" spans="1:12" s="97" customFormat="1" x14ac:dyDescent="0.25">
      <c r="A13" s="327">
        <v>7</v>
      </c>
      <c r="B13" s="109" t="s">
        <v>28</v>
      </c>
      <c r="C13" s="110" t="s">
        <v>29</v>
      </c>
      <c r="D13" s="103">
        <f t="shared" si="0"/>
        <v>2977</v>
      </c>
      <c r="E13" s="111">
        <v>2977</v>
      </c>
      <c r="F13" s="327"/>
      <c r="G13" s="327"/>
      <c r="H13" s="327"/>
      <c r="I13" s="327"/>
      <c r="J13" s="327"/>
      <c r="K13" s="327">
        <v>360</v>
      </c>
      <c r="L13" s="458"/>
    </row>
    <row r="14" spans="1:12" s="97" customFormat="1" x14ac:dyDescent="0.25">
      <c r="A14" s="327">
        <v>8</v>
      </c>
      <c r="B14" s="106" t="s">
        <v>30</v>
      </c>
      <c r="C14" s="107" t="s">
        <v>31</v>
      </c>
      <c r="D14" s="103">
        <f t="shared" si="0"/>
        <v>1236</v>
      </c>
      <c r="E14" s="108">
        <v>1236</v>
      </c>
      <c r="F14" s="327"/>
      <c r="G14" s="327"/>
      <c r="H14" s="327"/>
      <c r="I14" s="327"/>
      <c r="J14" s="327"/>
      <c r="K14" s="327"/>
      <c r="L14" s="458"/>
    </row>
    <row r="15" spans="1:12" s="97" customFormat="1" x14ac:dyDescent="0.25">
      <c r="A15" s="327">
        <v>9</v>
      </c>
      <c r="B15" s="106" t="s">
        <v>32</v>
      </c>
      <c r="C15" s="107" t="s">
        <v>33</v>
      </c>
      <c r="D15" s="103">
        <f t="shared" si="0"/>
        <v>1086</v>
      </c>
      <c r="E15" s="108">
        <v>1086</v>
      </c>
      <c r="F15" s="327"/>
      <c r="G15" s="327"/>
      <c r="H15" s="327"/>
      <c r="I15" s="327"/>
      <c r="J15" s="327"/>
      <c r="K15" s="327"/>
      <c r="L15" s="458"/>
    </row>
    <row r="16" spans="1:12" s="97" customFormat="1" x14ac:dyDescent="0.25">
      <c r="A16" s="327">
        <v>10</v>
      </c>
      <c r="B16" s="106" t="s">
        <v>34</v>
      </c>
      <c r="C16" s="107" t="s">
        <v>35</v>
      </c>
      <c r="D16" s="103">
        <f t="shared" si="0"/>
        <v>1380</v>
      </c>
      <c r="E16" s="108">
        <v>1380</v>
      </c>
      <c r="F16" s="327"/>
      <c r="G16" s="327"/>
      <c r="H16" s="327"/>
      <c r="I16" s="327"/>
      <c r="J16" s="327"/>
      <c r="K16" s="327"/>
      <c r="L16" s="458"/>
    </row>
    <row r="17" spans="1:12" s="97" customFormat="1" x14ac:dyDescent="0.25">
      <c r="A17" s="327">
        <v>11</v>
      </c>
      <c r="B17" s="106" t="s">
        <v>36</v>
      </c>
      <c r="C17" s="107" t="s">
        <v>37</v>
      </c>
      <c r="D17" s="103">
        <f t="shared" si="0"/>
        <v>1127</v>
      </c>
      <c r="E17" s="108">
        <v>1127</v>
      </c>
      <c r="F17" s="327"/>
      <c r="G17" s="327"/>
      <c r="H17" s="327"/>
      <c r="I17" s="327"/>
      <c r="J17" s="327"/>
      <c r="K17" s="327"/>
      <c r="L17" s="458"/>
    </row>
    <row r="18" spans="1:12" s="97" customFormat="1" x14ac:dyDescent="0.25">
      <c r="A18" s="327">
        <v>12</v>
      </c>
      <c r="B18" s="106" t="s">
        <v>38</v>
      </c>
      <c r="C18" s="107" t="s">
        <v>39</v>
      </c>
      <c r="D18" s="103">
        <f t="shared" si="0"/>
        <v>2211</v>
      </c>
      <c r="E18" s="108">
        <v>2211</v>
      </c>
      <c r="F18" s="327"/>
      <c r="G18" s="327"/>
      <c r="H18" s="327"/>
      <c r="I18" s="327"/>
      <c r="J18" s="327"/>
      <c r="K18" s="327"/>
      <c r="L18" s="458"/>
    </row>
    <row r="19" spans="1:12" s="97" customFormat="1" x14ac:dyDescent="0.25">
      <c r="A19" s="327">
        <v>13</v>
      </c>
      <c r="B19" s="112" t="s">
        <v>634</v>
      </c>
      <c r="C19" s="113" t="s">
        <v>41</v>
      </c>
      <c r="D19" s="103">
        <f t="shared" si="0"/>
        <v>0</v>
      </c>
      <c r="E19" s="105">
        <v>0</v>
      </c>
      <c r="F19" s="327"/>
      <c r="G19" s="327"/>
      <c r="H19" s="327"/>
      <c r="I19" s="327"/>
      <c r="J19" s="327"/>
      <c r="K19" s="327"/>
      <c r="L19" s="458"/>
    </row>
    <row r="20" spans="1:12" s="97" customFormat="1" ht="13.5" customHeight="1" x14ac:dyDescent="0.25">
      <c r="A20" s="327">
        <v>14</v>
      </c>
      <c r="B20" s="101" t="s">
        <v>42</v>
      </c>
      <c r="C20" s="107" t="s">
        <v>43</v>
      </c>
      <c r="D20" s="103">
        <f t="shared" si="0"/>
        <v>0</v>
      </c>
      <c r="E20" s="108">
        <v>0</v>
      </c>
      <c r="F20" s="327"/>
      <c r="G20" s="327"/>
      <c r="H20" s="327"/>
      <c r="I20" s="327"/>
      <c r="J20" s="327"/>
      <c r="K20" s="327"/>
      <c r="L20" s="458"/>
    </row>
    <row r="21" spans="1:12" s="97" customFormat="1" x14ac:dyDescent="0.25">
      <c r="A21" s="327">
        <v>15</v>
      </c>
      <c r="B21" s="106" t="s">
        <v>44</v>
      </c>
      <c r="C21" s="107" t="s">
        <v>45</v>
      </c>
      <c r="D21" s="103">
        <f t="shared" si="0"/>
        <v>1462</v>
      </c>
      <c r="E21" s="108">
        <v>1462</v>
      </c>
      <c r="F21" s="327"/>
      <c r="G21" s="327"/>
      <c r="H21" s="327"/>
      <c r="I21" s="327"/>
      <c r="J21" s="327"/>
      <c r="K21" s="327"/>
      <c r="L21" s="458"/>
    </row>
    <row r="22" spans="1:12" s="97" customFormat="1" x14ac:dyDescent="0.25">
      <c r="A22" s="327">
        <v>16</v>
      </c>
      <c r="B22" s="106" t="s">
        <v>46</v>
      </c>
      <c r="C22" s="107" t="s">
        <v>47</v>
      </c>
      <c r="D22" s="103">
        <f t="shared" si="0"/>
        <v>2139</v>
      </c>
      <c r="E22" s="108">
        <v>2139</v>
      </c>
      <c r="F22" s="327"/>
      <c r="G22" s="327"/>
      <c r="H22" s="327"/>
      <c r="I22" s="327"/>
      <c r="J22" s="327"/>
      <c r="K22" s="327"/>
      <c r="L22" s="458"/>
    </row>
    <row r="23" spans="1:12" s="97" customFormat="1" x14ac:dyDescent="0.25">
      <c r="A23" s="327">
        <v>17</v>
      </c>
      <c r="B23" s="106" t="s">
        <v>48</v>
      </c>
      <c r="C23" s="107" t="s">
        <v>49</v>
      </c>
      <c r="D23" s="103">
        <f t="shared" si="0"/>
        <v>2828</v>
      </c>
      <c r="E23" s="108">
        <v>2828</v>
      </c>
      <c r="F23" s="327"/>
      <c r="G23" s="327"/>
      <c r="H23" s="327"/>
      <c r="I23" s="327"/>
      <c r="J23" s="327"/>
      <c r="K23" s="327"/>
      <c r="L23" s="458"/>
    </row>
    <row r="24" spans="1:12" s="97" customFormat="1" x14ac:dyDescent="0.25">
      <c r="A24" s="327">
        <v>18</v>
      </c>
      <c r="B24" s="106" t="s">
        <v>50</v>
      </c>
      <c r="C24" s="107" t="s">
        <v>51</v>
      </c>
      <c r="D24" s="103">
        <f t="shared" si="0"/>
        <v>5347</v>
      </c>
      <c r="E24" s="108">
        <v>5347</v>
      </c>
      <c r="F24" s="327"/>
      <c r="G24" s="327"/>
      <c r="H24" s="327">
        <v>10</v>
      </c>
      <c r="I24" s="327"/>
      <c r="J24" s="327"/>
      <c r="K24" s="327">
        <v>465</v>
      </c>
      <c r="L24" s="458"/>
    </row>
    <row r="25" spans="1:12" s="97" customFormat="1" x14ac:dyDescent="0.25">
      <c r="A25" s="327">
        <v>19</v>
      </c>
      <c r="B25" s="101" t="s">
        <v>52</v>
      </c>
      <c r="C25" s="104" t="s">
        <v>53</v>
      </c>
      <c r="D25" s="103">
        <f t="shared" si="0"/>
        <v>902</v>
      </c>
      <c r="E25" s="105">
        <v>902</v>
      </c>
      <c r="F25" s="327"/>
      <c r="G25" s="327"/>
      <c r="H25" s="327"/>
      <c r="I25" s="327"/>
      <c r="J25" s="327"/>
      <c r="K25" s="327"/>
      <c r="L25" s="458"/>
    </row>
    <row r="26" spans="1:12" s="97" customFormat="1" x14ac:dyDescent="0.25">
      <c r="A26" s="327">
        <v>20</v>
      </c>
      <c r="B26" s="101" t="s">
        <v>54</v>
      </c>
      <c r="C26" s="104" t="s">
        <v>55</v>
      </c>
      <c r="D26" s="103">
        <f t="shared" si="0"/>
        <v>685</v>
      </c>
      <c r="E26" s="105">
        <v>685</v>
      </c>
      <c r="F26" s="327"/>
      <c r="G26" s="327"/>
      <c r="H26" s="327"/>
      <c r="I26" s="327"/>
      <c r="J26" s="327"/>
      <c r="K26" s="327"/>
      <c r="L26" s="458"/>
    </row>
    <row r="27" spans="1:12" s="97" customFormat="1" x14ac:dyDescent="0.25">
      <c r="A27" s="327">
        <v>21</v>
      </c>
      <c r="B27" s="101" t="s">
        <v>56</v>
      </c>
      <c r="C27" s="104" t="s">
        <v>57</v>
      </c>
      <c r="D27" s="103">
        <f t="shared" si="0"/>
        <v>3757</v>
      </c>
      <c r="E27" s="105">
        <v>3757</v>
      </c>
      <c r="F27" s="327"/>
      <c r="G27" s="327"/>
      <c r="H27" s="327"/>
      <c r="I27" s="327"/>
      <c r="J27" s="327"/>
      <c r="K27" s="327"/>
      <c r="L27" s="458"/>
    </row>
    <row r="28" spans="1:12" s="97" customFormat="1" x14ac:dyDescent="0.25">
      <c r="A28" s="327">
        <v>22</v>
      </c>
      <c r="B28" s="101" t="s">
        <v>58</v>
      </c>
      <c r="C28" s="104" t="s">
        <v>59</v>
      </c>
      <c r="D28" s="103">
        <f t="shared" si="0"/>
        <v>3295</v>
      </c>
      <c r="E28" s="105">
        <v>3295</v>
      </c>
      <c r="F28" s="327"/>
      <c r="G28" s="327"/>
      <c r="H28" s="327">
        <v>5</v>
      </c>
      <c r="I28" s="327"/>
      <c r="J28" s="327"/>
      <c r="K28" s="327"/>
      <c r="L28" s="458"/>
    </row>
    <row r="29" spans="1:12" s="97" customFormat="1" x14ac:dyDescent="0.25">
      <c r="A29" s="327">
        <v>23</v>
      </c>
      <c r="B29" s="106" t="s">
        <v>60</v>
      </c>
      <c r="C29" s="107" t="s">
        <v>61</v>
      </c>
      <c r="D29" s="103">
        <f t="shared" si="0"/>
        <v>322</v>
      </c>
      <c r="E29" s="108">
        <v>322</v>
      </c>
      <c r="F29" s="327"/>
      <c r="G29" s="327"/>
      <c r="H29" s="327"/>
      <c r="I29" s="327"/>
      <c r="J29" s="327"/>
      <c r="K29" s="327"/>
      <c r="L29" s="458"/>
    </row>
    <row r="30" spans="1:12" s="97" customFormat="1" ht="12" customHeight="1" x14ac:dyDescent="0.25">
      <c r="A30" s="327">
        <v>24</v>
      </c>
      <c r="B30" s="106" t="s">
        <v>62</v>
      </c>
      <c r="C30" s="107" t="s">
        <v>63</v>
      </c>
      <c r="D30" s="103">
        <f t="shared" si="0"/>
        <v>0</v>
      </c>
      <c r="E30" s="108">
        <v>0</v>
      </c>
      <c r="F30" s="327"/>
      <c r="G30" s="327"/>
      <c r="H30" s="327"/>
      <c r="I30" s="327"/>
      <c r="J30" s="327"/>
      <c r="K30" s="327"/>
      <c r="L30" s="458"/>
    </row>
    <row r="31" spans="1:12" s="97" customFormat="1" ht="24" x14ac:dyDescent="0.25">
      <c r="A31" s="327">
        <v>25</v>
      </c>
      <c r="B31" s="106" t="s">
        <v>64</v>
      </c>
      <c r="C31" s="107" t="s">
        <v>65</v>
      </c>
      <c r="D31" s="103">
        <f t="shared" si="0"/>
        <v>0</v>
      </c>
      <c r="E31" s="108">
        <v>0</v>
      </c>
      <c r="F31" s="327"/>
      <c r="G31" s="327"/>
      <c r="H31" s="327"/>
      <c r="I31" s="327"/>
      <c r="J31" s="327"/>
      <c r="K31" s="327">
        <v>530</v>
      </c>
      <c r="L31" s="458"/>
    </row>
    <row r="32" spans="1:12" s="97" customFormat="1" x14ac:dyDescent="0.25">
      <c r="A32" s="327">
        <v>26</v>
      </c>
      <c r="B32" s="101" t="s">
        <v>66</v>
      </c>
      <c r="C32" s="110" t="s">
        <v>67</v>
      </c>
      <c r="D32" s="103">
        <f t="shared" si="0"/>
        <v>9711</v>
      </c>
      <c r="E32" s="111">
        <v>9711</v>
      </c>
      <c r="F32" s="327"/>
      <c r="G32" s="327"/>
      <c r="H32" s="327"/>
      <c r="I32" s="327"/>
      <c r="J32" s="327"/>
      <c r="K32" s="327"/>
      <c r="L32" s="458"/>
    </row>
    <row r="33" spans="1:12" s="97" customFormat="1" x14ac:dyDescent="0.25">
      <c r="A33" s="327">
        <v>27</v>
      </c>
      <c r="B33" s="106" t="s">
        <v>68</v>
      </c>
      <c r="C33" s="107" t="s">
        <v>69</v>
      </c>
      <c r="D33" s="103">
        <f t="shared" si="0"/>
        <v>3262</v>
      </c>
      <c r="E33" s="108">
        <v>3262</v>
      </c>
      <c r="F33" s="327"/>
      <c r="G33" s="327"/>
      <c r="H33" s="327"/>
      <c r="I33" s="327"/>
      <c r="J33" s="327"/>
      <c r="K33" s="327"/>
      <c r="L33" s="458"/>
    </row>
    <row r="34" spans="1:12" s="97" customFormat="1" ht="13.5" customHeight="1" x14ac:dyDescent="0.25">
      <c r="A34" s="327">
        <v>28</v>
      </c>
      <c r="B34" s="106" t="s">
        <v>70</v>
      </c>
      <c r="C34" s="107" t="s">
        <v>71</v>
      </c>
      <c r="D34" s="103">
        <f t="shared" si="0"/>
        <v>2034</v>
      </c>
      <c r="E34" s="108">
        <v>2034</v>
      </c>
      <c r="F34" s="327"/>
      <c r="G34" s="327"/>
      <c r="H34" s="327">
        <v>50</v>
      </c>
      <c r="I34" s="327"/>
      <c r="J34" s="327"/>
      <c r="K34" s="327"/>
      <c r="L34" s="458"/>
    </row>
    <row r="35" spans="1:12" s="97" customFormat="1" ht="12" customHeight="1" x14ac:dyDescent="0.25">
      <c r="A35" s="327">
        <v>29</v>
      </c>
      <c r="B35" s="101" t="s">
        <v>72</v>
      </c>
      <c r="C35" s="104" t="s">
        <v>73</v>
      </c>
      <c r="D35" s="103">
        <f t="shared" si="0"/>
        <v>0</v>
      </c>
      <c r="E35" s="105">
        <v>0</v>
      </c>
      <c r="F35" s="327"/>
      <c r="G35" s="327"/>
      <c r="H35" s="327"/>
      <c r="I35" s="327"/>
      <c r="J35" s="327"/>
      <c r="K35" s="327"/>
      <c r="L35" s="458"/>
    </row>
    <row r="36" spans="1:12" s="97" customFormat="1" ht="24" x14ac:dyDescent="0.25">
      <c r="A36" s="327">
        <v>30</v>
      </c>
      <c r="B36" s="101" t="s">
        <v>74</v>
      </c>
      <c r="C36" s="110" t="s">
        <v>377</v>
      </c>
      <c r="D36" s="103">
        <f t="shared" si="0"/>
        <v>0</v>
      </c>
      <c r="E36" s="111">
        <v>0</v>
      </c>
      <c r="F36" s="327"/>
      <c r="G36" s="327"/>
      <c r="H36" s="327"/>
      <c r="I36" s="327"/>
      <c r="J36" s="327"/>
      <c r="K36" s="327"/>
      <c r="L36" s="458"/>
    </row>
    <row r="37" spans="1:12" s="97" customFormat="1" x14ac:dyDescent="0.25">
      <c r="A37" s="327">
        <v>31</v>
      </c>
      <c r="B37" s="101" t="s">
        <v>75</v>
      </c>
      <c r="C37" s="104" t="s">
        <v>76</v>
      </c>
      <c r="D37" s="103">
        <f t="shared" si="0"/>
        <v>412</v>
      </c>
      <c r="E37" s="105">
        <v>412</v>
      </c>
      <c r="F37" s="327"/>
      <c r="G37" s="327"/>
      <c r="H37" s="327"/>
      <c r="I37" s="327"/>
      <c r="J37" s="327"/>
      <c r="K37" s="327"/>
      <c r="L37" s="458"/>
    </row>
    <row r="38" spans="1:12" s="97" customFormat="1" x14ac:dyDescent="0.25">
      <c r="A38" s="327">
        <v>32</v>
      </c>
      <c r="B38" s="106" t="s">
        <v>77</v>
      </c>
      <c r="C38" s="107" t="s">
        <v>78</v>
      </c>
      <c r="D38" s="103">
        <f t="shared" si="0"/>
        <v>4312</v>
      </c>
      <c r="E38" s="108">
        <v>4312</v>
      </c>
      <c r="F38" s="327"/>
      <c r="G38" s="327"/>
      <c r="H38" s="327">
        <v>7</v>
      </c>
      <c r="I38" s="327"/>
      <c r="J38" s="327"/>
      <c r="K38" s="327"/>
      <c r="L38" s="458"/>
    </row>
    <row r="39" spans="1:12" s="97" customFormat="1" x14ac:dyDescent="0.25">
      <c r="A39" s="327">
        <v>33</v>
      </c>
      <c r="B39" s="101" t="s">
        <v>79</v>
      </c>
      <c r="C39" s="104" t="s">
        <v>80</v>
      </c>
      <c r="D39" s="103">
        <f t="shared" si="0"/>
        <v>6394</v>
      </c>
      <c r="E39" s="105">
        <v>6394</v>
      </c>
      <c r="F39" s="327"/>
      <c r="G39" s="327"/>
      <c r="H39" s="327">
        <v>8</v>
      </c>
      <c r="I39" s="327"/>
      <c r="J39" s="327"/>
      <c r="K39" s="327"/>
      <c r="L39" s="458"/>
    </row>
    <row r="40" spans="1:12" s="97" customFormat="1" x14ac:dyDescent="0.25">
      <c r="A40" s="327">
        <v>34</v>
      </c>
      <c r="B40" s="109" t="s">
        <v>81</v>
      </c>
      <c r="C40" s="110" t="s">
        <v>82</v>
      </c>
      <c r="D40" s="103">
        <f t="shared" si="0"/>
        <v>1257</v>
      </c>
      <c r="E40" s="111">
        <v>1257</v>
      </c>
      <c r="F40" s="327"/>
      <c r="G40" s="327"/>
      <c r="H40" s="327"/>
      <c r="I40" s="327"/>
      <c r="J40" s="327"/>
      <c r="K40" s="327"/>
      <c r="L40" s="458"/>
    </row>
    <row r="41" spans="1:12" s="97" customFormat="1" x14ac:dyDescent="0.25">
      <c r="A41" s="327">
        <v>35</v>
      </c>
      <c r="B41" s="101" t="s">
        <v>83</v>
      </c>
      <c r="C41" s="104" t="s">
        <v>84</v>
      </c>
      <c r="D41" s="103">
        <f t="shared" si="0"/>
        <v>4228</v>
      </c>
      <c r="E41" s="105">
        <v>4228</v>
      </c>
      <c r="F41" s="327"/>
      <c r="G41" s="327"/>
      <c r="H41" s="327">
        <v>10</v>
      </c>
      <c r="I41" s="327"/>
      <c r="J41" s="327"/>
      <c r="K41" s="327">
        <v>510</v>
      </c>
      <c r="L41" s="458"/>
    </row>
    <row r="42" spans="1:12" s="97" customFormat="1" x14ac:dyDescent="0.25">
      <c r="A42" s="327">
        <v>36</v>
      </c>
      <c r="B42" s="101" t="s">
        <v>85</v>
      </c>
      <c r="C42" s="104" t="s">
        <v>86</v>
      </c>
      <c r="D42" s="103">
        <f t="shared" si="0"/>
        <v>1644</v>
      </c>
      <c r="E42" s="105">
        <v>1644</v>
      </c>
      <c r="F42" s="327"/>
      <c r="G42" s="327"/>
      <c r="H42" s="327">
        <v>0</v>
      </c>
      <c r="I42" s="327"/>
      <c r="J42" s="327"/>
      <c r="K42" s="327"/>
      <c r="L42" s="458"/>
    </row>
    <row r="43" spans="1:12" s="97" customFormat="1" x14ac:dyDescent="0.25">
      <c r="A43" s="327">
        <v>37</v>
      </c>
      <c r="B43" s="106" t="s">
        <v>87</v>
      </c>
      <c r="C43" s="107" t="s">
        <v>88</v>
      </c>
      <c r="D43" s="103">
        <f t="shared" si="0"/>
        <v>4367</v>
      </c>
      <c r="E43" s="108">
        <v>4367</v>
      </c>
      <c r="F43" s="327"/>
      <c r="G43" s="327"/>
      <c r="H43" s="327">
        <v>10</v>
      </c>
      <c r="I43" s="327"/>
      <c r="J43" s="327"/>
      <c r="K43" s="327"/>
      <c r="L43" s="458"/>
    </row>
    <row r="44" spans="1:12" s="97" customFormat="1" x14ac:dyDescent="0.25">
      <c r="A44" s="327">
        <v>38</v>
      </c>
      <c r="B44" s="101" t="s">
        <v>89</v>
      </c>
      <c r="C44" s="104" t="s">
        <v>90</v>
      </c>
      <c r="D44" s="103">
        <f t="shared" si="0"/>
        <v>1485</v>
      </c>
      <c r="E44" s="105">
        <v>1485</v>
      </c>
      <c r="F44" s="327"/>
      <c r="G44" s="327"/>
      <c r="H44" s="327"/>
      <c r="I44" s="327"/>
      <c r="J44" s="327"/>
      <c r="K44" s="327"/>
      <c r="L44" s="458"/>
    </row>
    <row r="45" spans="1:12" s="97" customFormat="1" x14ac:dyDescent="0.25">
      <c r="A45" s="327">
        <v>39</v>
      </c>
      <c r="B45" s="101" t="s">
        <v>91</v>
      </c>
      <c r="C45" s="104" t="s">
        <v>92</v>
      </c>
      <c r="D45" s="103">
        <f t="shared" si="0"/>
        <v>938</v>
      </c>
      <c r="E45" s="105">
        <v>938</v>
      </c>
      <c r="F45" s="327"/>
      <c r="G45" s="327"/>
      <c r="H45" s="327"/>
      <c r="I45" s="327"/>
      <c r="J45" s="327"/>
      <c r="K45" s="327"/>
      <c r="L45" s="458"/>
    </row>
    <row r="46" spans="1:12" s="97" customFormat="1" x14ac:dyDescent="0.25">
      <c r="A46" s="327">
        <v>40</v>
      </c>
      <c r="B46" s="114" t="s">
        <v>93</v>
      </c>
      <c r="C46" s="115" t="s">
        <v>94</v>
      </c>
      <c r="D46" s="103">
        <f t="shared" si="0"/>
        <v>1617</v>
      </c>
      <c r="E46" s="116">
        <v>1617</v>
      </c>
      <c r="F46" s="327"/>
      <c r="G46" s="327"/>
      <c r="H46" s="327">
        <v>0</v>
      </c>
      <c r="I46" s="327"/>
      <c r="J46" s="327"/>
      <c r="K46" s="327"/>
      <c r="L46" s="458"/>
    </row>
    <row r="47" spans="1:12" s="97" customFormat="1" x14ac:dyDescent="0.25">
      <c r="A47" s="327">
        <v>41</v>
      </c>
      <c r="B47" s="101" t="s">
        <v>95</v>
      </c>
      <c r="C47" s="104" t="s">
        <v>96</v>
      </c>
      <c r="D47" s="103">
        <f t="shared" si="0"/>
        <v>739</v>
      </c>
      <c r="E47" s="105">
        <v>739</v>
      </c>
      <c r="F47" s="327"/>
      <c r="G47" s="327"/>
      <c r="H47" s="327"/>
      <c r="I47" s="327"/>
      <c r="J47" s="327"/>
      <c r="K47" s="327"/>
      <c r="L47" s="458"/>
    </row>
    <row r="48" spans="1:12" s="97" customFormat="1" x14ac:dyDescent="0.25">
      <c r="A48" s="327">
        <v>42</v>
      </c>
      <c r="B48" s="109" t="s">
        <v>97</v>
      </c>
      <c r="C48" s="110" t="s">
        <v>98</v>
      </c>
      <c r="D48" s="103">
        <f t="shared" si="0"/>
        <v>301</v>
      </c>
      <c r="E48" s="111">
        <v>301</v>
      </c>
      <c r="F48" s="327"/>
      <c r="G48" s="327"/>
      <c r="H48" s="327"/>
      <c r="I48" s="327">
        <v>100</v>
      </c>
      <c r="J48" s="327"/>
      <c r="K48" s="327"/>
      <c r="L48" s="458"/>
    </row>
    <row r="49" spans="1:12" s="97" customFormat="1" x14ac:dyDescent="0.25">
      <c r="A49" s="327">
        <v>43</v>
      </c>
      <c r="B49" s="106" t="s">
        <v>99</v>
      </c>
      <c r="C49" s="107" t="s">
        <v>100</v>
      </c>
      <c r="D49" s="103">
        <f t="shared" si="0"/>
        <v>5485</v>
      </c>
      <c r="E49" s="108">
        <v>5485</v>
      </c>
      <c r="F49" s="327"/>
      <c r="G49" s="327"/>
      <c r="H49" s="327">
        <v>17</v>
      </c>
      <c r="I49" s="327"/>
      <c r="J49" s="327"/>
      <c r="K49" s="327">
        <v>300</v>
      </c>
      <c r="L49" s="458"/>
    </row>
    <row r="50" spans="1:12" s="97" customFormat="1" x14ac:dyDescent="0.25">
      <c r="A50" s="327">
        <v>44</v>
      </c>
      <c r="B50" s="101" t="s">
        <v>101</v>
      </c>
      <c r="C50" s="104" t="s">
        <v>102</v>
      </c>
      <c r="D50" s="103">
        <f t="shared" si="0"/>
        <v>1349</v>
      </c>
      <c r="E50" s="105">
        <v>1349</v>
      </c>
      <c r="F50" s="327"/>
      <c r="G50" s="327"/>
      <c r="H50" s="327"/>
      <c r="I50" s="327"/>
      <c r="J50" s="327"/>
      <c r="K50" s="327"/>
      <c r="L50" s="458"/>
    </row>
    <row r="51" spans="1:12" s="97" customFormat="1" x14ac:dyDescent="0.25">
      <c r="A51" s="327">
        <v>45</v>
      </c>
      <c r="B51" s="106" t="s">
        <v>103</v>
      </c>
      <c r="C51" s="107" t="s">
        <v>104</v>
      </c>
      <c r="D51" s="103">
        <f t="shared" si="0"/>
        <v>4589</v>
      </c>
      <c r="E51" s="108">
        <v>4589</v>
      </c>
      <c r="F51" s="327"/>
      <c r="G51" s="327"/>
      <c r="H51" s="327">
        <v>0</v>
      </c>
      <c r="I51" s="327"/>
      <c r="J51" s="327"/>
      <c r="K51" s="327"/>
      <c r="L51" s="458"/>
    </row>
    <row r="52" spans="1:12" s="97" customFormat="1" x14ac:dyDescent="0.25">
      <c r="A52" s="327">
        <v>46</v>
      </c>
      <c r="B52" s="101" t="s">
        <v>105</v>
      </c>
      <c r="C52" s="104" t="s">
        <v>106</v>
      </c>
      <c r="D52" s="103">
        <f t="shared" si="0"/>
        <v>1009</v>
      </c>
      <c r="E52" s="105">
        <v>1009</v>
      </c>
      <c r="F52" s="327"/>
      <c r="G52" s="327"/>
      <c r="H52" s="327"/>
      <c r="I52" s="327"/>
      <c r="J52" s="327"/>
      <c r="K52" s="327"/>
      <c r="L52" s="458"/>
    </row>
    <row r="53" spans="1:12" s="97" customFormat="1" ht="10.5" customHeight="1" x14ac:dyDescent="0.25">
      <c r="A53" s="327">
        <v>47</v>
      </c>
      <c r="B53" s="101" t="s">
        <v>107</v>
      </c>
      <c r="C53" s="104" t="s">
        <v>108</v>
      </c>
      <c r="D53" s="103">
        <f t="shared" si="0"/>
        <v>1622</v>
      </c>
      <c r="E53" s="105">
        <v>1622</v>
      </c>
      <c r="F53" s="327"/>
      <c r="G53" s="327"/>
      <c r="H53" s="327"/>
      <c r="I53" s="327"/>
      <c r="J53" s="327"/>
      <c r="K53" s="327"/>
      <c r="L53" s="458"/>
    </row>
    <row r="54" spans="1:12" s="97" customFormat="1" x14ac:dyDescent="0.25">
      <c r="A54" s="327">
        <v>48</v>
      </c>
      <c r="B54" s="117" t="s">
        <v>109</v>
      </c>
      <c r="C54" s="330" t="s">
        <v>110</v>
      </c>
      <c r="D54" s="103">
        <f t="shared" si="0"/>
        <v>1903</v>
      </c>
      <c r="E54" s="331">
        <v>1903</v>
      </c>
      <c r="F54" s="327"/>
      <c r="G54" s="327"/>
      <c r="H54" s="327"/>
      <c r="I54" s="327"/>
      <c r="J54" s="327"/>
      <c r="K54" s="327"/>
      <c r="L54" s="458"/>
    </row>
    <row r="55" spans="1:12" s="97" customFormat="1" x14ac:dyDescent="0.25">
      <c r="A55" s="327">
        <v>49</v>
      </c>
      <c r="B55" s="106" t="s">
        <v>111</v>
      </c>
      <c r="C55" s="107" t="s">
        <v>112</v>
      </c>
      <c r="D55" s="103">
        <f t="shared" si="0"/>
        <v>640</v>
      </c>
      <c r="E55" s="108">
        <v>640</v>
      </c>
      <c r="F55" s="327"/>
      <c r="G55" s="327"/>
      <c r="H55" s="327"/>
      <c r="I55" s="327"/>
      <c r="J55" s="327"/>
      <c r="K55" s="327"/>
      <c r="L55" s="458"/>
    </row>
    <row r="56" spans="1:12" s="97" customFormat="1" x14ac:dyDescent="0.25">
      <c r="A56" s="327">
        <v>50</v>
      </c>
      <c r="B56" s="101" t="s">
        <v>113</v>
      </c>
      <c r="C56" s="104" t="s">
        <v>114</v>
      </c>
      <c r="D56" s="103">
        <f t="shared" si="0"/>
        <v>1275</v>
      </c>
      <c r="E56" s="105">
        <v>1275</v>
      </c>
      <c r="F56" s="327"/>
      <c r="G56" s="327"/>
      <c r="H56" s="327"/>
      <c r="I56" s="327"/>
      <c r="J56" s="327"/>
      <c r="K56" s="327"/>
      <c r="L56" s="458"/>
    </row>
    <row r="57" spans="1:12" s="97" customFormat="1" ht="10.5" customHeight="1" x14ac:dyDescent="0.25">
      <c r="A57" s="327">
        <v>51</v>
      </c>
      <c r="B57" s="106" t="s">
        <v>115</v>
      </c>
      <c r="C57" s="107" t="s">
        <v>116</v>
      </c>
      <c r="D57" s="103">
        <f t="shared" si="0"/>
        <v>1918</v>
      </c>
      <c r="E57" s="108">
        <v>1918</v>
      </c>
      <c r="F57" s="327"/>
      <c r="G57" s="327"/>
      <c r="H57" s="327"/>
      <c r="I57" s="327"/>
      <c r="J57" s="327"/>
      <c r="K57" s="327"/>
      <c r="L57" s="458"/>
    </row>
    <row r="58" spans="1:12" s="97" customFormat="1" x14ac:dyDescent="0.25">
      <c r="A58" s="327">
        <v>52</v>
      </c>
      <c r="B58" s="101" t="s">
        <v>117</v>
      </c>
      <c r="C58" s="104" t="s">
        <v>118</v>
      </c>
      <c r="D58" s="103">
        <f t="shared" si="0"/>
        <v>6686</v>
      </c>
      <c r="E58" s="105">
        <v>6686</v>
      </c>
      <c r="F58" s="327"/>
      <c r="G58" s="327"/>
      <c r="H58" s="327">
        <v>10</v>
      </c>
      <c r="I58" s="327"/>
      <c r="J58" s="327"/>
      <c r="K58" s="327"/>
      <c r="L58" s="458"/>
    </row>
    <row r="59" spans="1:12" s="97" customFormat="1" x14ac:dyDescent="0.25">
      <c r="A59" s="327">
        <v>53</v>
      </c>
      <c r="B59" s="106" t="s">
        <v>119</v>
      </c>
      <c r="C59" s="107" t="s">
        <v>120</v>
      </c>
      <c r="D59" s="103">
        <f t="shared" si="0"/>
        <v>1052</v>
      </c>
      <c r="E59" s="108">
        <v>1052</v>
      </c>
      <c r="F59" s="327"/>
      <c r="G59" s="327"/>
      <c r="H59" s="327"/>
      <c r="I59" s="327"/>
      <c r="J59" s="327"/>
      <c r="K59" s="327"/>
      <c r="L59" s="458"/>
    </row>
    <row r="60" spans="1:12" s="97" customFormat="1" x14ac:dyDescent="0.25">
      <c r="A60" s="327">
        <v>54</v>
      </c>
      <c r="B60" s="106" t="s">
        <v>121</v>
      </c>
      <c r="C60" s="107" t="s">
        <v>122</v>
      </c>
      <c r="D60" s="103">
        <f t="shared" si="0"/>
        <v>4</v>
      </c>
      <c r="E60" s="108">
        <v>4</v>
      </c>
      <c r="F60" s="327"/>
      <c r="G60" s="327"/>
      <c r="H60" s="327"/>
      <c r="I60" s="327"/>
      <c r="J60" s="327"/>
      <c r="K60" s="327"/>
      <c r="L60" s="458"/>
    </row>
    <row r="61" spans="1:12" s="97" customFormat="1" x14ac:dyDescent="0.25">
      <c r="A61" s="327">
        <v>55</v>
      </c>
      <c r="B61" s="106" t="s">
        <v>123</v>
      </c>
      <c r="C61" s="107" t="s">
        <v>124</v>
      </c>
      <c r="D61" s="103">
        <f t="shared" si="0"/>
        <v>0</v>
      </c>
      <c r="E61" s="108">
        <v>0</v>
      </c>
      <c r="F61" s="327"/>
      <c r="G61" s="327"/>
      <c r="H61" s="327"/>
      <c r="I61" s="327"/>
      <c r="J61" s="327"/>
      <c r="K61" s="327"/>
      <c r="L61" s="458"/>
    </row>
    <row r="62" spans="1:12" s="97" customFormat="1" x14ac:dyDescent="0.25">
      <c r="A62" s="327">
        <v>56</v>
      </c>
      <c r="B62" s="106">
        <v>29179</v>
      </c>
      <c r="C62" s="107" t="s">
        <v>126</v>
      </c>
      <c r="D62" s="103">
        <f t="shared" si="0"/>
        <v>0</v>
      </c>
      <c r="E62" s="108">
        <v>0</v>
      </c>
      <c r="F62" s="327"/>
      <c r="G62" s="327"/>
      <c r="H62" s="327"/>
      <c r="I62" s="327"/>
      <c r="J62" s="327"/>
      <c r="K62" s="327">
        <v>360</v>
      </c>
      <c r="L62" s="458"/>
    </row>
    <row r="63" spans="1:12" s="97" customFormat="1" ht="12" customHeight="1" x14ac:dyDescent="0.25">
      <c r="A63" s="327">
        <v>57</v>
      </c>
      <c r="B63" s="106" t="s">
        <v>127</v>
      </c>
      <c r="C63" s="107" t="s">
        <v>128</v>
      </c>
      <c r="D63" s="103">
        <f t="shared" si="0"/>
        <v>2189</v>
      </c>
      <c r="E63" s="108">
        <v>2189</v>
      </c>
      <c r="F63" s="327"/>
      <c r="G63" s="327"/>
      <c r="H63" s="327"/>
      <c r="I63" s="327"/>
      <c r="J63" s="327"/>
      <c r="K63" s="327"/>
      <c r="L63" s="458"/>
    </row>
    <row r="64" spans="1:12" s="97" customFormat="1" ht="12.75" customHeight="1" x14ac:dyDescent="0.25">
      <c r="A64" s="327">
        <v>58</v>
      </c>
      <c r="B64" s="106" t="s">
        <v>129</v>
      </c>
      <c r="C64" s="107" t="s">
        <v>457</v>
      </c>
      <c r="D64" s="103">
        <f t="shared" si="0"/>
        <v>1591</v>
      </c>
      <c r="E64" s="108">
        <v>1591</v>
      </c>
      <c r="F64" s="327"/>
      <c r="G64" s="327"/>
      <c r="H64" s="327"/>
      <c r="I64" s="327"/>
      <c r="J64" s="327"/>
      <c r="K64" s="327"/>
      <c r="L64" s="458"/>
    </row>
    <row r="65" spans="1:12" s="97" customFormat="1" ht="11.25" customHeight="1" x14ac:dyDescent="0.25">
      <c r="A65" s="327">
        <v>59</v>
      </c>
      <c r="B65" s="106" t="s">
        <v>131</v>
      </c>
      <c r="C65" s="107" t="s">
        <v>458</v>
      </c>
      <c r="D65" s="103">
        <f t="shared" si="0"/>
        <v>2385</v>
      </c>
      <c r="E65" s="108">
        <v>2385</v>
      </c>
      <c r="F65" s="327"/>
      <c r="G65" s="327"/>
      <c r="H65" s="327"/>
      <c r="I65" s="327"/>
      <c r="J65" s="327"/>
      <c r="K65" s="327"/>
      <c r="L65" s="458"/>
    </row>
    <row r="66" spans="1:12" s="97" customFormat="1" ht="11.25" customHeight="1" x14ac:dyDescent="0.25">
      <c r="A66" s="327">
        <v>60</v>
      </c>
      <c r="B66" s="101" t="s">
        <v>133</v>
      </c>
      <c r="C66" s="107" t="s">
        <v>299</v>
      </c>
      <c r="D66" s="103">
        <f t="shared" si="0"/>
        <v>2913</v>
      </c>
      <c r="E66" s="108">
        <v>2913</v>
      </c>
      <c r="F66" s="327"/>
      <c r="G66" s="327"/>
      <c r="H66" s="327"/>
      <c r="I66" s="327"/>
      <c r="J66" s="327"/>
      <c r="K66" s="327"/>
      <c r="L66" s="458"/>
    </row>
    <row r="67" spans="1:12" s="97" customFormat="1" ht="11.25" customHeight="1" x14ac:dyDescent="0.25">
      <c r="A67" s="327">
        <v>61</v>
      </c>
      <c r="B67" s="109" t="s">
        <v>135</v>
      </c>
      <c r="C67" s="107" t="s">
        <v>459</v>
      </c>
      <c r="D67" s="103">
        <f t="shared" si="0"/>
        <v>1308</v>
      </c>
      <c r="E67" s="108">
        <v>1308</v>
      </c>
      <c r="F67" s="327"/>
      <c r="G67" s="327"/>
      <c r="H67" s="327"/>
      <c r="I67" s="327"/>
      <c r="J67" s="327"/>
      <c r="K67" s="327"/>
      <c r="L67" s="458"/>
    </row>
    <row r="68" spans="1:12" s="97" customFormat="1" ht="28.5" customHeight="1" x14ac:dyDescent="0.25">
      <c r="A68" s="327">
        <v>62</v>
      </c>
      <c r="B68" s="101" t="s">
        <v>137</v>
      </c>
      <c r="C68" s="107" t="s">
        <v>635</v>
      </c>
      <c r="D68" s="103">
        <f t="shared" si="0"/>
        <v>0</v>
      </c>
      <c r="E68" s="108">
        <v>0</v>
      </c>
      <c r="F68" s="327"/>
      <c r="G68" s="327"/>
      <c r="H68" s="327"/>
      <c r="I68" s="327"/>
      <c r="J68" s="327"/>
      <c r="K68" s="327"/>
      <c r="L68" s="458"/>
    </row>
    <row r="69" spans="1:12" s="97" customFormat="1" ht="28.5" customHeight="1" x14ac:dyDescent="0.25">
      <c r="A69" s="327">
        <v>63</v>
      </c>
      <c r="B69" s="106" t="s">
        <v>139</v>
      </c>
      <c r="C69" s="107" t="s">
        <v>636</v>
      </c>
      <c r="D69" s="103">
        <f t="shared" si="0"/>
        <v>0</v>
      </c>
      <c r="E69" s="108">
        <v>0</v>
      </c>
      <c r="F69" s="327"/>
      <c r="G69" s="327"/>
      <c r="H69" s="327"/>
      <c r="I69" s="327"/>
      <c r="J69" s="327"/>
      <c r="K69" s="327"/>
      <c r="L69" s="458"/>
    </row>
    <row r="70" spans="1:12" s="97" customFormat="1" ht="11.25" customHeight="1" x14ac:dyDescent="0.25">
      <c r="A70" s="327">
        <v>64</v>
      </c>
      <c r="B70" s="101" t="s">
        <v>141</v>
      </c>
      <c r="C70" s="107" t="s">
        <v>454</v>
      </c>
      <c r="D70" s="103">
        <f t="shared" si="0"/>
        <v>3980</v>
      </c>
      <c r="E70" s="108">
        <v>3980</v>
      </c>
      <c r="F70" s="327"/>
      <c r="G70" s="327"/>
      <c r="H70" s="327"/>
      <c r="I70" s="327"/>
      <c r="J70" s="327"/>
      <c r="K70" s="327"/>
      <c r="L70" s="458"/>
    </row>
    <row r="71" spans="1:12" s="97" customFormat="1" ht="11.25" customHeight="1" x14ac:dyDescent="0.25">
      <c r="A71" s="327">
        <v>65</v>
      </c>
      <c r="B71" s="101" t="s">
        <v>143</v>
      </c>
      <c r="C71" s="107" t="s">
        <v>144</v>
      </c>
      <c r="D71" s="103">
        <f t="shared" ref="D71:D134" si="1">E71+J71</f>
        <v>2375</v>
      </c>
      <c r="E71" s="108">
        <v>2375</v>
      </c>
      <c r="F71" s="327"/>
      <c r="G71" s="327"/>
      <c r="H71" s="327"/>
      <c r="I71" s="327"/>
      <c r="J71" s="327"/>
      <c r="K71" s="327">
        <v>300</v>
      </c>
      <c r="L71" s="458"/>
    </row>
    <row r="72" spans="1:12" s="97" customFormat="1" x14ac:dyDescent="0.25">
      <c r="A72" s="327">
        <v>66</v>
      </c>
      <c r="B72" s="101" t="s">
        <v>145</v>
      </c>
      <c r="C72" s="107" t="s">
        <v>455</v>
      </c>
      <c r="D72" s="103">
        <f t="shared" si="1"/>
        <v>5965</v>
      </c>
      <c r="E72" s="108">
        <v>5965</v>
      </c>
      <c r="F72" s="327">
        <v>32</v>
      </c>
      <c r="G72" s="327"/>
      <c r="H72" s="327"/>
      <c r="I72" s="327"/>
      <c r="J72" s="327"/>
      <c r="K72" s="327"/>
      <c r="L72" s="458"/>
    </row>
    <row r="73" spans="1:12" s="97" customFormat="1" ht="24" x14ac:dyDescent="0.25">
      <c r="A73" s="327">
        <v>67</v>
      </c>
      <c r="B73" s="101" t="s">
        <v>147</v>
      </c>
      <c r="C73" s="107" t="s">
        <v>637</v>
      </c>
      <c r="D73" s="103">
        <f t="shared" si="1"/>
        <v>0</v>
      </c>
      <c r="E73" s="108">
        <v>0</v>
      </c>
      <c r="F73" s="327"/>
      <c r="G73" s="327"/>
      <c r="H73" s="327"/>
      <c r="I73" s="327"/>
      <c r="J73" s="327"/>
      <c r="K73" s="327"/>
      <c r="L73" s="458"/>
    </row>
    <row r="74" spans="1:12" s="97" customFormat="1" ht="24" x14ac:dyDescent="0.25">
      <c r="A74" s="327">
        <v>68</v>
      </c>
      <c r="B74" s="101" t="s">
        <v>149</v>
      </c>
      <c r="C74" s="107" t="s">
        <v>461</v>
      </c>
      <c r="D74" s="103">
        <f t="shared" si="1"/>
        <v>0</v>
      </c>
      <c r="E74" s="108">
        <v>0</v>
      </c>
      <c r="F74" s="327"/>
      <c r="G74" s="327"/>
      <c r="H74" s="327"/>
      <c r="I74" s="327"/>
      <c r="J74" s="327"/>
      <c r="K74" s="327"/>
      <c r="L74" s="458"/>
    </row>
    <row r="75" spans="1:12" s="97" customFormat="1" ht="24" x14ac:dyDescent="0.25">
      <c r="A75" s="327">
        <v>69</v>
      </c>
      <c r="B75" s="101" t="s">
        <v>151</v>
      </c>
      <c r="C75" s="107" t="s">
        <v>638</v>
      </c>
      <c r="D75" s="103">
        <f t="shared" si="1"/>
        <v>0</v>
      </c>
      <c r="E75" s="108">
        <v>0</v>
      </c>
      <c r="F75" s="327"/>
      <c r="G75" s="327"/>
      <c r="H75" s="327"/>
      <c r="I75" s="327"/>
      <c r="J75" s="327"/>
      <c r="K75" s="327"/>
      <c r="L75" s="458"/>
    </row>
    <row r="76" spans="1:12" s="97" customFormat="1" ht="24" x14ac:dyDescent="0.25">
      <c r="A76" s="327">
        <v>70</v>
      </c>
      <c r="B76" s="101" t="s">
        <v>153</v>
      </c>
      <c r="C76" s="107" t="s">
        <v>639</v>
      </c>
      <c r="D76" s="103">
        <f t="shared" si="1"/>
        <v>0</v>
      </c>
      <c r="E76" s="108">
        <v>0</v>
      </c>
      <c r="F76" s="327"/>
      <c r="G76" s="327"/>
      <c r="H76" s="327"/>
      <c r="I76" s="327"/>
      <c r="J76" s="327"/>
      <c r="K76" s="327"/>
      <c r="L76" s="458"/>
    </row>
    <row r="77" spans="1:12" s="97" customFormat="1" ht="24" x14ac:dyDescent="0.25">
      <c r="A77" s="327">
        <v>71</v>
      </c>
      <c r="B77" s="106" t="s">
        <v>155</v>
      </c>
      <c r="C77" s="107" t="s">
        <v>640</v>
      </c>
      <c r="D77" s="103">
        <f t="shared" si="1"/>
        <v>0</v>
      </c>
      <c r="E77" s="108">
        <v>0</v>
      </c>
      <c r="F77" s="327"/>
      <c r="G77" s="327"/>
      <c r="H77" s="327"/>
      <c r="I77" s="327"/>
      <c r="J77" s="327"/>
      <c r="K77" s="327"/>
      <c r="L77" s="458"/>
    </row>
    <row r="78" spans="1:12" s="97" customFormat="1" ht="24" x14ac:dyDescent="0.25">
      <c r="A78" s="327">
        <v>72</v>
      </c>
      <c r="B78" s="101" t="s">
        <v>157</v>
      </c>
      <c r="C78" s="104" t="s">
        <v>641</v>
      </c>
      <c r="D78" s="103">
        <f t="shared" si="1"/>
        <v>0</v>
      </c>
      <c r="E78" s="105">
        <v>0</v>
      </c>
      <c r="F78" s="327"/>
      <c r="G78" s="327"/>
      <c r="H78" s="327"/>
      <c r="I78" s="327"/>
      <c r="J78" s="327"/>
      <c r="K78" s="327"/>
      <c r="L78" s="458"/>
    </row>
    <row r="79" spans="1:12" s="97" customFormat="1" ht="24" x14ac:dyDescent="0.25">
      <c r="A79" s="327">
        <v>73</v>
      </c>
      <c r="B79" s="106" t="s">
        <v>159</v>
      </c>
      <c r="C79" s="107" t="s">
        <v>642</v>
      </c>
      <c r="D79" s="103">
        <f t="shared" si="1"/>
        <v>0</v>
      </c>
      <c r="E79" s="108">
        <v>0</v>
      </c>
      <c r="F79" s="327"/>
      <c r="G79" s="327"/>
      <c r="H79" s="327"/>
      <c r="I79" s="327"/>
      <c r="J79" s="327"/>
      <c r="K79" s="327"/>
      <c r="L79" s="458"/>
    </row>
    <row r="80" spans="1:12" s="97" customFormat="1" x14ac:dyDescent="0.25">
      <c r="A80" s="327">
        <v>74</v>
      </c>
      <c r="B80" s="101" t="s">
        <v>161</v>
      </c>
      <c r="C80" s="107" t="s">
        <v>162</v>
      </c>
      <c r="D80" s="103">
        <f t="shared" si="1"/>
        <v>4344</v>
      </c>
      <c r="E80" s="108">
        <v>4344</v>
      </c>
      <c r="F80" s="327"/>
      <c r="G80" s="327"/>
      <c r="H80" s="327"/>
      <c r="I80" s="327"/>
      <c r="J80" s="327"/>
      <c r="K80" s="327"/>
      <c r="L80" s="458"/>
    </row>
    <row r="81" spans="1:12" s="97" customFormat="1" x14ac:dyDescent="0.25">
      <c r="A81" s="327">
        <v>75</v>
      </c>
      <c r="B81" s="106" t="s">
        <v>163</v>
      </c>
      <c r="C81" s="107" t="s">
        <v>456</v>
      </c>
      <c r="D81" s="103">
        <f t="shared" si="1"/>
        <v>7669</v>
      </c>
      <c r="E81" s="108">
        <v>7669</v>
      </c>
      <c r="F81" s="327"/>
      <c r="G81" s="327"/>
      <c r="H81" s="327"/>
      <c r="I81" s="327"/>
      <c r="J81" s="327"/>
      <c r="K81" s="327">
        <v>400</v>
      </c>
      <c r="L81" s="458"/>
    </row>
    <row r="82" spans="1:12" s="97" customFormat="1" x14ac:dyDescent="0.25">
      <c r="A82" s="327">
        <v>76</v>
      </c>
      <c r="B82" s="106" t="s">
        <v>165</v>
      </c>
      <c r="C82" s="107" t="s">
        <v>166</v>
      </c>
      <c r="D82" s="103">
        <f t="shared" si="1"/>
        <v>5213</v>
      </c>
      <c r="E82" s="108">
        <v>5213</v>
      </c>
      <c r="F82" s="327"/>
      <c r="G82" s="327"/>
      <c r="H82" s="327"/>
      <c r="I82" s="327"/>
      <c r="J82" s="327"/>
      <c r="K82" s="327">
        <v>186</v>
      </c>
      <c r="L82" s="458"/>
    </row>
    <row r="83" spans="1:12" s="97" customFormat="1" x14ac:dyDescent="0.25">
      <c r="A83" s="327">
        <v>77</v>
      </c>
      <c r="B83" s="118" t="s">
        <v>167</v>
      </c>
      <c r="C83" s="330" t="s">
        <v>168</v>
      </c>
      <c r="D83" s="103">
        <f t="shared" si="1"/>
        <v>1750</v>
      </c>
      <c r="E83" s="331">
        <v>1750</v>
      </c>
      <c r="F83" s="327"/>
      <c r="G83" s="327"/>
      <c r="H83" s="327"/>
      <c r="I83" s="327"/>
      <c r="J83" s="327"/>
      <c r="K83" s="327"/>
      <c r="L83" s="458"/>
    </row>
    <row r="84" spans="1:12" s="97" customFormat="1" x14ac:dyDescent="0.25">
      <c r="A84" s="327">
        <v>78</v>
      </c>
      <c r="B84" s="101" t="s">
        <v>169</v>
      </c>
      <c r="C84" s="107" t="s">
        <v>170</v>
      </c>
      <c r="D84" s="103">
        <f t="shared" si="1"/>
        <v>7653</v>
      </c>
      <c r="E84" s="108">
        <v>7653</v>
      </c>
      <c r="F84" s="327">
        <v>475</v>
      </c>
      <c r="G84" s="327"/>
      <c r="H84" s="327"/>
      <c r="I84" s="327"/>
      <c r="J84" s="327"/>
      <c r="K84" s="327">
        <v>480</v>
      </c>
      <c r="L84" s="458"/>
    </row>
    <row r="85" spans="1:12" s="97" customFormat="1" x14ac:dyDescent="0.25">
      <c r="A85" s="327">
        <v>79</v>
      </c>
      <c r="B85" s="101" t="s">
        <v>171</v>
      </c>
      <c r="C85" s="107" t="s">
        <v>172</v>
      </c>
      <c r="D85" s="103">
        <f t="shared" si="1"/>
        <v>1710</v>
      </c>
      <c r="E85" s="108">
        <v>1710</v>
      </c>
      <c r="F85" s="327"/>
      <c r="G85" s="327"/>
      <c r="H85" s="327"/>
      <c r="I85" s="327"/>
      <c r="J85" s="327"/>
      <c r="K85" s="327">
        <v>231</v>
      </c>
      <c r="L85" s="458"/>
    </row>
    <row r="86" spans="1:12" s="97" customFormat="1" x14ac:dyDescent="0.25">
      <c r="A86" s="327">
        <v>80</v>
      </c>
      <c r="B86" s="101" t="s">
        <v>173</v>
      </c>
      <c r="C86" s="107" t="s">
        <v>613</v>
      </c>
      <c r="D86" s="103">
        <f t="shared" si="1"/>
        <v>5676</v>
      </c>
      <c r="E86" s="108">
        <v>5676</v>
      </c>
      <c r="F86" s="327"/>
      <c r="G86" s="327"/>
      <c r="H86" s="327"/>
      <c r="I86" s="327"/>
      <c r="J86" s="327"/>
      <c r="K86" s="327"/>
      <c r="L86" s="458"/>
    </row>
    <row r="87" spans="1:12" s="97" customFormat="1" x14ac:dyDescent="0.25">
      <c r="A87" s="327">
        <v>81</v>
      </c>
      <c r="B87" s="101" t="s">
        <v>175</v>
      </c>
      <c r="C87" s="107" t="s">
        <v>742</v>
      </c>
      <c r="D87" s="103">
        <f t="shared" si="1"/>
        <v>677</v>
      </c>
      <c r="E87" s="108">
        <v>677</v>
      </c>
      <c r="F87" s="327"/>
      <c r="G87" s="327"/>
      <c r="H87" s="327"/>
      <c r="I87" s="327"/>
      <c r="J87" s="327"/>
      <c r="K87" s="327"/>
      <c r="L87" s="458"/>
    </row>
    <row r="88" spans="1:12" s="97" customFormat="1" x14ac:dyDescent="0.25">
      <c r="A88" s="327">
        <v>82</v>
      </c>
      <c r="B88" s="101" t="s">
        <v>177</v>
      </c>
      <c r="C88" s="107" t="s">
        <v>643</v>
      </c>
      <c r="D88" s="103">
        <f t="shared" si="1"/>
        <v>0</v>
      </c>
      <c r="E88" s="108">
        <v>0</v>
      </c>
      <c r="F88" s="327"/>
      <c r="G88" s="327"/>
      <c r="H88" s="327"/>
      <c r="I88" s="327"/>
      <c r="J88" s="327"/>
      <c r="K88" s="327"/>
      <c r="L88" s="458"/>
    </row>
    <row r="89" spans="1:12" s="97" customFormat="1" x14ac:dyDescent="0.25">
      <c r="A89" s="327">
        <v>83</v>
      </c>
      <c r="B89" s="101" t="s">
        <v>178</v>
      </c>
      <c r="C89" s="107" t="s">
        <v>324</v>
      </c>
      <c r="D89" s="103">
        <f t="shared" si="1"/>
        <v>5000</v>
      </c>
      <c r="E89" s="108">
        <v>5000</v>
      </c>
      <c r="F89" s="327"/>
      <c r="G89" s="327"/>
      <c r="H89" s="327"/>
      <c r="I89" s="327"/>
      <c r="J89" s="327"/>
      <c r="K89" s="327"/>
      <c r="L89" s="458"/>
    </row>
    <row r="90" spans="1:12" s="97" customFormat="1" ht="27" customHeight="1" x14ac:dyDescent="0.25">
      <c r="A90" s="327">
        <v>84</v>
      </c>
      <c r="B90" s="106" t="s">
        <v>181</v>
      </c>
      <c r="C90" s="107" t="s">
        <v>182</v>
      </c>
      <c r="D90" s="103">
        <f t="shared" si="1"/>
        <v>0</v>
      </c>
      <c r="E90" s="108">
        <v>0</v>
      </c>
      <c r="F90" s="327"/>
      <c r="G90" s="327"/>
      <c r="H90" s="327"/>
      <c r="I90" s="327"/>
      <c r="J90" s="327"/>
      <c r="K90" s="327"/>
      <c r="L90" s="458"/>
    </row>
    <row r="91" spans="1:12" s="97" customFormat="1" x14ac:dyDescent="0.25">
      <c r="A91" s="327">
        <v>85</v>
      </c>
      <c r="B91" s="101" t="s">
        <v>183</v>
      </c>
      <c r="C91" s="107" t="s">
        <v>184</v>
      </c>
      <c r="D91" s="103">
        <f t="shared" si="1"/>
        <v>95</v>
      </c>
      <c r="E91" s="108">
        <v>95</v>
      </c>
      <c r="F91" s="327"/>
      <c r="G91" s="327"/>
      <c r="H91" s="327"/>
      <c r="I91" s="327"/>
      <c r="J91" s="327"/>
      <c r="K91" s="327"/>
      <c r="L91" s="458"/>
    </row>
    <row r="92" spans="1:12" s="97" customFormat="1" x14ac:dyDescent="0.25">
      <c r="A92" s="327">
        <v>86</v>
      </c>
      <c r="B92" s="106" t="s">
        <v>185</v>
      </c>
      <c r="C92" s="107" t="s">
        <v>186</v>
      </c>
      <c r="D92" s="103">
        <f t="shared" si="1"/>
        <v>1210</v>
      </c>
      <c r="E92" s="108">
        <v>1210</v>
      </c>
      <c r="F92" s="327"/>
      <c r="G92" s="327"/>
      <c r="H92" s="327"/>
      <c r="I92" s="327"/>
      <c r="J92" s="327"/>
      <c r="K92" s="327">
        <v>400</v>
      </c>
      <c r="L92" s="458"/>
    </row>
    <row r="93" spans="1:12" s="97" customFormat="1" x14ac:dyDescent="0.25">
      <c r="A93" s="327">
        <v>87</v>
      </c>
      <c r="B93" s="109" t="s">
        <v>187</v>
      </c>
      <c r="C93" s="110" t="s">
        <v>188</v>
      </c>
      <c r="D93" s="103">
        <f t="shared" si="1"/>
        <v>882</v>
      </c>
      <c r="E93" s="111">
        <v>882</v>
      </c>
      <c r="F93" s="327"/>
      <c r="G93" s="327"/>
      <c r="H93" s="327"/>
      <c r="I93" s="327"/>
      <c r="J93" s="327"/>
      <c r="K93" s="327"/>
      <c r="L93" s="458"/>
    </row>
    <row r="94" spans="1:12" s="97" customFormat="1" x14ac:dyDescent="0.25">
      <c r="A94" s="327">
        <v>88</v>
      </c>
      <c r="B94" s="101" t="s">
        <v>189</v>
      </c>
      <c r="C94" s="107" t="s">
        <v>190</v>
      </c>
      <c r="D94" s="103">
        <f t="shared" si="1"/>
        <v>910</v>
      </c>
      <c r="E94" s="108">
        <v>910</v>
      </c>
      <c r="F94" s="327"/>
      <c r="G94" s="327"/>
      <c r="H94" s="327"/>
      <c r="I94" s="327"/>
      <c r="J94" s="327"/>
      <c r="K94" s="327"/>
      <c r="L94" s="458"/>
    </row>
    <row r="95" spans="1:12" s="97" customFormat="1" x14ac:dyDescent="0.25">
      <c r="A95" s="327">
        <v>89</v>
      </c>
      <c r="B95" s="101" t="s">
        <v>191</v>
      </c>
      <c r="C95" s="107" t="s">
        <v>192</v>
      </c>
      <c r="D95" s="103">
        <f t="shared" si="1"/>
        <v>2561</v>
      </c>
      <c r="E95" s="108">
        <v>2561</v>
      </c>
      <c r="F95" s="327"/>
      <c r="G95" s="327"/>
      <c r="H95" s="327"/>
      <c r="I95" s="327"/>
      <c r="J95" s="327"/>
      <c r="K95" s="327"/>
      <c r="L95" s="458"/>
    </row>
    <row r="96" spans="1:12" s="97" customFormat="1" ht="13.5" customHeight="1" x14ac:dyDescent="0.25">
      <c r="A96" s="327">
        <v>90</v>
      </c>
      <c r="B96" s="109" t="s">
        <v>193</v>
      </c>
      <c r="C96" s="110" t="s">
        <v>194</v>
      </c>
      <c r="D96" s="103">
        <f t="shared" si="1"/>
        <v>1080</v>
      </c>
      <c r="E96" s="111">
        <v>1080</v>
      </c>
      <c r="F96" s="327"/>
      <c r="G96" s="327"/>
      <c r="H96" s="327"/>
      <c r="I96" s="327"/>
      <c r="J96" s="327"/>
      <c r="K96" s="327"/>
      <c r="L96" s="458"/>
    </row>
    <row r="97" spans="1:12" s="97" customFormat="1" ht="14.25" customHeight="1" x14ac:dyDescent="0.25">
      <c r="A97" s="327">
        <v>91</v>
      </c>
      <c r="B97" s="101" t="s">
        <v>195</v>
      </c>
      <c r="C97" s="107" t="s">
        <v>196</v>
      </c>
      <c r="D97" s="103">
        <f t="shared" si="1"/>
        <v>1334</v>
      </c>
      <c r="E97" s="108">
        <v>1334</v>
      </c>
      <c r="F97" s="327"/>
      <c r="G97" s="327"/>
      <c r="H97" s="327"/>
      <c r="I97" s="327"/>
      <c r="J97" s="327"/>
      <c r="K97" s="327"/>
      <c r="L97" s="458"/>
    </row>
    <row r="98" spans="1:12" s="97" customFormat="1" x14ac:dyDescent="0.25">
      <c r="A98" s="327">
        <v>92</v>
      </c>
      <c r="B98" s="109" t="s">
        <v>197</v>
      </c>
      <c r="C98" s="110" t="s">
        <v>198</v>
      </c>
      <c r="D98" s="103">
        <f t="shared" si="1"/>
        <v>3045</v>
      </c>
      <c r="E98" s="111">
        <v>3045</v>
      </c>
      <c r="F98" s="327"/>
      <c r="G98" s="327"/>
      <c r="H98" s="327"/>
      <c r="I98" s="327"/>
      <c r="J98" s="327"/>
      <c r="K98" s="327"/>
      <c r="L98" s="458"/>
    </row>
    <row r="99" spans="1:12" s="97" customFormat="1" x14ac:dyDescent="0.25">
      <c r="A99" s="327">
        <v>93</v>
      </c>
      <c r="B99" s="101" t="s">
        <v>199</v>
      </c>
      <c r="C99" s="107" t="s">
        <v>200</v>
      </c>
      <c r="D99" s="103">
        <f t="shared" si="1"/>
        <v>2400</v>
      </c>
      <c r="E99" s="108">
        <v>2400</v>
      </c>
      <c r="F99" s="327"/>
      <c r="G99" s="327"/>
      <c r="H99" s="327"/>
      <c r="I99" s="327"/>
      <c r="J99" s="327"/>
      <c r="K99" s="327"/>
      <c r="L99" s="458"/>
    </row>
    <row r="100" spans="1:12" s="97" customFormat="1" ht="12" customHeight="1" x14ac:dyDescent="0.25">
      <c r="A100" s="327">
        <v>94</v>
      </c>
      <c r="B100" s="106" t="s">
        <v>201</v>
      </c>
      <c r="C100" s="107" t="s">
        <v>202</v>
      </c>
      <c r="D100" s="103">
        <f t="shared" si="1"/>
        <v>835</v>
      </c>
      <c r="E100" s="108">
        <v>835</v>
      </c>
      <c r="F100" s="327"/>
      <c r="G100" s="327"/>
      <c r="H100" s="327"/>
      <c r="I100" s="327"/>
      <c r="J100" s="327"/>
      <c r="K100" s="327"/>
      <c r="L100" s="458"/>
    </row>
    <row r="101" spans="1:12" s="97" customFormat="1" x14ac:dyDescent="0.25">
      <c r="A101" s="327">
        <v>95</v>
      </c>
      <c r="B101" s="101" t="s">
        <v>203</v>
      </c>
      <c r="C101" s="104" t="s">
        <v>204</v>
      </c>
      <c r="D101" s="103">
        <f t="shared" si="1"/>
        <v>1335</v>
      </c>
      <c r="E101" s="105">
        <v>1335</v>
      </c>
      <c r="F101" s="327"/>
      <c r="G101" s="327"/>
      <c r="H101" s="327"/>
      <c r="I101" s="327"/>
      <c r="J101" s="327"/>
      <c r="K101" s="327"/>
      <c r="L101" s="458"/>
    </row>
    <row r="102" spans="1:12" s="97" customFormat="1" x14ac:dyDescent="0.25">
      <c r="A102" s="327">
        <v>96</v>
      </c>
      <c r="B102" s="101" t="s">
        <v>205</v>
      </c>
      <c r="C102" s="110" t="s">
        <v>206</v>
      </c>
      <c r="D102" s="103">
        <f t="shared" si="1"/>
        <v>1250</v>
      </c>
      <c r="E102" s="111">
        <v>1250</v>
      </c>
      <c r="F102" s="327"/>
      <c r="G102" s="327"/>
      <c r="H102" s="327"/>
      <c r="I102" s="327"/>
      <c r="J102" s="327"/>
      <c r="K102" s="327"/>
      <c r="L102" s="458"/>
    </row>
    <row r="103" spans="1:12" s="97" customFormat="1" x14ac:dyDescent="0.25">
      <c r="A103" s="327">
        <v>97</v>
      </c>
      <c r="B103" s="106" t="s">
        <v>207</v>
      </c>
      <c r="C103" s="107" t="s">
        <v>208</v>
      </c>
      <c r="D103" s="103">
        <f t="shared" si="1"/>
        <v>1477</v>
      </c>
      <c r="E103" s="108">
        <v>1477</v>
      </c>
      <c r="F103" s="327">
        <v>7</v>
      </c>
      <c r="G103" s="327"/>
      <c r="H103" s="327">
        <v>7</v>
      </c>
      <c r="I103" s="327"/>
      <c r="J103" s="327"/>
      <c r="K103" s="327"/>
      <c r="L103" s="458"/>
    </row>
    <row r="104" spans="1:12" s="97" customFormat="1" x14ac:dyDescent="0.25">
      <c r="A104" s="327">
        <v>98</v>
      </c>
      <c r="B104" s="101" t="s">
        <v>209</v>
      </c>
      <c r="C104" s="332" t="s">
        <v>210</v>
      </c>
      <c r="D104" s="103">
        <f t="shared" si="1"/>
        <v>996</v>
      </c>
      <c r="E104" s="333">
        <v>996</v>
      </c>
      <c r="F104" s="327"/>
      <c r="G104" s="327"/>
      <c r="H104" s="327"/>
      <c r="I104" s="327"/>
      <c r="J104" s="327"/>
      <c r="K104" s="327"/>
      <c r="L104" s="458"/>
    </row>
    <row r="105" spans="1:12" s="97" customFormat="1" x14ac:dyDescent="0.25">
      <c r="A105" s="327">
        <v>99</v>
      </c>
      <c r="B105" s="106" t="s">
        <v>211</v>
      </c>
      <c r="C105" s="107" t="s">
        <v>212</v>
      </c>
      <c r="D105" s="103">
        <f t="shared" si="1"/>
        <v>1327</v>
      </c>
      <c r="E105" s="108">
        <v>1327</v>
      </c>
      <c r="F105" s="327"/>
      <c r="G105" s="327"/>
      <c r="H105" s="327">
        <v>0</v>
      </c>
      <c r="I105" s="327"/>
      <c r="J105" s="327"/>
      <c r="K105" s="327"/>
      <c r="L105" s="458"/>
    </row>
    <row r="106" spans="1:12" s="97" customFormat="1" x14ac:dyDescent="0.25">
      <c r="A106" s="327">
        <v>100</v>
      </c>
      <c r="B106" s="106" t="s">
        <v>213</v>
      </c>
      <c r="C106" s="107" t="s">
        <v>214</v>
      </c>
      <c r="D106" s="103">
        <f t="shared" si="1"/>
        <v>2443</v>
      </c>
      <c r="E106" s="108">
        <v>2443</v>
      </c>
      <c r="F106" s="327"/>
      <c r="G106" s="327"/>
      <c r="H106" s="327">
        <v>0</v>
      </c>
      <c r="I106" s="327">
        <v>0</v>
      </c>
      <c r="J106" s="327"/>
      <c r="K106" s="327"/>
      <c r="L106" s="458"/>
    </row>
    <row r="107" spans="1:12" s="97" customFormat="1" x14ac:dyDescent="0.25">
      <c r="A107" s="327">
        <v>101</v>
      </c>
      <c r="B107" s="101" t="s">
        <v>215</v>
      </c>
      <c r="C107" s="110" t="s">
        <v>216</v>
      </c>
      <c r="D107" s="103">
        <f t="shared" si="1"/>
        <v>1111</v>
      </c>
      <c r="E107" s="111">
        <v>1111</v>
      </c>
      <c r="F107" s="327"/>
      <c r="G107" s="327"/>
      <c r="H107" s="327"/>
      <c r="I107" s="327"/>
      <c r="J107" s="327"/>
      <c r="K107" s="327"/>
      <c r="L107" s="458"/>
    </row>
    <row r="108" spans="1:12" s="97" customFormat="1" x14ac:dyDescent="0.25">
      <c r="A108" s="327">
        <v>102</v>
      </c>
      <c r="B108" s="101" t="s">
        <v>217</v>
      </c>
      <c r="C108" s="104" t="s">
        <v>218</v>
      </c>
      <c r="D108" s="103">
        <f t="shared" si="1"/>
        <v>0</v>
      </c>
      <c r="E108" s="105">
        <v>0</v>
      </c>
      <c r="F108" s="327"/>
      <c r="G108" s="327"/>
      <c r="H108" s="327"/>
      <c r="I108" s="327"/>
      <c r="J108" s="327"/>
      <c r="K108" s="327"/>
      <c r="L108" s="458"/>
    </row>
    <row r="109" spans="1:12" s="97" customFormat="1" x14ac:dyDescent="0.25">
      <c r="A109" s="327">
        <v>103</v>
      </c>
      <c r="B109" s="101" t="s">
        <v>219</v>
      </c>
      <c r="C109" s="104" t="s">
        <v>220</v>
      </c>
      <c r="D109" s="103">
        <f t="shared" si="1"/>
        <v>732</v>
      </c>
      <c r="E109" s="105">
        <v>732</v>
      </c>
      <c r="F109" s="327"/>
      <c r="G109" s="327">
        <v>732</v>
      </c>
      <c r="H109" s="327"/>
      <c r="I109" s="327"/>
      <c r="J109" s="327"/>
      <c r="K109" s="327"/>
      <c r="L109" s="458"/>
    </row>
    <row r="110" spans="1:12" s="97" customFormat="1" x14ac:dyDescent="0.25">
      <c r="A110" s="327">
        <v>104</v>
      </c>
      <c r="B110" s="101" t="s">
        <v>221</v>
      </c>
      <c r="C110" s="104" t="s">
        <v>222</v>
      </c>
      <c r="D110" s="103">
        <f t="shared" si="1"/>
        <v>0</v>
      </c>
      <c r="E110" s="327">
        <v>0</v>
      </c>
      <c r="F110" s="327"/>
      <c r="G110" s="327"/>
      <c r="H110" s="327"/>
      <c r="I110" s="327"/>
      <c r="J110" s="327"/>
      <c r="K110" s="327"/>
      <c r="L110" s="458"/>
    </row>
    <row r="111" spans="1:12" s="97" customFormat="1" x14ac:dyDescent="0.25">
      <c r="A111" s="327">
        <v>105</v>
      </c>
      <c r="B111" s="106" t="s">
        <v>223</v>
      </c>
      <c r="C111" s="107" t="s">
        <v>224</v>
      </c>
      <c r="D111" s="103">
        <f t="shared" si="1"/>
        <v>5</v>
      </c>
      <c r="E111" s="108">
        <v>5</v>
      </c>
      <c r="F111" s="327"/>
      <c r="G111" s="327"/>
      <c r="H111" s="327"/>
      <c r="I111" s="327"/>
      <c r="J111" s="327"/>
      <c r="K111" s="327"/>
      <c r="L111" s="458"/>
    </row>
    <row r="112" spans="1:12" s="97" customFormat="1" x14ac:dyDescent="0.25">
      <c r="A112" s="327">
        <v>106</v>
      </c>
      <c r="B112" s="109" t="s">
        <v>225</v>
      </c>
      <c r="C112" s="110" t="s">
        <v>226</v>
      </c>
      <c r="D112" s="103">
        <f t="shared" si="1"/>
        <v>5</v>
      </c>
      <c r="E112" s="111">
        <v>5</v>
      </c>
      <c r="F112" s="327"/>
      <c r="G112" s="327"/>
      <c r="H112" s="327"/>
      <c r="I112" s="327"/>
      <c r="J112" s="327"/>
      <c r="K112" s="327"/>
      <c r="L112" s="458"/>
    </row>
    <row r="113" spans="1:12" s="97" customFormat="1" ht="24" customHeight="1" x14ac:dyDescent="0.25">
      <c r="A113" s="327">
        <v>107</v>
      </c>
      <c r="B113" s="101" t="s">
        <v>227</v>
      </c>
      <c r="C113" s="104" t="s">
        <v>228</v>
      </c>
      <c r="D113" s="103">
        <f t="shared" si="1"/>
        <v>5</v>
      </c>
      <c r="E113" s="105">
        <v>5</v>
      </c>
      <c r="F113" s="327"/>
      <c r="G113" s="327"/>
      <c r="H113" s="327"/>
      <c r="I113" s="327"/>
      <c r="J113" s="327"/>
      <c r="K113" s="327"/>
      <c r="L113" s="458"/>
    </row>
    <row r="114" spans="1:12" s="97" customFormat="1" x14ac:dyDescent="0.25">
      <c r="A114" s="327">
        <v>108</v>
      </c>
      <c r="B114" s="101" t="s">
        <v>229</v>
      </c>
      <c r="C114" s="104" t="s">
        <v>230</v>
      </c>
      <c r="D114" s="103">
        <f t="shared" si="1"/>
        <v>0</v>
      </c>
      <c r="E114" s="327">
        <v>0</v>
      </c>
      <c r="F114" s="327"/>
      <c r="G114" s="327"/>
      <c r="H114" s="327"/>
      <c r="I114" s="327"/>
      <c r="J114" s="327"/>
      <c r="K114" s="327"/>
      <c r="L114" s="458"/>
    </row>
    <row r="115" spans="1:12" s="97" customFormat="1" x14ac:dyDescent="0.25">
      <c r="A115" s="327">
        <v>109</v>
      </c>
      <c r="B115" s="106" t="s">
        <v>231</v>
      </c>
      <c r="C115" s="107" t="s">
        <v>232</v>
      </c>
      <c r="D115" s="103">
        <f t="shared" si="1"/>
        <v>471</v>
      </c>
      <c r="E115" s="108">
        <v>471</v>
      </c>
      <c r="F115" s="327"/>
      <c r="G115" s="327"/>
      <c r="H115" s="327"/>
      <c r="I115" s="327">
        <v>476</v>
      </c>
      <c r="J115" s="327"/>
      <c r="K115" s="327"/>
      <c r="L115" s="458"/>
    </row>
    <row r="116" spans="1:12" s="97" customFormat="1" ht="12" customHeight="1" x14ac:dyDescent="0.25">
      <c r="A116" s="327">
        <v>110</v>
      </c>
      <c r="B116" s="106" t="s">
        <v>233</v>
      </c>
      <c r="C116" s="107" t="s">
        <v>234</v>
      </c>
      <c r="D116" s="103">
        <f t="shared" si="1"/>
        <v>0</v>
      </c>
      <c r="E116" s="327">
        <v>0</v>
      </c>
      <c r="F116" s="327"/>
      <c r="G116" s="327"/>
      <c r="H116" s="327"/>
      <c r="I116" s="327"/>
      <c r="J116" s="327"/>
      <c r="K116" s="327"/>
      <c r="L116" s="458"/>
    </row>
    <row r="117" spans="1:12" s="97" customFormat="1" x14ac:dyDescent="0.25">
      <c r="A117" s="327">
        <v>111</v>
      </c>
      <c r="B117" s="119" t="s">
        <v>235</v>
      </c>
      <c r="C117" s="104" t="s">
        <v>236</v>
      </c>
      <c r="D117" s="103">
        <f t="shared" si="1"/>
        <v>0</v>
      </c>
      <c r="E117" s="327">
        <v>0</v>
      </c>
      <c r="F117" s="327"/>
      <c r="G117" s="327"/>
      <c r="H117" s="327"/>
      <c r="I117" s="327"/>
      <c r="J117" s="327"/>
      <c r="K117" s="327"/>
      <c r="L117" s="458"/>
    </row>
    <row r="118" spans="1:12" s="97" customFormat="1" x14ac:dyDescent="0.25">
      <c r="A118" s="327">
        <v>112</v>
      </c>
      <c r="B118" s="101" t="s">
        <v>237</v>
      </c>
      <c r="C118" s="104" t="s">
        <v>238</v>
      </c>
      <c r="D118" s="103">
        <f t="shared" si="1"/>
        <v>367</v>
      </c>
      <c r="E118" s="105">
        <v>367</v>
      </c>
      <c r="F118" s="327">
        <v>61</v>
      </c>
      <c r="G118" s="327">
        <v>306</v>
      </c>
      <c r="H118" s="327"/>
      <c r="I118" s="327"/>
      <c r="J118" s="327"/>
      <c r="K118" s="327"/>
      <c r="L118" s="458"/>
    </row>
    <row r="119" spans="1:12" s="97" customFormat="1" x14ac:dyDescent="0.25">
      <c r="A119" s="327">
        <v>113</v>
      </c>
      <c r="B119" s="101" t="s">
        <v>239</v>
      </c>
      <c r="C119" s="107" t="s">
        <v>240</v>
      </c>
      <c r="D119" s="103">
        <f t="shared" si="1"/>
        <v>0</v>
      </c>
      <c r="E119" s="327">
        <v>0</v>
      </c>
      <c r="F119" s="327"/>
      <c r="G119" s="327"/>
      <c r="H119" s="327"/>
      <c r="I119" s="327"/>
      <c r="J119" s="327"/>
      <c r="K119" s="327"/>
      <c r="L119" s="458"/>
    </row>
    <row r="120" spans="1:12" s="97" customFormat="1" x14ac:dyDescent="0.25">
      <c r="A120" s="327">
        <v>114</v>
      </c>
      <c r="B120" s="101" t="s">
        <v>241</v>
      </c>
      <c r="C120" s="104" t="s">
        <v>242</v>
      </c>
      <c r="D120" s="103">
        <f t="shared" si="1"/>
        <v>114</v>
      </c>
      <c r="E120" s="105">
        <v>114</v>
      </c>
      <c r="F120" s="327"/>
      <c r="G120" s="327">
        <v>114</v>
      </c>
      <c r="H120" s="327"/>
      <c r="I120" s="327"/>
      <c r="J120" s="327"/>
      <c r="K120" s="327"/>
      <c r="L120" s="458"/>
    </row>
    <row r="121" spans="1:12" s="97" customFormat="1" x14ac:dyDescent="0.25">
      <c r="A121" s="327">
        <v>115</v>
      </c>
      <c r="B121" s="106" t="s">
        <v>243</v>
      </c>
      <c r="C121" s="120" t="s">
        <v>385</v>
      </c>
      <c r="D121" s="103">
        <f t="shared" si="1"/>
        <v>8</v>
      </c>
      <c r="E121" s="108">
        <v>8</v>
      </c>
      <c r="F121" s="327"/>
      <c r="G121" s="327"/>
      <c r="H121" s="327"/>
      <c r="I121" s="327"/>
      <c r="J121" s="327"/>
      <c r="K121" s="327"/>
      <c r="L121" s="458"/>
    </row>
    <row r="122" spans="1:12" s="97" customFormat="1" x14ac:dyDescent="0.25">
      <c r="A122" s="327">
        <v>116</v>
      </c>
      <c r="B122" s="106" t="s">
        <v>244</v>
      </c>
      <c r="C122" s="107" t="s">
        <v>644</v>
      </c>
      <c r="D122" s="103">
        <f t="shared" si="1"/>
        <v>5</v>
      </c>
      <c r="E122" s="108">
        <v>5</v>
      </c>
      <c r="F122" s="327"/>
      <c r="G122" s="327"/>
      <c r="H122" s="327"/>
      <c r="I122" s="327"/>
      <c r="J122" s="327"/>
      <c r="K122" s="327"/>
      <c r="L122" s="458"/>
    </row>
    <row r="123" spans="1:12" s="97" customFormat="1" x14ac:dyDescent="0.25">
      <c r="A123" s="327">
        <v>117</v>
      </c>
      <c r="B123" s="106" t="s">
        <v>246</v>
      </c>
      <c r="C123" s="107" t="s">
        <v>247</v>
      </c>
      <c r="D123" s="103">
        <f t="shared" si="1"/>
        <v>0</v>
      </c>
      <c r="E123" s="327">
        <v>0</v>
      </c>
      <c r="F123" s="327"/>
      <c r="G123" s="327"/>
      <c r="H123" s="327"/>
      <c r="I123" s="327"/>
      <c r="J123" s="327"/>
      <c r="K123" s="327"/>
      <c r="L123" s="458"/>
    </row>
    <row r="124" spans="1:12" s="97" customFormat="1" x14ac:dyDescent="0.25">
      <c r="A124" s="327">
        <v>118</v>
      </c>
      <c r="B124" s="106" t="s">
        <v>248</v>
      </c>
      <c r="C124" s="107" t="s">
        <v>249</v>
      </c>
      <c r="D124" s="103">
        <f t="shared" si="1"/>
        <v>0</v>
      </c>
      <c r="E124" s="327">
        <v>0</v>
      </c>
      <c r="F124" s="327"/>
      <c r="G124" s="327"/>
      <c r="H124" s="327"/>
      <c r="I124" s="327"/>
      <c r="J124" s="327"/>
      <c r="K124" s="327"/>
      <c r="L124" s="458"/>
    </row>
    <row r="125" spans="1:12" s="97" customFormat="1" ht="12.75" customHeight="1" x14ac:dyDescent="0.25">
      <c r="A125" s="327">
        <v>119</v>
      </c>
      <c r="B125" s="106" t="s">
        <v>250</v>
      </c>
      <c r="C125" s="107" t="s">
        <v>251</v>
      </c>
      <c r="D125" s="103">
        <f t="shared" si="1"/>
        <v>0</v>
      </c>
      <c r="E125" s="327">
        <v>0</v>
      </c>
      <c r="F125" s="327"/>
      <c r="G125" s="327"/>
      <c r="H125" s="327"/>
      <c r="I125" s="327"/>
      <c r="J125" s="327"/>
      <c r="K125" s="327"/>
      <c r="L125" s="458"/>
    </row>
    <row r="126" spans="1:12" s="97" customFormat="1" x14ac:dyDescent="0.25">
      <c r="A126" s="327">
        <v>120</v>
      </c>
      <c r="B126" s="121" t="s">
        <v>252</v>
      </c>
      <c r="C126" s="122" t="s">
        <v>253</v>
      </c>
      <c r="D126" s="103">
        <f t="shared" si="1"/>
        <v>373</v>
      </c>
      <c r="E126" s="123">
        <v>373</v>
      </c>
      <c r="F126" s="327"/>
      <c r="G126" s="327">
        <v>373</v>
      </c>
      <c r="H126" s="327"/>
      <c r="I126" s="327"/>
      <c r="J126" s="327"/>
      <c r="K126" s="327"/>
      <c r="L126" s="458"/>
    </row>
    <row r="127" spans="1:12" s="97" customFormat="1" x14ac:dyDescent="0.25">
      <c r="A127" s="327">
        <v>121</v>
      </c>
      <c r="B127" s="101" t="s">
        <v>254</v>
      </c>
      <c r="C127" s="104" t="s">
        <v>255</v>
      </c>
      <c r="D127" s="103">
        <f t="shared" si="1"/>
        <v>0</v>
      </c>
      <c r="E127" s="327">
        <v>0</v>
      </c>
      <c r="F127" s="327"/>
      <c r="G127" s="327"/>
      <c r="H127" s="327"/>
      <c r="I127" s="327"/>
      <c r="J127" s="327"/>
      <c r="K127" s="327"/>
      <c r="L127" s="458"/>
    </row>
    <row r="128" spans="1:12" s="97" customFormat="1" x14ac:dyDescent="0.25">
      <c r="A128" s="327">
        <v>122</v>
      </c>
      <c r="B128" s="106" t="s">
        <v>256</v>
      </c>
      <c r="C128" s="107" t="s">
        <v>257</v>
      </c>
      <c r="D128" s="103">
        <f t="shared" si="1"/>
        <v>4</v>
      </c>
      <c r="E128" s="108">
        <v>4</v>
      </c>
      <c r="F128" s="327"/>
      <c r="G128" s="327"/>
      <c r="H128" s="327"/>
      <c r="I128" s="327"/>
      <c r="J128" s="327"/>
      <c r="K128" s="327"/>
      <c r="L128" s="458"/>
    </row>
    <row r="129" spans="1:12" s="97" customFormat="1" ht="14.25" customHeight="1" x14ac:dyDescent="0.25">
      <c r="A129" s="327">
        <v>123</v>
      </c>
      <c r="B129" s="101" t="s">
        <v>258</v>
      </c>
      <c r="C129" s="107" t="s">
        <v>259</v>
      </c>
      <c r="D129" s="103">
        <f t="shared" si="1"/>
        <v>1298</v>
      </c>
      <c r="E129" s="108">
        <v>1298</v>
      </c>
      <c r="F129" s="327"/>
      <c r="G129" s="327"/>
      <c r="H129" s="327"/>
      <c r="I129" s="327">
        <v>150</v>
      </c>
      <c r="J129" s="327"/>
      <c r="K129" s="327"/>
      <c r="L129" s="458"/>
    </row>
    <row r="130" spans="1:12" s="97" customFormat="1" x14ac:dyDescent="0.25">
      <c r="A130" s="327">
        <v>124</v>
      </c>
      <c r="B130" s="106" t="s">
        <v>260</v>
      </c>
      <c r="C130" s="107" t="s">
        <v>261</v>
      </c>
      <c r="D130" s="103">
        <f t="shared" si="1"/>
        <v>36477</v>
      </c>
      <c r="E130" s="108">
        <v>36387</v>
      </c>
      <c r="F130" s="327">
        <v>36387</v>
      </c>
      <c r="G130" s="327"/>
      <c r="H130" s="327"/>
      <c r="I130" s="327"/>
      <c r="J130" s="327">
        <v>90</v>
      </c>
      <c r="K130" s="327"/>
      <c r="L130" s="458"/>
    </row>
    <row r="131" spans="1:12" s="97" customFormat="1" ht="13.5" customHeight="1" x14ac:dyDescent="0.25">
      <c r="A131" s="327">
        <v>125</v>
      </c>
      <c r="B131" s="106" t="s">
        <v>262</v>
      </c>
      <c r="C131" s="107" t="s">
        <v>263</v>
      </c>
      <c r="D131" s="103">
        <f t="shared" si="1"/>
        <v>350</v>
      </c>
      <c r="E131" s="108">
        <v>350</v>
      </c>
      <c r="F131" s="327"/>
      <c r="G131" s="327"/>
      <c r="H131" s="327"/>
      <c r="I131" s="327"/>
      <c r="J131" s="327"/>
      <c r="K131" s="327"/>
      <c r="L131" s="458"/>
    </row>
    <row r="132" spans="1:12" s="97" customFormat="1" x14ac:dyDescent="0.25">
      <c r="A132" s="327">
        <v>126</v>
      </c>
      <c r="B132" s="101" t="s">
        <v>264</v>
      </c>
      <c r="C132" s="107" t="s">
        <v>265</v>
      </c>
      <c r="D132" s="103">
        <f t="shared" si="1"/>
        <v>3245</v>
      </c>
      <c r="E132" s="108">
        <v>3245</v>
      </c>
      <c r="F132" s="327">
        <v>140</v>
      </c>
      <c r="G132" s="327"/>
      <c r="H132" s="327"/>
      <c r="I132" s="327"/>
      <c r="J132" s="327"/>
      <c r="K132" s="327">
        <v>401</v>
      </c>
      <c r="L132" s="458"/>
    </row>
    <row r="133" spans="1:12" s="97" customFormat="1" x14ac:dyDescent="0.25">
      <c r="A133" s="327">
        <v>127</v>
      </c>
      <c r="B133" s="106" t="s">
        <v>266</v>
      </c>
      <c r="C133" s="107" t="s">
        <v>267</v>
      </c>
      <c r="D133" s="103">
        <f t="shared" si="1"/>
        <v>2160</v>
      </c>
      <c r="E133" s="108">
        <v>2160</v>
      </c>
      <c r="F133" s="327"/>
      <c r="G133" s="327"/>
      <c r="H133" s="327"/>
      <c r="I133" s="327"/>
      <c r="J133" s="327"/>
      <c r="K133" s="327"/>
      <c r="L133" s="458"/>
    </row>
    <row r="134" spans="1:12" s="97" customFormat="1" ht="12.75" customHeight="1" x14ac:dyDescent="0.25">
      <c r="A134" s="327">
        <v>128</v>
      </c>
      <c r="B134" s="101" t="s">
        <v>268</v>
      </c>
      <c r="C134" s="104" t="s">
        <v>269</v>
      </c>
      <c r="D134" s="103">
        <f t="shared" si="1"/>
        <v>2460</v>
      </c>
      <c r="E134" s="105">
        <v>2460</v>
      </c>
      <c r="F134" s="327"/>
      <c r="G134" s="327"/>
      <c r="H134" s="327"/>
      <c r="I134" s="327"/>
      <c r="J134" s="327"/>
      <c r="K134" s="327"/>
      <c r="L134" s="458"/>
    </row>
    <row r="135" spans="1:12" s="97" customFormat="1" x14ac:dyDescent="0.25">
      <c r="A135" s="327">
        <v>129</v>
      </c>
      <c r="B135" s="101" t="s">
        <v>270</v>
      </c>
      <c r="C135" s="104" t="s">
        <v>271</v>
      </c>
      <c r="D135" s="103">
        <f>E135+J135</f>
        <v>993</v>
      </c>
      <c r="E135" s="105">
        <v>993</v>
      </c>
      <c r="F135" s="327"/>
      <c r="G135" s="327">
        <v>655</v>
      </c>
      <c r="H135" s="327"/>
      <c r="I135" s="327"/>
      <c r="J135" s="327"/>
      <c r="K135" s="327"/>
      <c r="L135" s="458"/>
    </row>
    <row r="136" spans="1:12" s="97" customFormat="1" x14ac:dyDescent="0.25">
      <c r="A136" s="327">
        <v>130</v>
      </c>
      <c r="B136" s="106" t="s">
        <v>272</v>
      </c>
      <c r="C136" s="107" t="s">
        <v>273</v>
      </c>
      <c r="D136" s="103">
        <f t="shared" ref="D136:D141" si="2">E136+J136</f>
        <v>0</v>
      </c>
      <c r="E136" s="108">
        <v>0</v>
      </c>
      <c r="F136" s="327"/>
      <c r="G136" s="327"/>
      <c r="H136" s="327"/>
      <c r="I136" s="327"/>
      <c r="J136" s="327"/>
      <c r="K136" s="327">
        <v>2500</v>
      </c>
      <c r="L136" s="458"/>
    </row>
    <row r="137" spans="1:12" s="97" customFormat="1" x14ac:dyDescent="0.25">
      <c r="A137" s="327">
        <v>131</v>
      </c>
      <c r="B137" s="106" t="s">
        <v>274</v>
      </c>
      <c r="C137" s="107" t="s">
        <v>275</v>
      </c>
      <c r="D137" s="103">
        <f>E137+J137</f>
        <v>713</v>
      </c>
      <c r="E137" s="108">
        <v>713</v>
      </c>
      <c r="F137" s="327"/>
      <c r="G137" s="327"/>
      <c r="H137" s="327"/>
      <c r="I137" s="327"/>
      <c r="J137" s="327"/>
      <c r="K137" s="327">
        <v>2000</v>
      </c>
      <c r="L137" s="458"/>
    </row>
    <row r="138" spans="1:12" s="97" customFormat="1" ht="13.5" customHeight="1" x14ac:dyDescent="0.25">
      <c r="A138" s="327">
        <v>132</v>
      </c>
      <c r="B138" s="106" t="s">
        <v>276</v>
      </c>
      <c r="C138" s="107" t="s">
        <v>277</v>
      </c>
      <c r="D138" s="103">
        <f t="shared" si="2"/>
        <v>2960</v>
      </c>
      <c r="E138" s="108">
        <v>2960</v>
      </c>
      <c r="F138" s="327"/>
      <c r="G138" s="334"/>
      <c r="H138" s="327"/>
      <c r="I138" s="327"/>
      <c r="J138" s="327"/>
      <c r="K138" s="327"/>
      <c r="L138" s="458"/>
    </row>
    <row r="139" spans="1:12" s="97" customFormat="1" x14ac:dyDescent="0.25">
      <c r="A139" s="327">
        <v>133</v>
      </c>
      <c r="B139" s="106" t="s">
        <v>278</v>
      </c>
      <c r="C139" s="107" t="s">
        <v>279</v>
      </c>
      <c r="D139" s="103">
        <f t="shared" si="2"/>
        <v>5372</v>
      </c>
      <c r="E139" s="108">
        <v>5372</v>
      </c>
      <c r="F139" s="327"/>
      <c r="G139" s="327"/>
      <c r="H139" s="327"/>
      <c r="I139" s="327"/>
      <c r="J139" s="327"/>
      <c r="K139" s="327">
        <v>363</v>
      </c>
      <c r="L139" s="458"/>
    </row>
    <row r="140" spans="1:12" s="97" customFormat="1" x14ac:dyDescent="0.25">
      <c r="A140" s="327">
        <v>134</v>
      </c>
      <c r="B140" s="106" t="s">
        <v>280</v>
      </c>
      <c r="C140" s="107" t="s">
        <v>281</v>
      </c>
      <c r="D140" s="103">
        <f t="shared" si="2"/>
        <v>156</v>
      </c>
      <c r="E140" s="108">
        <v>156</v>
      </c>
      <c r="F140" s="327"/>
      <c r="G140" s="327"/>
      <c r="H140" s="327"/>
      <c r="I140" s="327"/>
      <c r="J140" s="327"/>
      <c r="K140" s="327"/>
      <c r="L140" s="458"/>
    </row>
    <row r="141" spans="1:12" s="97" customFormat="1" x14ac:dyDescent="0.25">
      <c r="A141" s="327">
        <v>135</v>
      </c>
      <c r="B141" s="101" t="s">
        <v>282</v>
      </c>
      <c r="C141" s="104" t="s">
        <v>283</v>
      </c>
      <c r="D141" s="103">
        <f t="shared" si="2"/>
        <v>0</v>
      </c>
      <c r="E141" s="327">
        <v>0</v>
      </c>
      <c r="F141" s="327"/>
      <c r="G141" s="327"/>
      <c r="H141" s="327"/>
      <c r="I141" s="327"/>
      <c r="J141" s="327"/>
      <c r="K141" s="327"/>
      <c r="L141" s="458"/>
    </row>
    <row r="142" spans="1:12" s="97" customFormat="1" ht="13.5" customHeight="1" x14ac:dyDescent="0.25">
      <c r="A142" s="327">
        <v>136</v>
      </c>
      <c r="B142" s="106" t="s">
        <v>284</v>
      </c>
      <c r="C142" s="107" t="s">
        <v>285</v>
      </c>
      <c r="D142" s="103">
        <f>E142+J142+L142</f>
        <v>1945</v>
      </c>
      <c r="E142" s="108">
        <v>1000</v>
      </c>
      <c r="F142" s="327">
        <v>1000</v>
      </c>
      <c r="G142" s="327"/>
      <c r="H142" s="327"/>
      <c r="I142" s="327"/>
      <c r="J142" s="327">
        <v>81</v>
      </c>
      <c r="K142" s="327"/>
      <c r="L142" s="442">
        <v>864</v>
      </c>
    </row>
    <row r="143" spans="1:12" s="125" customFormat="1" ht="12.75" x14ac:dyDescent="0.25">
      <c r="A143" s="335"/>
      <c r="B143" s="336"/>
      <c r="C143" s="337" t="s">
        <v>15</v>
      </c>
      <c r="D143" s="124">
        <f t="shared" ref="D143:K143" si="3">SUM(D7:D142)</f>
        <v>263261</v>
      </c>
      <c r="E143" s="124">
        <f t="shared" si="3"/>
        <v>262226</v>
      </c>
      <c r="F143" s="124">
        <f t="shared" si="3"/>
        <v>38102</v>
      </c>
      <c r="G143" s="124">
        <f t="shared" si="3"/>
        <v>2180</v>
      </c>
      <c r="H143" s="124">
        <f t="shared" si="3"/>
        <v>148</v>
      </c>
      <c r="I143" s="124">
        <f t="shared" si="3"/>
        <v>726</v>
      </c>
      <c r="J143" s="124">
        <f t="shared" si="3"/>
        <v>171</v>
      </c>
      <c r="K143" s="124">
        <f t="shared" si="3"/>
        <v>10186</v>
      </c>
      <c r="L143" s="124">
        <f t="shared" ref="L143" si="4">SUM(L7:L142)</f>
        <v>864</v>
      </c>
    </row>
    <row r="144" spans="1:12" s="125" customFormat="1" ht="21.75" customHeight="1" x14ac:dyDescent="0.25">
      <c r="A144" s="335"/>
      <c r="B144" s="335"/>
      <c r="C144" s="338" t="s">
        <v>14</v>
      </c>
      <c r="D144" s="126">
        <v>3366</v>
      </c>
      <c r="E144" s="126">
        <v>3366</v>
      </c>
      <c r="F144" s="124">
        <v>2865</v>
      </c>
      <c r="G144" s="124">
        <v>13</v>
      </c>
      <c r="H144" s="124"/>
      <c r="I144" s="124"/>
      <c r="J144" s="124"/>
      <c r="K144" s="124"/>
      <c r="L144" s="124"/>
    </row>
    <row r="145" spans="1:12" s="125" customFormat="1" x14ac:dyDescent="0.25">
      <c r="A145" s="1035" t="s">
        <v>6</v>
      </c>
      <c r="B145" s="1035"/>
      <c r="C145" s="1035"/>
      <c r="D145" s="124">
        <f>D143+D144</f>
        <v>266627</v>
      </c>
      <c r="E145" s="124">
        <f t="shared" ref="E145:K145" si="5">E143+E144</f>
        <v>265592</v>
      </c>
      <c r="F145" s="124">
        <f t="shared" si="5"/>
        <v>40967</v>
      </c>
      <c r="G145" s="124">
        <f t="shared" si="5"/>
        <v>2193</v>
      </c>
      <c r="H145" s="124">
        <f t="shared" si="5"/>
        <v>148</v>
      </c>
      <c r="I145" s="124">
        <f t="shared" si="5"/>
        <v>726</v>
      </c>
      <c r="J145" s="124">
        <f t="shared" si="5"/>
        <v>171</v>
      </c>
      <c r="K145" s="124">
        <f t="shared" si="5"/>
        <v>10186</v>
      </c>
      <c r="L145" s="124">
        <f t="shared" ref="L145" si="6">L143+L144</f>
        <v>864</v>
      </c>
    </row>
    <row r="146" spans="1:12" x14ac:dyDescent="0.25">
      <c r="D146" s="98"/>
      <c r="L146" s="98"/>
    </row>
    <row r="147" spans="1:12" x14ac:dyDescent="0.25">
      <c r="D147" s="98"/>
      <c r="L147" s="98"/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28"/>
  <sheetViews>
    <sheetView topLeftCell="D1" workbookViewId="0">
      <pane ySplit="5" topLeftCell="A6" activePane="bottomLeft" state="frozen"/>
      <selection activeCell="A7" sqref="A7:A9"/>
      <selection pane="bottomLeft" activeCell="E29" sqref="D27:E29"/>
    </sheetView>
  </sheetViews>
  <sheetFormatPr defaultRowHeight="12.75" x14ac:dyDescent="0.25"/>
  <cols>
    <col min="1" max="1" width="3.5703125" style="954" customWidth="1"/>
    <col min="2" max="2" width="11.5703125" style="954" customWidth="1"/>
    <col min="3" max="3" width="37.85546875" style="967" customWidth="1"/>
    <col min="4" max="5" width="25" style="954" customWidth="1"/>
    <col min="6" max="16384" width="9.140625" style="954"/>
  </cols>
  <sheetData>
    <row r="1" spans="1:6" ht="49.5" customHeight="1" x14ac:dyDescent="0.25">
      <c r="A1" s="1470" t="s">
        <v>752</v>
      </c>
      <c r="B1" s="1470"/>
      <c r="C1" s="1470"/>
      <c r="D1" s="1470"/>
      <c r="E1" s="1470"/>
    </row>
    <row r="2" spans="1:6" ht="12.75" customHeight="1" x14ac:dyDescent="0.25">
      <c r="A2" s="1471" t="s">
        <v>0</v>
      </c>
      <c r="B2" s="1471" t="s">
        <v>302</v>
      </c>
      <c r="C2" s="1472" t="s">
        <v>292</v>
      </c>
      <c r="D2" s="1385" t="s">
        <v>751</v>
      </c>
      <c r="E2" s="1385" t="s">
        <v>821</v>
      </c>
      <c r="F2" s="955"/>
    </row>
    <row r="3" spans="1:6" ht="96.75" customHeight="1" x14ac:dyDescent="0.25">
      <c r="A3" s="1471"/>
      <c r="B3" s="1471"/>
      <c r="C3" s="1471"/>
      <c r="D3" s="1385"/>
      <c r="E3" s="1385"/>
      <c r="F3" s="956" t="s">
        <v>6</v>
      </c>
    </row>
    <row r="4" spans="1:6" ht="19.5" customHeight="1" x14ac:dyDescent="0.25">
      <c r="A4" s="957"/>
      <c r="B4" s="957"/>
      <c r="C4" s="958" t="s">
        <v>6</v>
      </c>
      <c r="D4" s="959">
        <f>D6+D5</f>
        <v>159001</v>
      </c>
      <c r="E4" s="959">
        <f>E6+E5</f>
        <v>72749</v>
      </c>
      <c r="F4" s="960">
        <f>SUM(D4:E4)</f>
        <v>231750</v>
      </c>
    </row>
    <row r="5" spans="1:6" ht="19.5" customHeight="1" x14ac:dyDescent="0.25">
      <c r="A5" s="957"/>
      <c r="B5" s="957"/>
      <c r="C5" s="958" t="s">
        <v>14</v>
      </c>
      <c r="D5" s="961">
        <v>0</v>
      </c>
      <c r="E5" s="961">
        <v>0</v>
      </c>
      <c r="F5" s="960">
        <f t="shared" ref="F5:F25" si="0">SUM(D5:E5)</f>
        <v>0</v>
      </c>
    </row>
    <row r="6" spans="1:6" ht="19.5" customHeight="1" x14ac:dyDescent="0.25">
      <c r="A6" s="957"/>
      <c r="B6" s="957"/>
      <c r="C6" s="958" t="s">
        <v>15</v>
      </c>
      <c r="D6" s="959">
        <f>SUM(D7:D25)</f>
        <v>159001</v>
      </c>
      <c r="E6" s="959">
        <f>SUM(E7:E25)</f>
        <v>72749</v>
      </c>
      <c r="F6" s="960">
        <f t="shared" si="0"/>
        <v>231750</v>
      </c>
    </row>
    <row r="7" spans="1:6" ht="19.5" customHeight="1" x14ac:dyDescent="0.25">
      <c r="A7" s="957">
        <v>1</v>
      </c>
      <c r="B7" s="957" t="s">
        <v>26</v>
      </c>
      <c r="C7" s="962" t="s">
        <v>27</v>
      </c>
      <c r="D7" s="963">
        <v>10894</v>
      </c>
      <c r="E7" s="963">
        <f>10894-5000-1784</f>
        <v>4110</v>
      </c>
      <c r="F7" s="964">
        <f t="shared" si="0"/>
        <v>15004</v>
      </c>
    </row>
    <row r="8" spans="1:6" ht="19.5" customHeight="1" x14ac:dyDescent="0.25">
      <c r="A8" s="957">
        <v>2</v>
      </c>
      <c r="B8" s="957" t="s">
        <v>28</v>
      </c>
      <c r="C8" s="962" t="s">
        <v>29</v>
      </c>
      <c r="D8" s="963">
        <v>4566</v>
      </c>
      <c r="E8" s="963">
        <f>4566+1625+930</f>
        <v>7121</v>
      </c>
      <c r="F8" s="964">
        <f t="shared" si="0"/>
        <v>11687</v>
      </c>
    </row>
    <row r="9" spans="1:6" ht="19.5" customHeight="1" x14ac:dyDescent="0.25">
      <c r="A9" s="957">
        <v>3</v>
      </c>
      <c r="B9" s="957" t="s">
        <v>50</v>
      </c>
      <c r="C9" s="962" t="s">
        <v>51</v>
      </c>
      <c r="D9" s="963">
        <v>9650</v>
      </c>
      <c r="E9" s="963">
        <f>9650-2808</f>
        <v>6842</v>
      </c>
      <c r="F9" s="964">
        <f t="shared" si="0"/>
        <v>16492</v>
      </c>
    </row>
    <row r="10" spans="1:6" ht="19.5" customHeight="1" x14ac:dyDescent="0.25">
      <c r="A10" s="957">
        <v>4</v>
      </c>
      <c r="B10" s="957" t="s">
        <v>58</v>
      </c>
      <c r="C10" s="962" t="s">
        <v>59</v>
      </c>
      <c r="D10" s="963">
        <v>6201</v>
      </c>
      <c r="E10" s="963">
        <f>6201+292</f>
        <v>6493</v>
      </c>
      <c r="F10" s="964">
        <f t="shared" si="0"/>
        <v>12694</v>
      </c>
    </row>
    <row r="11" spans="1:6" ht="19.5" customHeight="1" x14ac:dyDescent="0.25">
      <c r="A11" s="957">
        <v>5</v>
      </c>
      <c r="B11" s="957" t="s">
        <v>66</v>
      </c>
      <c r="C11" s="962" t="s">
        <v>67</v>
      </c>
      <c r="D11" s="963">
        <f>6984+4847</f>
        <v>11831</v>
      </c>
      <c r="E11" s="963">
        <f>11831-976-7843</f>
        <v>3012</v>
      </c>
      <c r="F11" s="964">
        <f t="shared" si="0"/>
        <v>14843</v>
      </c>
    </row>
    <row r="12" spans="1:6" ht="19.5" customHeight="1" x14ac:dyDescent="0.25">
      <c r="A12" s="957">
        <v>6</v>
      </c>
      <c r="B12" s="957" t="s">
        <v>68</v>
      </c>
      <c r="C12" s="962" t="s">
        <v>69</v>
      </c>
      <c r="D12" s="963">
        <f>16493-9621-6678</f>
        <v>194</v>
      </c>
      <c r="E12" s="963">
        <f>16493-16299</f>
        <v>194</v>
      </c>
      <c r="F12" s="964">
        <f t="shared" si="0"/>
        <v>388</v>
      </c>
    </row>
    <row r="13" spans="1:6" ht="19.5" customHeight="1" x14ac:dyDescent="0.25">
      <c r="A13" s="957">
        <v>7</v>
      </c>
      <c r="B13" s="957" t="s">
        <v>77</v>
      </c>
      <c r="C13" s="962" t="s">
        <v>753</v>
      </c>
      <c r="D13" s="963">
        <v>9254</v>
      </c>
      <c r="E13" s="963">
        <f>9254-9253</f>
        <v>1</v>
      </c>
      <c r="F13" s="964">
        <f t="shared" si="0"/>
        <v>9255</v>
      </c>
    </row>
    <row r="14" spans="1:6" ht="19.5" customHeight="1" x14ac:dyDescent="0.25">
      <c r="A14" s="957">
        <v>8</v>
      </c>
      <c r="B14" s="957" t="s">
        <v>79</v>
      </c>
      <c r="C14" s="962" t="s">
        <v>80</v>
      </c>
      <c r="D14" s="963">
        <v>4831</v>
      </c>
      <c r="E14" s="963">
        <f>4831+1478</f>
        <v>6309</v>
      </c>
      <c r="F14" s="964">
        <f t="shared" si="0"/>
        <v>11140</v>
      </c>
    </row>
    <row r="15" spans="1:6" ht="19.5" customHeight="1" x14ac:dyDescent="0.25">
      <c r="A15" s="957">
        <v>9</v>
      </c>
      <c r="B15" s="957" t="s">
        <v>97</v>
      </c>
      <c r="C15" s="962" t="s">
        <v>98</v>
      </c>
      <c r="D15" s="963">
        <v>678</v>
      </c>
      <c r="E15" s="963">
        <f>678+2</f>
        <v>680</v>
      </c>
      <c r="F15" s="964">
        <f t="shared" si="0"/>
        <v>1358</v>
      </c>
    </row>
    <row r="16" spans="1:6" ht="19.5" customHeight="1" x14ac:dyDescent="0.25">
      <c r="A16" s="957">
        <v>10</v>
      </c>
      <c r="B16" s="957" t="s">
        <v>99</v>
      </c>
      <c r="C16" s="962" t="s">
        <v>100</v>
      </c>
      <c r="D16" s="963">
        <v>15926</v>
      </c>
      <c r="E16" s="963">
        <f>15926-5000-9343</f>
        <v>1583</v>
      </c>
      <c r="F16" s="964">
        <f t="shared" si="0"/>
        <v>17509</v>
      </c>
    </row>
    <row r="17" spans="1:6" ht="19.5" customHeight="1" x14ac:dyDescent="0.25">
      <c r="A17" s="957">
        <v>11</v>
      </c>
      <c r="B17" s="957" t="s">
        <v>169</v>
      </c>
      <c r="C17" s="962" t="s">
        <v>170</v>
      </c>
      <c r="D17" s="963">
        <v>19506</v>
      </c>
      <c r="E17" s="963">
        <f>19506-14721</f>
        <v>4785</v>
      </c>
      <c r="F17" s="964">
        <f t="shared" si="0"/>
        <v>24291</v>
      </c>
    </row>
    <row r="18" spans="1:6" ht="19.5" customHeight="1" x14ac:dyDescent="0.25">
      <c r="A18" s="957">
        <v>12</v>
      </c>
      <c r="B18" s="957" t="s">
        <v>178</v>
      </c>
      <c r="C18" s="962" t="s">
        <v>324</v>
      </c>
      <c r="D18" s="963">
        <v>261</v>
      </c>
      <c r="E18" s="963">
        <f>261-72</f>
        <v>189</v>
      </c>
      <c r="F18" s="964">
        <f t="shared" si="0"/>
        <v>450</v>
      </c>
    </row>
    <row r="19" spans="1:6" ht="19.5" customHeight="1" x14ac:dyDescent="0.25">
      <c r="A19" s="957">
        <v>13</v>
      </c>
      <c r="B19" s="957" t="s">
        <v>258</v>
      </c>
      <c r="C19" s="962" t="s">
        <v>671</v>
      </c>
      <c r="D19" s="963">
        <v>5998</v>
      </c>
      <c r="E19" s="963">
        <f>5998-5517</f>
        <v>481</v>
      </c>
      <c r="F19" s="964">
        <f t="shared" si="0"/>
        <v>6479</v>
      </c>
    </row>
    <row r="20" spans="1:6" ht="19.5" customHeight="1" x14ac:dyDescent="0.25">
      <c r="A20" s="957">
        <v>14</v>
      </c>
      <c r="B20" s="957" t="s">
        <v>260</v>
      </c>
      <c r="C20" s="962" t="s">
        <v>261</v>
      </c>
      <c r="D20" s="963">
        <v>7698</v>
      </c>
      <c r="E20" s="963">
        <f>7698-6949</f>
        <v>749</v>
      </c>
      <c r="F20" s="964">
        <f t="shared" si="0"/>
        <v>8447</v>
      </c>
    </row>
    <row r="21" spans="1:6" ht="19.5" customHeight="1" x14ac:dyDescent="0.25">
      <c r="A21" s="957">
        <v>15</v>
      </c>
      <c r="B21" s="957" t="s">
        <v>266</v>
      </c>
      <c r="C21" s="962" t="s">
        <v>698</v>
      </c>
      <c r="D21" s="963">
        <v>9487</v>
      </c>
      <c r="E21" s="963">
        <f>9487-2380-6086</f>
        <v>1021</v>
      </c>
      <c r="F21" s="964">
        <f t="shared" si="0"/>
        <v>10508</v>
      </c>
    </row>
    <row r="22" spans="1:6" ht="19.5" customHeight="1" x14ac:dyDescent="0.25">
      <c r="A22" s="957">
        <v>16</v>
      </c>
      <c r="B22" s="957" t="s">
        <v>270</v>
      </c>
      <c r="C22" s="962" t="s">
        <v>271</v>
      </c>
      <c r="D22" s="963">
        <v>12931</v>
      </c>
      <c r="E22" s="963">
        <f>12931+755+8187</f>
        <v>21873</v>
      </c>
      <c r="F22" s="964">
        <f t="shared" si="0"/>
        <v>34804</v>
      </c>
    </row>
    <row r="23" spans="1:6" ht="19.5" customHeight="1" x14ac:dyDescent="0.25">
      <c r="A23" s="957">
        <v>17</v>
      </c>
      <c r="B23" s="957" t="s">
        <v>276</v>
      </c>
      <c r="C23" s="962" t="s">
        <v>277</v>
      </c>
      <c r="D23" s="963">
        <v>5692</v>
      </c>
      <c r="E23" s="963">
        <f>5692-3024</f>
        <v>2668</v>
      </c>
      <c r="F23" s="964">
        <f t="shared" si="0"/>
        <v>8360</v>
      </c>
    </row>
    <row r="24" spans="1:6" ht="19.5" customHeight="1" x14ac:dyDescent="0.25">
      <c r="A24" s="957">
        <v>18</v>
      </c>
      <c r="B24" s="957" t="s">
        <v>278</v>
      </c>
      <c r="C24" s="962" t="s">
        <v>279</v>
      </c>
      <c r="D24" s="963">
        <v>6608</v>
      </c>
      <c r="E24" s="963">
        <f>6608-5667</f>
        <v>941</v>
      </c>
      <c r="F24" s="964">
        <f t="shared" si="0"/>
        <v>7549</v>
      </c>
    </row>
    <row r="25" spans="1:6" ht="19.5" customHeight="1" x14ac:dyDescent="0.25">
      <c r="A25" s="957">
        <v>19</v>
      </c>
      <c r="B25" s="957" t="s">
        <v>280</v>
      </c>
      <c r="C25" s="962" t="s">
        <v>281</v>
      </c>
      <c r="D25" s="963">
        <f>12327+2637+1831</f>
        <v>16795</v>
      </c>
      <c r="E25" s="963">
        <f>12327+4468-13098</f>
        <v>3697</v>
      </c>
      <c r="F25" s="964">
        <f t="shared" si="0"/>
        <v>20492</v>
      </c>
    </row>
    <row r="26" spans="1:6" x14ac:dyDescent="0.25">
      <c r="C26" s="965"/>
      <c r="D26" s="966"/>
      <c r="E26" s="967"/>
    </row>
    <row r="27" spans="1:6" x14ac:dyDescent="0.25">
      <c r="C27" s="965"/>
      <c r="D27" s="966"/>
      <c r="E27" s="967"/>
    </row>
    <row r="28" spans="1:6" x14ac:dyDescent="0.25">
      <c r="E28" s="966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29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Q28" sqref="Q28"/>
    </sheetView>
  </sheetViews>
  <sheetFormatPr defaultRowHeight="12" x14ac:dyDescent="0.25"/>
  <cols>
    <col min="1" max="1" width="4.7109375" style="44" customWidth="1"/>
    <col min="2" max="2" width="9.28515625" style="44" customWidth="1"/>
    <col min="3" max="3" width="30.7109375" style="31" customWidth="1"/>
    <col min="4" max="4" width="0.140625" style="45" customWidth="1"/>
    <col min="5" max="5" width="9.42578125" style="55" customWidth="1"/>
    <col min="6" max="6" width="11.28515625" style="55" customWidth="1"/>
    <col min="7" max="7" width="11.7109375" style="55" customWidth="1"/>
    <col min="8" max="8" width="9.7109375" style="55" customWidth="1"/>
    <col min="9" max="9" width="12.42578125" style="55" customWidth="1"/>
    <col min="10" max="10" width="10.140625" style="65" customWidth="1"/>
    <col min="11" max="11" width="9.7109375" style="65" customWidth="1"/>
    <col min="12" max="12" width="11.28515625" style="65" customWidth="1"/>
    <col min="13" max="13" width="10.140625" style="66" customWidth="1"/>
    <col min="14" max="16384" width="9.140625" style="47"/>
  </cols>
  <sheetData>
    <row r="1" spans="1:13" x14ac:dyDescent="0.25">
      <c r="E1" s="46"/>
      <c r="F1" s="46"/>
      <c r="G1" s="46"/>
      <c r="H1" s="46"/>
      <c r="I1" s="46"/>
      <c r="J1" s="46"/>
      <c r="K1" s="46"/>
      <c r="L1" s="46"/>
      <c r="M1" s="46"/>
    </row>
    <row r="2" spans="1:13" ht="15.75" customHeight="1" x14ac:dyDescent="0.25">
      <c r="C2" s="1474" t="s">
        <v>799</v>
      </c>
      <c r="D2" s="1474"/>
      <c r="E2" s="1474"/>
      <c r="F2" s="1474"/>
      <c r="G2" s="1474"/>
      <c r="H2" s="1474"/>
      <c r="I2" s="1474"/>
      <c r="J2" s="1474"/>
      <c r="K2" s="1474"/>
      <c r="L2" s="1474"/>
      <c r="M2" s="1474"/>
    </row>
    <row r="3" spans="1:13" x14ac:dyDescent="0.25">
      <c r="C3" s="48"/>
      <c r="D3" s="48"/>
      <c r="E3" s="49"/>
      <c r="F3" s="49"/>
      <c r="G3" s="49"/>
      <c r="H3" s="49"/>
      <c r="I3" s="49"/>
      <c r="J3" s="50"/>
      <c r="K3" s="50"/>
      <c r="L3" s="50"/>
      <c r="M3" s="51"/>
    </row>
    <row r="4" spans="1:13" s="52" customFormat="1" ht="15.75" customHeight="1" x14ac:dyDescent="0.25">
      <c r="A4" s="1475" t="s">
        <v>0</v>
      </c>
      <c r="B4" s="1475" t="s">
        <v>302</v>
      </c>
      <c r="C4" s="1476" t="s">
        <v>292</v>
      </c>
      <c r="D4" s="1475" t="s">
        <v>433</v>
      </c>
      <c r="E4" s="1477" t="s">
        <v>434</v>
      </c>
      <c r="F4" s="1477"/>
      <c r="G4" s="1477"/>
      <c r="H4" s="1477"/>
      <c r="I4" s="1477"/>
      <c r="J4" s="1477"/>
      <c r="K4" s="1477"/>
      <c r="L4" s="1477"/>
      <c r="M4" s="1477"/>
    </row>
    <row r="5" spans="1:13" ht="11.25" customHeight="1" x14ac:dyDescent="0.25">
      <c r="A5" s="1475"/>
      <c r="B5" s="1475"/>
      <c r="C5" s="1476"/>
      <c r="D5" s="1475"/>
      <c r="E5" s="1477"/>
      <c r="F5" s="1477"/>
      <c r="G5" s="1477"/>
      <c r="H5" s="1477"/>
      <c r="I5" s="1477"/>
      <c r="J5" s="1477"/>
      <c r="K5" s="1477"/>
      <c r="L5" s="1477"/>
      <c r="M5" s="1477"/>
    </row>
    <row r="6" spans="1:13" ht="25.5" customHeight="1" x14ac:dyDescent="0.25">
      <c r="A6" s="1475"/>
      <c r="B6" s="1475"/>
      <c r="C6" s="1476"/>
      <c r="D6" s="1475"/>
      <c r="E6" s="1473" t="s">
        <v>435</v>
      </c>
      <c r="F6" s="1473" t="s">
        <v>797</v>
      </c>
      <c r="G6" s="1473" t="s">
        <v>436</v>
      </c>
      <c r="H6" s="1473" t="s">
        <v>797</v>
      </c>
      <c r="I6" s="1473" t="s">
        <v>437</v>
      </c>
      <c r="J6" s="1473" t="s">
        <v>438</v>
      </c>
      <c r="K6" s="1473" t="s">
        <v>797</v>
      </c>
      <c r="L6" s="1473" t="s">
        <v>439</v>
      </c>
      <c r="M6" s="1473" t="s">
        <v>440</v>
      </c>
    </row>
    <row r="7" spans="1:13" ht="55.5" customHeight="1" x14ac:dyDescent="0.25">
      <c r="A7" s="1475"/>
      <c r="B7" s="1475"/>
      <c r="C7" s="1476"/>
      <c r="D7" s="1475"/>
      <c r="E7" s="1473"/>
      <c r="F7" s="1473"/>
      <c r="G7" s="1473"/>
      <c r="H7" s="1473"/>
      <c r="I7" s="1473"/>
      <c r="J7" s="1473"/>
      <c r="K7" s="1473"/>
      <c r="L7" s="1473"/>
      <c r="M7" s="1473"/>
    </row>
    <row r="8" spans="1:13" s="52" customFormat="1" x14ac:dyDescent="0.25">
      <c r="A8" s="1478" t="s">
        <v>441</v>
      </c>
      <c r="B8" s="1478"/>
      <c r="C8" s="1478"/>
      <c r="D8" s="53"/>
      <c r="E8" s="54">
        <f>E9+E10+E11+E12</f>
        <v>1135691</v>
      </c>
      <c r="F8" s="54">
        <f>F9+F10+F11+F12</f>
        <v>1526</v>
      </c>
      <c r="G8" s="54">
        <f t="shared" ref="G8:M8" si="0">G9+G10+G11+G12</f>
        <v>1039967</v>
      </c>
      <c r="H8" s="54">
        <f t="shared" si="0"/>
        <v>1291</v>
      </c>
      <c r="I8" s="54">
        <f t="shared" si="0"/>
        <v>571</v>
      </c>
      <c r="J8" s="54">
        <f t="shared" si="0"/>
        <v>59221</v>
      </c>
      <c r="K8" s="54">
        <f t="shared" si="0"/>
        <v>113</v>
      </c>
      <c r="L8" s="54">
        <f t="shared" si="0"/>
        <v>29</v>
      </c>
      <c r="M8" s="54">
        <f t="shared" si="0"/>
        <v>19286</v>
      </c>
    </row>
    <row r="9" spans="1:13" s="60" customFormat="1" ht="11.25" customHeight="1" x14ac:dyDescent="0.25">
      <c r="A9" s="56"/>
      <c r="B9" s="56"/>
      <c r="C9" s="57" t="s">
        <v>14</v>
      </c>
      <c r="D9" s="58"/>
      <c r="E9" s="59">
        <v>16617</v>
      </c>
      <c r="F9" s="59">
        <v>122</v>
      </c>
      <c r="G9" s="59"/>
      <c r="H9" s="59"/>
      <c r="I9" s="59"/>
      <c r="J9" s="59"/>
      <c r="K9" s="59"/>
      <c r="L9" s="59"/>
      <c r="M9" s="59"/>
    </row>
    <row r="10" spans="1:13" s="60" customFormat="1" ht="11.25" customHeight="1" x14ac:dyDescent="0.25">
      <c r="A10" s="56"/>
      <c r="B10" s="56"/>
      <c r="C10" s="57" t="s">
        <v>442</v>
      </c>
      <c r="D10" s="58"/>
      <c r="E10" s="59"/>
      <c r="F10" s="59"/>
      <c r="G10" s="59"/>
      <c r="H10" s="59"/>
      <c r="I10" s="57"/>
      <c r="J10" s="57"/>
      <c r="K10" s="57"/>
      <c r="L10" s="57"/>
      <c r="M10" s="57"/>
    </row>
    <row r="11" spans="1:13" s="60" customFormat="1" ht="11.25" customHeight="1" x14ac:dyDescent="0.25">
      <c r="A11" s="56"/>
      <c r="B11" s="56"/>
      <c r="C11" s="57" t="s">
        <v>443</v>
      </c>
      <c r="D11" s="58"/>
      <c r="E11" s="57"/>
      <c r="F11" s="57"/>
      <c r="G11" s="57"/>
      <c r="H11" s="57"/>
      <c r="I11" s="57"/>
      <c r="J11" s="57"/>
      <c r="K11" s="57"/>
      <c r="L11" s="57"/>
      <c r="M11" s="57"/>
    </row>
    <row r="12" spans="1:13" s="52" customFormat="1" x14ac:dyDescent="0.25">
      <c r="A12" s="1478" t="s">
        <v>15</v>
      </c>
      <c r="B12" s="1478"/>
      <c r="C12" s="1478"/>
      <c r="D12" s="54"/>
      <c r="E12" s="54">
        <f>SUM(E13:E22)</f>
        <v>1119074</v>
      </c>
      <c r="F12" s="54">
        <f t="shared" ref="F12:M12" si="1">SUM(F13:F22)</f>
        <v>1404</v>
      </c>
      <c r="G12" s="54">
        <f t="shared" si="1"/>
        <v>1039967</v>
      </c>
      <c r="H12" s="54">
        <f t="shared" si="1"/>
        <v>1291</v>
      </c>
      <c r="I12" s="54">
        <f t="shared" si="1"/>
        <v>571</v>
      </c>
      <c r="J12" s="54">
        <f t="shared" si="1"/>
        <v>59221</v>
      </c>
      <c r="K12" s="54">
        <f t="shared" si="1"/>
        <v>113</v>
      </c>
      <c r="L12" s="54">
        <f t="shared" si="1"/>
        <v>29</v>
      </c>
      <c r="M12" s="54">
        <f t="shared" si="1"/>
        <v>19286</v>
      </c>
    </row>
    <row r="13" spans="1:13" s="64" customFormat="1" x14ac:dyDescent="0.25">
      <c r="A13" s="61">
        <v>1</v>
      </c>
      <c r="B13" s="29" t="s">
        <v>20</v>
      </c>
      <c r="C13" s="30" t="s">
        <v>21</v>
      </c>
      <c r="D13" s="62">
        <v>0.85</v>
      </c>
      <c r="E13" s="59">
        <f>G13+I13+J13+L13+M13</f>
        <v>44260</v>
      </c>
      <c r="F13" s="59">
        <f>H13+K13</f>
        <v>52</v>
      </c>
      <c r="G13" s="63">
        <v>44204</v>
      </c>
      <c r="H13" s="63">
        <v>52</v>
      </c>
      <c r="I13" s="63">
        <v>56</v>
      </c>
      <c r="J13" s="59"/>
      <c r="K13" s="59"/>
      <c r="L13" s="59"/>
      <c r="M13" s="59"/>
    </row>
    <row r="14" spans="1:13" s="64" customFormat="1" x14ac:dyDescent="0.25">
      <c r="A14" s="61">
        <v>2</v>
      </c>
      <c r="B14" s="29" t="s">
        <v>26</v>
      </c>
      <c r="C14" s="30" t="s">
        <v>27</v>
      </c>
      <c r="D14" s="62">
        <v>0.85</v>
      </c>
      <c r="E14" s="59">
        <f t="shared" ref="E14:E22" si="2">G14+I14+J14+L14+M14</f>
        <v>92723</v>
      </c>
      <c r="F14" s="59">
        <f t="shared" ref="F14:F22" si="3">H14+K14</f>
        <v>2</v>
      </c>
      <c r="G14" s="63">
        <v>92327</v>
      </c>
      <c r="H14" s="63">
        <v>2</v>
      </c>
      <c r="I14" s="63">
        <v>61</v>
      </c>
      <c r="J14" s="63">
        <v>333</v>
      </c>
      <c r="K14" s="63"/>
      <c r="L14" s="63">
        <v>2</v>
      </c>
      <c r="M14" s="59"/>
    </row>
    <row r="15" spans="1:13" s="64" customFormat="1" x14ac:dyDescent="0.25">
      <c r="A15" s="61">
        <v>3</v>
      </c>
      <c r="B15" s="29" t="s">
        <v>50</v>
      </c>
      <c r="C15" s="30" t="s">
        <v>51</v>
      </c>
      <c r="D15" s="62">
        <v>0.85</v>
      </c>
      <c r="E15" s="59">
        <f t="shared" si="2"/>
        <v>64132</v>
      </c>
      <c r="F15" s="59">
        <f t="shared" si="3"/>
        <v>17</v>
      </c>
      <c r="G15" s="63">
        <v>64067</v>
      </c>
      <c r="H15" s="63">
        <v>17</v>
      </c>
      <c r="I15" s="63">
        <v>65</v>
      </c>
      <c r="J15" s="59"/>
      <c r="K15" s="59"/>
      <c r="L15" s="59"/>
      <c r="M15" s="59"/>
    </row>
    <row r="16" spans="1:13" s="64" customFormat="1" x14ac:dyDescent="0.25">
      <c r="A16" s="61">
        <v>4</v>
      </c>
      <c r="B16" s="26" t="s">
        <v>58</v>
      </c>
      <c r="C16" s="27" t="s">
        <v>59</v>
      </c>
      <c r="D16" s="62">
        <v>0.85</v>
      </c>
      <c r="E16" s="59">
        <f t="shared" si="2"/>
        <v>43670</v>
      </c>
      <c r="F16" s="59">
        <f t="shared" si="3"/>
        <v>17</v>
      </c>
      <c r="G16" s="59">
        <v>43626</v>
      </c>
      <c r="H16" s="59">
        <v>17</v>
      </c>
      <c r="I16" s="59">
        <v>43</v>
      </c>
      <c r="J16" s="59"/>
      <c r="K16" s="59"/>
      <c r="L16" s="59">
        <v>1</v>
      </c>
      <c r="M16" s="59"/>
    </row>
    <row r="17" spans="1:13" s="64" customFormat="1" x14ac:dyDescent="0.25">
      <c r="A17" s="61">
        <v>5</v>
      </c>
      <c r="B17" s="29" t="s">
        <v>60</v>
      </c>
      <c r="C17" s="30" t="s">
        <v>61</v>
      </c>
      <c r="D17" s="62">
        <v>0.85</v>
      </c>
      <c r="E17" s="59">
        <f t="shared" si="2"/>
        <v>3832</v>
      </c>
      <c r="F17" s="59">
        <f t="shared" si="3"/>
        <v>0</v>
      </c>
      <c r="G17" s="63">
        <v>1387</v>
      </c>
      <c r="H17" s="63"/>
      <c r="I17" s="63">
        <v>1</v>
      </c>
      <c r="J17" s="63">
        <v>2444</v>
      </c>
      <c r="K17" s="63"/>
      <c r="L17" s="63">
        <v>0</v>
      </c>
      <c r="M17" s="59"/>
    </row>
    <row r="18" spans="1:13" s="64" customFormat="1" ht="24" x14ac:dyDescent="0.25">
      <c r="A18" s="61">
        <v>6</v>
      </c>
      <c r="B18" s="26" t="s">
        <v>74</v>
      </c>
      <c r="C18" s="27" t="s">
        <v>377</v>
      </c>
      <c r="D18" s="62">
        <v>0.85</v>
      </c>
      <c r="E18" s="59">
        <f t="shared" si="2"/>
        <v>186887</v>
      </c>
      <c r="F18" s="59">
        <f t="shared" si="3"/>
        <v>219</v>
      </c>
      <c r="G18" s="63">
        <v>177009</v>
      </c>
      <c r="H18" s="63">
        <v>208</v>
      </c>
      <c r="I18" s="63">
        <v>104</v>
      </c>
      <c r="J18" s="63">
        <v>9765</v>
      </c>
      <c r="K18" s="63">
        <v>11</v>
      </c>
      <c r="L18" s="63">
        <v>9</v>
      </c>
      <c r="M18" s="59"/>
    </row>
    <row r="19" spans="1:13" s="64" customFormat="1" x14ac:dyDescent="0.25">
      <c r="A19" s="61">
        <v>7</v>
      </c>
      <c r="B19" s="28" t="s">
        <v>77</v>
      </c>
      <c r="C19" s="27" t="s">
        <v>78</v>
      </c>
      <c r="D19" s="62">
        <v>0.85</v>
      </c>
      <c r="E19" s="59">
        <f t="shared" si="2"/>
        <v>65100</v>
      </c>
      <c r="F19" s="59">
        <f t="shared" si="3"/>
        <v>115</v>
      </c>
      <c r="G19" s="63">
        <v>65065</v>
      </c>
      <c r="H19" s="63">
        <v>115</v>
      </c>
      <c r="I19" s="63">
        <v>35</v>
      </c>
      <c r="J19" s="59"/>
      <c r="K19" s="59"/>
      <c r="L19" s="59"/>
      <c r="M19" s="59"/>
    </row>
    <row r="20" spans="1:13" s="64" customFormat="1" x14ac:dyDescent="0.25">
      <c r="A20" s="61">
        <v>8</v>
      </c>
      <c r="B20" s="29" t="s">
        <v>99</v>
      </c>
      <c r="C20" s="30" t="s">
        <v>100</v>
      </c>
      <c r="D20" s="62">
        <v>0.85</v>
      </c>
      <c r="E20" s="59">
        <f t="shared" si="2"/>
        <v>112065</v>
      </c>
      <c r="F20" s="59">
        <f t="shared" si="3"/>
        <v>317</v>
      </c>
      <c r="G20" s="63">
        <v>111196</v>
      </c>
      <c r="H20" s="63">
        <v>317</v>
      </c>
      <c r="I20" s="63">
        <v>93</v>
      </c>
      <c r="J20" s="63">
        <v>775</v>
      </c>
      <c r="K20" s="63"/>
      <c r="L20" s="59">
        <v>1</v>
      </c>
      <c r="M20" s="59"/>
    </row>
    <row r="21" spans="1:13" s="64" customFormat="1" x14ac:dyDescent="0.25">
      <c r="A21" s="61">
        <v>9</v>
      </c>
      <c r="B21" s="28" t="s">
        <v>177</v>
      </c>
      <c r="C21" s="32" t="s">
        <v>444</v>
      </c>
      <c r="D21" s="62">
        <v>0.9</v>
      </c>
      <c r="E21" s="59">
        <f t="shared" si="2"/>
        <v>476441</v>
      </c>
      <c r="F21" s="59">
        <f t="shared" si="3"/>
        <v>645</v>
      </c>
      <c r="G21" s="59">
        <v>411147</v>
      </c>
      <c r="H21" s="59">
        <v>543</v>
      </c>
      <c r="I21" s="59">
        <v>88</v>
      </c>
      <c r="J21" s="59">
        <v>45904</v>
      </c>
      <c r="K21" s="59">
        <v>102</v>
      </c>
      <c r="L21" s="59">
        <v>16</v>
      </c>
      <c r="M21" s="59">
        <v>19286</v>
      </c>
    </row>
    <row r="22" spans="1:13" s="64" customFormat="1" x14ac:dyDescent="0.25">
      <c r="A22" s="61">
        <v>10</v>
      </c>
      <c r="B22" s="28" t="s">
        <v>207</v>
      </c>
      <c r="C22" s="27" t="s">
        <v>208</v>
      </c>
      <c r="D22" s="62">
        <v>0.91</v>
      </c>
      <c r="E22" s="59">
        <f t="shared" si="2"/>
        <v>29964</v>
      </c>
      <c r="F22" s="59">
        <f t="shared" si="3"/>
        <v>20</v>
      </c>
      <c r="G22" s="63">
        <v>29939</v>
      </c>
      <c r="H22" s="63">
        <v>20</v>
      </c>
      <c r="I22" s="63">
        <v>25</v>
      </c>
      <c r="J22" s="59"/>
      <c r="K22" s="59"/>
      <c r="L22" s="59"/>
      <c r="M22" s="59"/>
    </row>
    <row r="25" spans="1:13" x14ac:dyDescent="0.25">
      <c r="J25" s="55"/>
      <c r="K25" s="55"/>
      <c r="L25" s="55"/>
      <c r="M25" s="55"/>
    </row>
    <row r="29" spans="1:13" x14ac:dyDescent="0.25">
      <c r="J29" s="55"/>
      <c r="K29" s="55"/>
      <c r="L29" s="55"/>
      <c r="M29" s="55"/>
    </row>
  </sheetData>
  <mergeCells count="17">
    <mergeCell ref="A8:C8"/>
    <mergeCell ref="A12:C12"/>
    <mergeCell ref="E6:E7"/>
    <mergeCell ref="F6:F7"/>
    <mergeCell ref="G6:G7"/>
    <mergeCell ref="M6:M7"/>
    <mergeCell ref="C2:M2"/>
    <mergeCell ref="A4:A7"/>
    <mergeCell ref="B4:B7"/>
    <mergeCell ref="C4:C7"/>
    <mergeCell ref="D4:D7"/>
    <mergeCell ref="E4:M5"/>
    <mergeCell ref="H6:H7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B26" sqref="B25:B26"/>
    </sheetView>
  </sheetViews>
  <sheetFormatPr defaultRowHeight="12.75" x14ac:dyDescent="0.25"/>
  <cols>
    <col min="1" max="1" width="21.140625" style="143" customWidth="1"/>
    <col min="2" max="4" width="22.28515625" style="129" customWidth="1"/>
    <col min="5" max="16384" width="9.140625" style="129"/>
  </cols>
  <sheetData>
    <row r="1" spans="1:4" ht="59.25" customHeight="1" x14ac:dyDescent="0.25">
      <c r="A1" s="1041" t="s">
        <v>645</v>
      </c>
      <c r="B1" s="1041"/>
      <c r="C1" s="1041"/>
      <c r="D1" s="1041"/>
    </row>
    <row r="2" spans="1:4" ht="18.75" customHeight="1" x14ac:dyDescent="0.25">
      <c r="A2" s="130"/>
      <c r="B2" s="130"/>
      <c r="C2" s="130"/>
    </row>
    <row r="3" spans="1:4" s="133" customFormat="1" ht="45" customHeight="1" x14ac:dyDescent="0.25">
      <c r="A3" s="131" t="s">
        <v>396</v>
      </c>
      <c r="B3" s="131" t="s">
        <v>398</v>
      </c>
      <c r="C3" s="132" t="s">
        <v>285</v>
      </c>
      <c r="D3" s="132" t="s">
        <v>15</v>
      </c>
    </row>
    <row r="4" spans="1:4" s="133" customFormat="1" ht="18.75" customHeight="1" x14ac:dyDescent="0.25">
      <c r="A4" s="134" t="s">
        <v>422</v>
      </c>
      <c r="B4" s="134"/>
      <c r="C4" s="135"/>
      <c r="D4" s="136"/>
    </row>
    <row r="5" spans="1:4" s="133" customFormat="1" ht="14.25" customHeight="1" x14ac:dyDescent="0.25">
      <c r="A5" s="134">
        <v>22</v>
      </c>
      <c r="B5" s="135"/>
      <c r="C5" s="137">
        <v>41</v>
      </c>
      <c r="D5" s="138">
        <f>B5+C5</f>
        <v>41</v>
      </c>
    </row>
    <row r="6" spans="1:4" s="133" customFormat="1" ht="14.25" customHeight="1" x14ac:dyDescent="0.25">
      <c r="A6" s="134">
        <v>23</v>
      </c>
      <c r="B6" s="135">
        <v>40</v>
      </c>
      <c r="C6" s="137">
        <v>40</v>
      </c>
      <c r="D6" s="138">
        <f>B6+C6</f>
        <v>80</v>
      </c>
    </row>
    <row r="7" spans="1:4" s="133" customFormat="1" ht="14.25" customHeight="1" x14ac:dyDescent="0.25">
      <c r="A7" s="134">
        <v>24</v>
      </c>
      <c r="B7" s="135">
        <v>50</v>
      </c>
      <c r="C7" s="137"/>
      <c r="D7" s="138">
        <f>B7+C7</f>
        <v>50</v>
      </c>
    </row>
    <row r="8" spans="1:4" s="133" customFormat="1" ht="18.75" customHeight="1" x14ac:dyDescent="0.25">
      <c r="A8" s="139" t="s">
        <v>6</v>
      </c>
      <c r="B8" s="140">
        <f>SUM(B5:B7)</f>
        <v>90</v>
      </c>
      <c r="C8" s="140">
        <f t="shared" ref="C8:D8" si="0">SUM(C5:C7)</f>
        <v>81</v>
      </c>
      <c r="D8" s="140">
        <f t="shared" si="0"/>
        <v>171</v>
      </c>
    </row>
    <row r="9" spans="1:4" s="142" customFormat="1" ht="15.75" x14ac:dyDescent="0.25">
      <c r="A9" s="141"/>
    </row>
    <row r="10" spans="1:4" s="142" customFormat="1" ht="15.75" x14ac:dyDescent="0.25">
      <c r="A10" s="141"/>
    </row>
    <row r="11" spans="1:4" s="142" customFormat="1" ht="15.75" x14ac:dyDescent="0.25">
      <c r="A11" s="141"/>
    </row>
    <row r="12" spans="1:4" s="142" customFormat="1" ht="15.75" x14ac:dyDescent="0.25">
      <c r="A12" s="141"/>
    </row>
    <row r="13" spans="1:4" s="142" customFormat="1" ht="15.75" x14ac:dyDescent="0.25">
      <c r="A13" s="141"/>
    </row>
    <row r="14" spans="1:4" s="142" customFormat="1" ht="15.75" x14ac:dyDescent="0.25">
      <c r="A14" s="141"/>
    </row>
    <row r="15" spans="1:4" s="142" customFormat="1" ht="15.75" x14ac:dyDescent="0.25">
      <c r="A15" s="141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57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A9" sqref="A9:C9"/>
    </sheetView>
  </sheetViews>
  <sheetFormatPr defaultRowHeight="12" x14ac:dyDescent="0.2"/>
  <cols>
    <col min="1" max="1" width="7.28515625" style="780" customWidth="1"/>
    <col min="2" max="2" width="9.140625" style="780"/>
    <col min="3" max="3" width="23.5703125" style="780" customWidth="1"/>
    <col min="4" max="4" width="11.42578125" style="780" customWidth="1"/>
    <col min="5" max="5" width="12.7109375" style="780" customWidth="1"/>
    <col min="6" max="6" width="14.5703125" style="780" customWidth="1"/>
    <col min="7" max="10" width="9.140625" style="780"/>
    <col min="11" max="11" width="14" style="780" customWidth="1"/>
    <col min="12" max="12" width="15.7109375" style="780" customWidth="1"/>
    <col min="13" max="13" width="13.140625" style="780" customWidth="1"/>
    <col min="14" max="14" width="15.85546875" style="780" customWidth="1"/>
    <col min="15" max="15" width="13.5703125" style="780" customWidth="1"/>
    <col min="16" max="16" width="13.42578125" style="780" customWidth="1"/>
    <col min="17" max="17" width="14" style="780" customWidth="1"/>
    <col min="18" max="18" width="15.7109375" style="780" customWidth="1"/>
    <col min="19" max="19" width="17.5703125" style="780" customWidth="1"/>
    <col min="20" max="20" width="9.140625" style="780"/>
    <col min="21" max="21" width="16" style="780" customWidth="1"/>
    <col min="22" max="22" width="11.7109375" style="780" bestFit="1" customWidth="1"/>
    <col min="23" max="16384" width="9.140625" style="780"/>
  </cols>
  <sheetData>
    <row r="1" spans="1:24" ht="15.75" customHeight="1" x14ac:dyDescent="0.2">
      <c r="A1" s="1056" t="s">
        <v>333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</row>
    <row r="2" spans="1:24" ht="12" customHeight="1" x14ac:dyDescent="0.2">
      <c r="A2" s="1057" t="s">
        <v>0</v>
      </c>
      <c r="B2" s="1058" t="s">
        <v>1</v>
      </c>
      <c r="C2" s="1057" t="s">
        <v>2</v>
      </c>
      <c r="D2" s="1057" t="s">
        <v>289</v>
      </c>
      <c r="E2" s="1057"/>
      <c r="F2" s="1057"/>
      <c r="G2" s="1057"/>
      <c r="H2" s="1057"/>
      <c r="I2" s="1057"/>
      <c r="J2" s="1057"/>
      <c r="K2" s="1057"/>
      <c r="L2" s="1057"/>
      <c r="M2" s="1057"/>
      <c r="N2" s="1057"/>
      <c r="O2" s="1057"/>
      <c r="P2" s="1057"/>
      <c r="Q2" s="1057"/>
      <c r="R2" s="1057"/>
      <c r="S2" s="1061" t="s">
        <v>754</v>
      </c>
    </row>
    <row r="3" spans="1:24" ht="12" customHeight="1" x14ac:dyDescent="0.2">
      <c r="A3" s="1057"/>
      <c r="B3" s="1059"/>
      <c r="C3" s="1057"/>
      <c r="D3" s="1064" t="s">
        <v>3</v>
      </c>
      <c r="E3" s="1057" t="s">
        <v>290</v>
      </c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  <c r="Q3" s="1057"/>
      <c r="R3" s="1057"/>
      <c r="S3" s="1062"/>
    </row>
    <row r="4" spans="1:24" ht="36.75" customHeight="1" x14ac:dyDescent="0.2">
      <c r="A4" s="1057"/>
      <c r="B4" s="1059"/>
      <c r="C4" s="1057"/>
      <c r="D4" s="1064"/>
      <c r="E4" s="1066" t="s">
        <v>286</v>
      </c>
      <c r="F4" s="1067"/>
      <c r="G4" s="1067"/>
      <c r="H4" s="1065" t="s">
        <v>287</v>
      </c>
      <c r="I4" s="1065"/>
      <c r="J4" s="1065"/>
      <c r="K4" s="1057" t="s">
        <v>5</v>
      </c>
      <c r="L4" s="1057"/>
      <c r="M4" s="1057"/>
      <c r="N4" s="1057"/>
      <c r="O4" s="1057"/>
      <c r="P4" s="1057"/>
      <c r="Q4" s="1057"/>
      <c r="R4" s="1057"/>
      <c r="S4" s="1062"/>
    </row>
    <row r="5" spans="1:24" ht="12" customHeight="1" x14ac:dyDescent="0.2">
      <c r="A5" s="1057"/>
      <c r="B5" s="1059"/>
      <c r="C5" s="1057"/>
      <c r="D5" s="1064"/>
      <c r="E5" s="1057" t="s">
        <v>6</v>
      </c>
      <c r="F5" s="1068" t="s">
        <v>4</v>
      </c>
      <c r="G5" s="1069"/>
      <c r="H5" s="1057" t="s">
        <v>6</v>
      </c>
      <c r="I5" s="1068" t="s">
        <v>7</v>
      </c>
      <c r="J5" s="1069"/>
      <c r="K5" s="1065" t="s">
        <v>6</v>
      </c>
      <c r="L5" s="1042" t="s">
        <v>4</v>
      </c>
      <c r="M5" s="1042"/>
      <c r="N5" s="1042"/>
      <c r="O5" s="1042"/>
      <c r="P5" s="1042"/>
      <c r="Q5" s="1042"/>
      <c r="R5" s="1042"/>
      <c r="S5" s="1062"/>
    </row>
    <row r="6" spans="1:24" ht="120" x14ac:dyDescent="0.2">
      <c r="A6" s="1057"/>
      <c r="B6" s="1060"/>
      <c r="C6" s="1057"/>
      <c r="D6" s="1065"/>
      <c r="E6" s="1057"/>
      <c r="F6" s="781" t="s">
        <v>8</v>
      </c>
      <c r="G6" s="782" t="s">
        <v>9</v>
      </c>
      <c r="H6" s="1057"/>
      <c r="I6" s="782" t="s">
        <v>10</v>
      </c>
      <c r="J6" s="782" t="s">
        <v>11</v>
      </c>
      <c r="K6" s="1057"/>
      <c r="L6" s="783" t="s">
        <v>386</v>
      </c>
      <c r="M6" s="783" t="s">
        <v>288</v>
      </c>
      <c r="N6" s="783" t="s">
        <v>755</v>
      </c>
      <c r="O6" s="783" t="s">
        <v>12</v>
      </c>
      <c r="P6" s="783" t="s">
        <v>756</v>
      </c>
      <c r="Q6" s="783" t="s">
        <v>13</v>
      </c>
      <c r="R6" s="784" t="s">
        <v>815</v>
      </c>
      <c r="S6" s="1063"/>
      <c r="U6" s="785"/>
    </row>
    <row r="7" spans="1:24" s="789" customFormat="1" ht="11.25" x14ac:dyDescent="0.2">
      <c r="A7" s="786">
        <v>1</v>
      </c>
      <c r="B7" s="786">
        <v>2</v>
      </c>
      <c r="C7" s="786">
        <v>3</v>
      </c>
      <c r="D7" s="787">
        <v>4</v>
      </c>
      <c r="E7" s="787">
        <v>5</v>
      </c>
      <c r="F7" s="787">
        <v>6</v>
      </c>
      <c r="G7" s="787">
        <v>7</v>
      </c>
      <c r="H7" s="787">
        <v>8</v>
      </c>
      <c r="I7" s="787">
        <v>9</v>
      </c>
      <c r="J7" s="787">
        <v>10</v>
      </c>
      <c r="K7" s="786">
        <v>11</v>
      </c>
      <c r="L7" s="788">
        <v>12</v>
      </c>
      <c r="M7" s="788">
        <v>13</v>
      </c>
      <c r="N7" s="788">
        <v>14</v>
      </c>
      <c r="O7" s="788">
        <v>15</v>
      </c>
      <c r="P7" s="788">
        <v>16</v>
      </c>
      <c r="Q7" s="788">
        <v>17</v>
      </c>
      <c r="R7" s="788">
        <v>18</v>
      </c>
      <c r="S7" s="788">
        <v>19</v>
      </c>
    </row>
    <row r="8" spans="1:24" s="789" customFormat="1" x14ac:dyDescent="0.2">
      <c r="A8" s="1043" t="s">
        <v>6</v>
      </c>
      <c r="B8" s="1043"/>
      <c r="C8" s="1043"/>
      <c r="D8" s="790">
        <f>E8+H8+K8</f>
        <v>10692203</v>
      </c>
      <c r="E8" s="790">
        <f t="shared" ref="E8:E9" si="0">F8+G8</f>
        <v>1040097</v>
      </c>
      <c r="F8" s="790">
        <f>F9+F10</f>
        <v>197342</v>
      </c>
      <c r="G8" s="790">
        <f>G9+G10</f>
        <v>842755</v>
      </c>
      <c r="H8" s="790">
        <f>I8+J8</f>
        <v>1297871</v>
      </c>
      <c r="I8" s="790">
        <f>I9+I10</f>
        <v>1287725</v>
      </c>
      <c r="J8" s="790">
        <f>J9+J10</f>
        <v>10146</v>
      </c>
      <c r="K8" s="791">
        <f t="shared" ref="K8" si="1">SUM(L8:R8)</f>
        <v>8354235</v>
      </c>
      <c r="L8" s="792">
        <f t="shared" ref="L8:S8" si="2">L9+L10</f>
        <v>325794</v>
      </c>
      <c r="M8" s="792">
        <f t="shared" si="2"/>
        <v>37710</v>
      </c>
      <c r="N8" s="792">
        <f t="shared" si="2"/>
        <v>1314558</v>
      </c>
      <c r="O8" s="792">
        <f t="shared" si="2"/>
        <v>3678039</v>
      </c>
      <c r="P8" s="792">
        <f t="shared" si="2"/>
        <v>572728</v>
      </c>
      <c r="Q8" s="792">
        <f t="shared" si="2"/>
        <v>2376831</v>
      </c>
      <c r="R8" s="792">
        <f t="shared" si="2"/>
        <v>48575</v>
      </c>
      <c r="S8" s="792">
        <f t="shared" si="2"/>
        <v>1025004</v>
      </c>
      <c r="T8" s="793"/>
      <c r="V8" s="794"/>
      <c r="W8" s="795"/>
    </row>
    <row r="9" spans="1:24" s="789" customFormat="1" ht="12" customHeight="1" x14ac:dyDescent="0.2">
      <c r="A9" s="1044" t="s">
        <v>14</v>
      </c>
      <c r="B9" s="1045"/>
      <c r="C9" s="1046"/>
      <c r="D9" s="787">
        <f>E9+K9</f>
        <v>105918</v>
      </c>
      <c r="E9" s="787">
        <f t="shared" si="0"/>
        <v>0</v>
      </c>
      <c r="F9" s="787">
        <v>0</v>
      </c>
      <c r="G9" s="787">
        <v>0</v>
      </c>
      <c r="H9" s="787">
        <v>0</v>
      </c>
      <c r="I9" s="787">
        <v>0</v>
      </c>
      <c r="J9" s="787">
        <v>0</v>
      </c>
      <c r="K9" s="786">
        <f>SUM(L9:R9)</f>
        <v>105918</v>
      </c>
      <c r="L9" s="796">
        <v>0</v>
      </c>
      <c r="M9" s="796">
        <v>0</v>
      </c>
      <c r="N9" s="796">
        <v>0</v>
      </c>
      <c r="O9" s="796">
        <v>105918</v>
      </c>
      <c r="P9" s="796">
        <v>0</v>
      </c>
      <c r="Q9" s="796">
        <v>0</v>
      </c>
      <c r="R9" s="796">
        <v>0</v>
      </c>
      <c r="S9" s="796">
        <v>8</v>
      </c>
      <c r="T9" s="793"/>
      <c r="V9" s="794"/>
      <c r="W9" s="795"/>
    </row>
    <row r="10" spans="1:24" s="789" customFormat="1" ht="12" customHeight="1" x14ac:dyDescent="0.2">
      <c r="A10" s="1047" t="s">
        <v>15</v>
      </c>
      <c r="B10" s="1048"/>
      <c r="C10" s="1049"/>
      <c r="D10" s="790">
        <f>E10+H10+K10</f>
        <v>10586285</v>
      </c>
      <c r="E10" s="790">
        <f>F10+G10</f>
        <v>1040097</v>
      </c>
      <c r="F10" s="790">
        <f>SUM(F11:F148)</f>
        <v>197342</v>
      </c>
      <c r="G10" s="790">
        <f>SUM(G11:G148)</f>
        <v>842755</v>
      </c>
      <c r="H10" s="790">
        <f>I10+J10</f>
        <v>1297871</v>
      </c>
      <c r="I10" s="790">
        <f>SUM(I11:I148)</f>
        <v>1287725</v>
      </c>
      <c r="J10" s="790">
        <f>SUM(J11:J148)</f>
        <v>10146</v>
      </c>
      <c r="K10" s="791">
        <f t="shared" ref="K10:K74" si="3">SUM(L10:R10)</f>
        <v>8248317</v>
      </c>
      <c r="L10" s="792">
        <f t="shared" ref="L10:S10" si="4">SUM(L11:L148)</f>
        <v>325794</v>
      </c>
      <c r="M10" s="792">
        <f t="shared" si="4"/>
        <v>37710</v>
      </c>
      <c r="N10" s="792">
        <f t="shared" si="4"/>
        <v>1314558</v>
      </c>
      <c r="O10" s="792">
        <f t="shared" si="4"/>
        <v>3572121</v>
      </c>
      <c r="P10" s="792">
        <f t="shared" si="4"/>
        <v>572728</v>
      </c>
      <c r="Q10" s="792">
        <f t="shared" si="4"/>
        <v>2376831</v>
      </c>
      <c r="R10" s="792">
        <f t="shared" si="4"/>
        <v>48575</v>
      </c>
      <c r="S10" s="792">
        <f t="shared" si="4"/>
        <v>1024996</v>
      </c>
      <c r="T10" s="793"/>
      <c r="W10" s="795"/>
      <c r="X10" s="795"/>
    </row>
    <row r="11" spans="1:24" x14ac:dyDescent="0.2">
      <c r="A11" s="544">
        <v>1</v>
      </c>
      <c r="B11" s="112" t="s">
        <v>16</v>
      </c>
      <c r="C11" s="545" t="s">
        <v>17</v>
      </c>
      <c r="D11" s="797">
        <f t="shared" ref="D11:D82" si="5">E11+H11+K11</f>
        <v>45317</v>
      </c>
      <c r="E11" s="797">
        <f>F11+G11</f>
        <v>5057</v>
      </c>
      <c r="F11" s="797">
        <v>927</v>
      </c>
      <c r="G11" s="797">
        <v>4130</v>
      </c>
      <c r="H11" s="787">
        <f t="shared" ref="H11:H76" si="6">I11+J11</f>
        <v>6108</v>
      </c>
      <c r="I11" s="797">
        <v>6048</v>
      </c>
      <c r="J11" s="797">
        <v>60</v>
      </c>
      <c r="K11" s="797">
        <f t="shared" si="3"/>
        <v>34152</v>
      </c>
      <c r="L11" s="798">
        <v>1530</v>
      </c>
      <c r="M11" s="798">
        <v>519</v>
      </c>
      <c r="N11" s="798">
        <v>12703</v>
      </c>
      <c r="O11" s="798">
        <v>13010</v>
      </c>
      <c r="P11" s="798">
        <v>0</v>
      </c>
      <c r="Q11" s="798">
        <v>6390</v>
      </c>
      <c r="R11" s="798">
        <v>0</v>
      </c>
      <c r="S11" s="798">
        <v>8935</v>
      </c>
      <c r="T11" s="793"/>
      <c r="U11" s="789"/>
      <c r="V11" s="794"/>
      <c r="W11" s="795"/>
      <c r="X11" s="799"/>
    </row>
    <row r="12" spans="1:24" x14ac:dyDescent="0.2">
      <c r="A12" s="544">
        <v>2</v>
      </c>
      <c r="B12" s="546" t="s">
        <v>18</v>
      </c>
      <c r="C12" s="545" t="s">
        <v>19</v>
      </c>
      <c r="D12" s="797">
        <f t="shared" si="5"/>
        <v>46749</v>
      </c>
      <c r="E12" s="797">
        <f t="shared" ref="E12:E83" si="7">F12+G12</f>
        <v>4629</v>
      </c>
      <c r="F12" s="797">
        <v>964</v>
      </c>
      <c r="G12" s="797">
        <v>3665</v>
      </c>
      <c r="H12" s="787">
        <f t="shared" si="6"/>
        <v>6429</v>
      </c>
      <c r="I12" s="797">
        <v>6293</v>
      </c>
      <c r="J12" s="797">
        <v>136</v>
      </c>
      <c r="K12" s="797">
        <f t="shared" si="3"/>
        <v>35691</v>
      </c>
      <c r="L12" s="798">
        <v>1592</v>
      </c>
      <c r="M12" s="798">
        <v>153</v>
      </c>
      <c r="N12" s="798">
        <v>9564</v>
      </c>
      <c r="O12" s="798">
        <v>17155</v>
      </c>
      <c r="P12" s="798">
        <v>2852</v>
      </c>
      <c r="Q12" s="798">
        <v>3933</v>
      </c>
      <c r="R12" s="798">
        <v>442</v>
      </c>
      <c r="S12" s="798">
        <v>5618</v>
      </c>
      <c r="T12" s="793"/>
      <c r="U12" s="789"/>
      <c r="V12" s="794"/>
      <c r="W12" s="795"/>
      <c r="X12" s="799"/>
    </row>
    <row r="13" spans="1:24" x14ac:dyDescent="0.2">
      <c r="A13" s="544">
        <v>3</v>
      </c>
      <c r="B13" s="547" t="s">
        <v>20</v>
      </c>
      <c r="C13" s="113" t="s">
        <v>21</v>
      </c>
      <c r="D13" s="797">
        <f t="shared" si="5"/>
        <v>144332</v>
      </c>
      <c r="E13" s="797">
        <f t="shared" si="7"/>
        <v>14903</v>
      </c>
      <c r="F13" s="797">
        <v>2798</v>
      </c>
      <c r="G13" s="797">
        <v>12105</v>
      </c>
      <c r="H13" s="787">
        <f t="shared" si="6"/>
        <v>18787</v>
      </c>
      <c r="I13" s="797">
        <v>18256</v>
      </c>
      <c r="J13" s="797">
        <v>531</v>
      </c>
      <c r="K13" s="797">
        <f t="shared" si="3"/>
        <v>110642</v>
      </c>
      <c r="L13" s="798">
        <v>4619</v>
      </c>
      <c r="M13" s="798">
        <v>366</v>
      </c>
      <c r="N13" s="798">
        <v>20795</v>
      </c>
      <c r="O13" s="798">
        <v>29805</v>
      </c>
      <c r="P13" s="798">
        <v>24850</v>
      </c>
      <c r="Q13" s="798">
        <v>29356</v>
      </c>
      <c r="R13" s="798">
        <v>851</v>
      </c>
      <c r="S13" s="798">
        <v>13758</v>
      </c>
      <c r="T13" s="793"/>
      <c r="U13" s="789"/>
      <c r="V13" s="794"/>
      <c r="W13" s="795"/>
      <c r="X13" s="799"/>
    </row>
    <row r="14" spans="1:24" x14ac:dyDescent="0.2">
      <c r="A14" s="544">
        <v>4</v>
      </c>
      <c r="B14" s="112" t="s">
        <v>22</v>
      </c>
      <c r="C14" s="545" t="s">
        <v>23</v>
      </c>
      <c r="D14" s="797">
        <f t="shared" si="5"/>
        <v>46597</v>
      </c>
      <c r="E14" s="797">
        <f t="shared" si="7"/>
        <v>4528</v>
      </c>
      <c r="F14" s="797">
        <v>1074</v>
      </c>
      <c r="G14" s="797">
        <v>3454</v>
      </c>
      <c r="H14" s="787">
        <f t="shared" si="6"/>
        <v>7073</v>
      </c>
      <c r="I14" s="797">
        <v>7008</v>
      </c>
      <c r="J14" s="797">
        <v>65</v>
      </c>
      <c r="K14" s="797">
        <f t="shared" si="3"/>
        <v>34996</v>
      </c>
      <c r="L14" s="798">
        <v>1773</v>
      </c>
      <c r="M14" s="798">
        <v>231</v>
      </c>
      <c r="N14" s="798">
        <v>4605</v>
      </c>
      <c r="O14" s="798">
        <v>17739</v>
      </c>
      <c r="P14" s="798">
        <v>2387</v>
      </c>
      <c r="Q14" s="798">
        <v>8261</v>
      </c>
      <c r="R14" s="798">
        <v>0</v>
      </c>
      <c r="S14" s="798">
        <v>5064</v>
      </c>
      <c r="T14" s="793"/>
      <c r="U14" s="789"/>
      <c r="V14" s="794"/>
      <c r="W14" s="795"/>
      <c r="X14" s="799"/>
    </row>
    <row r="15" spans="1:24" ht="24" x14ac:dyDescent="0.2">
      <c r="A15" s="544">
        <v>5</v>
      </c>
      <c r="B15" s="112" t="s">
        <v>24</v>
      </c>
      <c r="C15" s="545" t="s">
        <v>25</v>
      </c>
      <c r="D15" s="797">
        <f t="shared" si="5"/>
        <v>55563</v>
      </c>
      <c r="E15" s="797">
        <f t="shared" si="7"/>
        <v>5845</v>
      </c>
      <c r="F15" s="797">
        <v>1114</v>
      </c>
      <c r="G15" s="797">
        <v>4731</v>
      </c>
      <c r="H15" s="787">
        <f t="shared" si="6"/>
        <v>7346</v>
      </c>
      <c r="I15" s="797">
        <v>7270</v>
      </c>
      <c r="J15" s="797">
        <v>76</v>
      </c>
      <c r="K15" s="797">
        <f t="shared" si="3"/>
        <v>42372</v>
      </c>
      <c r="L15" s="798">
        <v>1839</v>
      </c>
      <c r="M15" s="798">
        <v>99</v>
      </c>
      <c r="N15" s="798">
        <v>13209</v>
      </c>
      <c r="O15" s="798">
        <v>12411</v>
      </c>
      <c r="P15" s="798">
        <v>6201</v>
      </c>
      <c r="Q15" s="798">
        <v>8613</v>
      </c>
      <c r="R15" s="798">
        <v>0</v>
      </c>
      <c r="S15" s="798">
        <v>8499</v>
      </c>
      <c r="T15" s="793"/>
      <c r="U15" s="789"/>
      <c r="V15" s="794"/>
      <c r="W15" s="795"/>
      <c r="X15" s="799"/>
    </row>
    <row r="16" spans="1:24" x14ac:dyDescent="0.2">
      <c r="A16" s="544">
        <v>6</v>
      </c>
      <c r="B16" s="547" t="s">
        <v>26</v>
      </c>
      <c r="C16" s="113" t="s">
        <v>27</v>
      </c>
      <c r="D16" s="797">
        <f t="shared" si="5"/>
        <v>391287</v>
      </c>
      <c r="E16" s="797">
        <f t="shared" si="7"/>
        <v>38313</v>
      </c>
      <c r="F16" s="797">
        <v>7635</v>
      </c>
      <c r="G16" s="797">
        <v>30678</v>
      </c>
      <c r="H16" s="787">
        <f t="shared" si="6"/>
        <v>50004</v>
      </c>
      <c r="I16" s="797">
        <v>49820</v>
      </c>
      <c r="J16" s="797">
        <v>184</v>
      </c>
      <c r="K16" s="797">
        <f t="shared" si="3"/>
        <v>302970</v>
      </c>
      <c r="L16" s="798">
        <v>12604</v>
      </c>
      <c r="M16" s="798">
        <v>696</v>
      </c>
      <c r="N16" s="798">
        <v>56249</v>
      </c>
      <c r="O16" s="798">
        <v>109030</v>
      </c>
      <c r="P16" s="798">
        <v>3660</v>
      </c>
      <c r="Q16" s="798">
        <v>118202</v>
      </c>
      <c r="R16" s="798">
        <v>2529</v>
      </c>
      <c r="S16" s="798">
        <v>45013</v>
      </c>
      <c r="T16" s="793"/>
      <c r="U16" s="789"/>
      <c r="V16" s="794"/>
      <c r="W16" s="795"/>
      <c r="X16" s="799"/>
    </row>
    <row r="17" spans="1:24" x14ac:dyDescent="0.2">
      <c r="A17" s="544">
        <v>7</v>
      </c>
      <c r="B17" s="548" t="s">
        <v>28</v>
      </c>
      <c r="C17" s="120" t="s">
        <v>29</v>
      </c>
      <c r="D17" s="797">
        <f t="shared" si="5"/>
        <v>150139</v>
      </c>
      <c r="E17" s="797">
        <f t="shared" si="7"/>
        <v>14189</v>
      </c>
      <c r="F17" s="797">
        <v>2863</v>
      </c>
      <c r="G17" s="797">
        <v>11326</v>
      </c>
      <c r="H17" s="787">
        <f t="shared" si="6"/>
        <v>18829</v>
      </c>
      <c r="I17" s="797">
        <v>18681</v>
      </c>
      <c r="J17" s="797">
        <v>148</v>
      </c>
      <c r="K17" s="797">
        <f t="shared" si="3"/>
        <v>117121</v>
      </c>
      <c r="L17" s="798">
        <v>4726</v>
      </c>
      <c r="M17" s="798">
        <v>333</v>
      </c>
      <c r="N17" s="798">
        <v>22150</v>
      </c>
      <c r="O17" s="798">
        <v>28071</v>
      </c>
      <c r="P17" s="798">
        <v>7165</v>
      </c>
      <c r="Q17" s="798">
        <v>53551</v>
      </c>
      <c r="R17" s="798">
        <v>1125</v>
      </c>
      <c r="S17" s="798">
        <v>16330</v>
      </c>
      <c r="T17" s="793"/>
      <c r="U17" s="789"/>
      <c r="V17" s="794"/>
      <c r="W17" s="795"/>
      <c r="X17" s="799"/>
    </row>
    <row r="18" spans="1:24" x14ac:dyDescent="0.2">
      <c r="A18" s="544">
        <v>8</v>
      </c>
      <c r="B18" s="547" t="s">
        <v>30</v>
      </c>
      <c r="C18" s="113" t="s">
        <v>31</v>
      </c>
      <c r="D18" s="797">
        <f t="shared" si="5"/>
        <v>55915</v>
      </c>
      <c r="E18" s="797">
        <f t="shared" si="7"/>
        <v>5857</v>
      </c>
      <c r="F18" s="797">
        <v>1198</v>
      </c>
      <c r="G18" s="797">
        <v>4659</v>
      </c>
      <c r="H18" s="787">
        <f t="shared" si="6"/>
        <v>7976</v>
      </c>
      <c r="I18" s="797">
        <v>7817</v>
      </c>
      <c r="J18" s="797">
        <v>159</v>
      </c>
      <c r="K18" s="797">
        <f t="shared" si="3"/>
        <v>42082</v>
      </c>
      <c r="L18" s="798">
        <v>1978</v>
      </c>
      <c r="M18" s="798">
        <v>90</v>
      </c>
      <c r="N18" s="798">
        <v>6715</v>
      </c>
      <c r="O18" s="798">
        <v>13288</v>
      </c>
      <c r="P18" s="798">
        <v>5730</v>
      </c>
      <c r="Q18" s="798">
        <v>14281</v>
      </c>
      <c r="R18" s="798">
        <v>0</v>
      </c>
      <c r="S18" s="798">
        <v>6227</v>
      </c>
      <c r="T18" s="793"/>
      <c r="U18" s="789"/>
      <c r="V18" s="794"/>
      <c r="W18" s="795"/>
      <c r="X18" s="799"/>
    </row>
    <row r="19" spans="1:24" x14ac:dyDescent="0.2">
      <c r="A19" s="544">
        <v>9</v>
      </c>
      <c r="B19" s="547" t="s">
        <v>32</v>
      </c>
      <c r="C19" s="113" t="s">
        <v>33</v>
      </c>
      <c r="D19" s="797">
        <f t="shared" si="5"/>
        <v>43667</v>
      </c>
      <c r="E19" s="797">
        <f t="shared" si="7"/>
        <v>5416</v>
      </c>
      <c r="F19" s="797">
        <v>1054</v>
      </c>
      <c r="G19" s="797">
        <v>4362</v>
      </c>
      <c r="H19" s="787">
        <f t="shared" si="6"/>
        <v>6919</v>
      </c>
      <c r="I19" s="797">
        <v>6881</v>
      </c>
      <c r="J19" s="797">
        <v>38</v>
      </c>
      <c r="K19" s="797">
        <f t="shared" si="3"/>
        <v>31332</v>
      </c>
      <c r="L19" s="798">
        <v>1741</v>
      </c>
      <c r="M19" s="798">
        <v>417</v>
      </c>
      <c r="N19" s="798">
        <v>2556</v>
      </c>
      <c r="O19" s="798">
        <v>14157</v>
      </c>
      <c r="P19" s="798">
        <v>0</v>
      </c>
      <c r="Q19" s="798">
        <v>12461</v>
      </c>
      <c r="R19" s="798">
        <v>0</v>
      </c>
      <c r="S19" s="798">
        <v>7386</v>
      </c>
      <c r="T19" s="793"/>
      <c r="U19" s="789"/>
      <c r="V19" s="794"/>
      <c r="W19" s="795"/>
      <c r="X19" s="799"/>
    </row>
    <row r="20" spans="1:24" x14ac:dyDescent="0.2">
      <c r="A20" s="544">
        <v>10</v>
      </c>
      <c r="B20" s="547" t="s">
        <v>34</v>
      </c>
      <c r="C20" s="113" t="s">
        <v>35</v>
      </c>
      <c r="D20" s="797">
        <f t="shared" si="5"/>
        <v>65691</v>
      </c>
      <c r="E20" s="797">
        <f t="shared" si="7"/>
        <v>6001</v>
      </c>
      <c r="F20" s="797">
        <v>1388</v>
      </c>
      <c r="G20" s="797">
        <v>4613</v>
      </c>
      <c r="H20" s="787">
        <f t="shared" si="6"/>
        <v>9117</v>
      </c>
      <c r="I20" s="797">
        <v>9057</v>
      </c>
      <c r="J20" s="797">
        <v>60</v>
      </c>
      <c r="K20" s="797">
        <f t="shared" si="3"/>
        <v>50573</v>
      </c>
      <c r="L20" s="798">
        <v>2291</v>
      </c>
      <c r="M20" s="798">
        <v>75</v>
      </c>
      <c r="N20" s="798">
        <v>6828</v>
      </c>
      <c r="O20" s="798">
        <v>18611</v>
      </c>
      <c r="P20" s="798">
        <v>5206</v>
      </c>
      <c r="Q20" s="798">
        <v>17562</v>
      </c>
      <c r="R20" s="798">
        <v>0</v>
      </c>
      <c r="S20" s="798">
        <v>9374</v>
      </c>
      <c r="T20" s="793"/>
      <c r="U20" s="789"/>
      <c r="V20" s="794"/>
      <c r="W20" s="795"/>
      <c r="X20" s="799"/>
    </row>
    <row r="21" spans="1:24" x14ac:dyDescent="0.2">
      <c r="A21" s="544">
        <v>11</v>
      </c>
      <c r="B21" s="547" t="s">
        <v>36</v>
      </c>
      <c r="C21" s="113" t="s">
        <v>37</v>
      </c>
      <c r="D21" s="797">
        <f t="shared" si="5"/>
        <v>51456</v>
      </c>
      <c r="E21" s="797">
        <f t="shared" si="7"/>
        <v>6212</v>
      </c>
      <c r="F21" s="797">
        <v>1079</v>
      </c>
      <c r="G21" s="797">
        <v>5133</v>
      </c>
      <c r="H21" s="787">
        <f t="shared" si="6"/>
        <v>7123</v>
      </c>
      <c r="I21" s="797">
        <v>7038</v>
      </c>
      <c r="J21" s="797">
        <v>85</v>
      </c>
      <c r="K21" s="797">
        <f t="shared" si="3"/>
        <v>38121</v>
      </c>
      <c r="L21" s="798">
        <v>1781</v>
      </c>
      <c r="M21" s="798">
        <v>111</v>
      </c>
      <c r="N21" s="798">
        <v>10221</v>
      </c>
      <c r="O21" s="798">
        <v>9594</v>
      </c>
      <c r="P21" s="798">
        <v>10031</v>
      </c>
      <c r="Q21" s="798">
        <v>6383</v>
      </c>
      <c r="R21" s="798">
        <v>0</v>
      </c>
      <c r="S21" s="798">
        <v>8641</v>
      </c>
      <c r="T21" s="793"/>
      <c r="U21" s="789"/>
      <c r="V21" s="794"/>
      <c r="W21" s="795"/>
      <c r="X21" s="799"/>
    </row>
    <row r="22" spans="1:24" x14ac:dyDescent="0.2">
      <c r="A22" s="544">
        <v>12</v>
      </c>
      <c r="B22" s="547" t="s">
        <v>38</v>
      </c>
      <c r="C22" s="113" t="s">
        <v>39</v>
      </c>
      <c r="D22" s="797">
        <f t="shared" si="5"/>
        <v>96355</v>
      </c>
      <c r="E22" s="797">
        <f t="shared" si="7"/>
        <v>11202</v>
      </c>
      <c r="F22" s="797">
        <v>2137</v>
      </c>
      <c r="G22" s="797">
        <v>9065</v>
      </c>
      <c r="H22" s="787">
        <f t="shared" si="6"/>
        <v>14120</v>
      </c>
      <c r="I22" s="797">
        <v>13942</v>
      </c>
      <c r="J22" s="797">
        <v>178</v>
      </c>
      <c r="K22" s="797">
        <f t="shared" si="3"/>
        <v>71033</v>
      </c>
      <c r="L22" s="798">
        <v>3527</v>
      </c>
      <c r="M22" s="798">
        <v>240</v>
      </c>
      <c r="N22" s="798">
        <v>12159</v>
      </c>
      <c r="O22" s="798">
        <v>27732</v>
      </c>
      <c r="P22" s="798">
        <v>1971</v>
      </c>
      <c r="Q22" s="798">
        <v>24917</v>
      </c>
      <c r="R22" s="798">
        <v>487</v>
      </c>
      <c r="S22" s="798">
        <v>13969</v>
      </c>
      <c r="T22" s="793"/>
      <c r="U22" s="789"/>
      <c r="V22" s="794"/>
      <c r="W22" s="795"/>
      <c r="X22" s="799"/>
    </row>
    <row r="23" spans="1:24" ht="24" x14ac:dyDescent="0.2">
      <c r="A23" s="549">
        <v>13</v>
      </c>
      <c r="B23" s="547" t="s">
        <v>40</v>
      </c>
      <c r="C23" s="113" t="s">
        <v>41</v>
      </c>
      <c r="D23" s="797">
        <f t="shared" si="5"/>
        <v>0</v>
      </c>
      <c r="E23" s="797">
        <f t="shared" si="7"/>
        <v>0</v>
      </c>
      <c r="F23" s="797">
        <v>0</v>
      </c>
      <c r="G23" s="797">
        <v>0</v>
      </c>
      <c r="H23" s="787">
        <f t="shared" si="6"/>
        <v>0</v>
      </c>
      <c r="I23" s="797">
        <v>0</v>
      </c>
      <c r="J23" s="797">
        <v>0</v>
      </c>
      <c r="K23" s="797">
        <f t="shared" si="3"/>
        <v>0</v>
      </c>
      <c r="L23" s="798">
        <v>0</v>
      </c>
      <c r="M23" s="798">
        <v>0</v>
      </c>
      <c r="N23" s="798">
        <v>0</v>
      </c>
      <c r="O23" s="798">
        <v>0</v>
      </c>
      <c r="P23" s="798">
        <v>0</v>
      </c>
      <c r="Q23" s="798">
        <v>0</v>
      </c>
      <c r="R23" s="798">
        <v>0</v>
      </c>
      <c r="S23" s="798">
        <v>0</v>
      </c>
      <c r="T23" s="793"/>
      <c r="U23" s="789"/>
      <c r="V23" s="794"/>
      <c r="W23" s="795"/>
      <c r="X23" s="799"/>
    </row>
    <row r="24" spans="1:24" ht="24" x14ac:dyDescent="0.2">
      <c r="A24" s="544">
        <v>14</v>
      </c>
      <c r="B24" s="112" t="s">
        <v>42</v>
      </c>
      <c r="C24" s="113" t="s">
        <v>43</v>
      </c>
      <c r="D24" s="797">
        <f t="shared" si="5"/>
        <v>0</v>
      </c>
      <c r="E24" s="797">
        <f t="shared" si="7"/>
        <v>0</v>
      </c>
      <c r="F24" s="797">
        <v>0</v>
      </c>
      <c r="G24" s="797">
        <v>0</v>
      </c>
      <c r="H24" s="787">
        <f t="shared" si="6"/>
        <v>0</v>
      </c>
      <c r="I24" s="797">
        <v>0</v>
      </c>
      <c r="J24" s="797">
        <v>0</v>
      </c>
      <c r="K24" s="797">
        <f t="shared" si="3"/>
        <v>0</v>
      </c>
      <c r="L24" s="798">
        <v>0</v>
      </c>
      <c r="M24" s="798">
        <v>0</v>
      </c>
      <c r="N24" s="798">
        <v>0</v>
      </c>
      <c r="O24" s="798">
        <v>0</v>
      </c>
      <c r="P24" s="798">
        <v>0</v>
      </c>
      <c r="Q24" s="798">
        <v>0</v>
      </c>
      <c r="R24" s="798">
        <v>0</v>
      </c>
      <c r="S24" s="798">
        <v>0</v>
      </c>
      <c r="T24" s="793"/>
      <c r="U24" s="789"/>
      <c r="V24" s="794"/>
      <c r="W24" s="795"/>
      <c r="X24" s="799"/>
    </row>
    <row r="25" spans="1:24" x14ac:dyDescent="0.2">
      <c r="A25" s="549">
        <v>15</v>
      </c>
      <c r="B25" s="547" t="s">
        <v>44</v>
      </c>
      <c r="C25" s="113" t="s">
        <v>45</v>
      </c>
      <c r="D25" s="797">
        <f t="shared" si="5"/>
        <v>66692</v>
      </c>
      <c r="E25" s="797">
        <f t="shared" si="7"/>
        <v>8181</v>
      </c>
      <c r="F25" s="797">
        <v>1353</v>
      </c>
      <c r="G25" s="797">
        <v>6828</v>
      </c>
      <c r="H25" s="787">
        <f t="shared" si="6"/>
        <v>8946</v>
      </c>
      <c r="I25" s="797">
        <v>8826</v>
      </c>
      <c r="J25" s="797">
        <v>120</v>
      </c>
      <c r="K25" s="797">
        <f t="shared" si="3"/>
        <v>49565</v>
      </c>
      <c r="L25" s="798">
        <v>2233</v>
      </c>
      <c r="M25" s="798">
        <v>261</v>
      </c>
      <c r="N25" s="798">
        <v>6805</v>
      </c>
      <c r="O25" s="798">
        <v>14284</v>
      </c>
      <c r="P25" s="798">
        <v>5107</v>
      </c>
      <c r="Q25" s="798">
        <v>20675</v>
      </c>
      <c r="R25" s="798">
        <v>200</v>
      </c>
      <c r="S25" s="798">
        <v>6505</v>
      </c>
      <c r="T25" s="793"/>
      <c r="U25" s="789"/>
      <c r="V25" s="794"/>
      <c r="W25" s="795"/>
      <c r="X25" s="799"/>
    </row>
    <row r="26" spans="1:24" x14ac:dyDescent="0.2">
      <c r="A26" s="544">
        <v>16</v>
      </c>
      <c r="B26" s="547" t="s">
        <v>46</v>
      </c>
      <c r="C26" s="113" t="s">
        <v>47</v>
      </c>
      <c r="D26" s="797">
        <f t="shared" si="5"/>
        <v>94675</v>
      </c>
      <c r="E26" s="797">
        <f t="shared" si="7"/>
        <v>12339</v>
      </c>
      <c r="F26" s="797">
        <v>1923</v>
      </c>
      <c r="G26" s="797">
        <v>10416</v>
      </c>
      <c r="H26" s="787">
        <f t="shared" si="6"/>
        <v>12731</v>
      </c>
      <c r="I26" s="797">
        <v>12548</v>
      </c>
      <c r="J26" s="797">
        <v>183</v>
      </c>
      <c r="K26" s="797">
        <f t="shared" si="3"/>
        <v>69605</v>
      </c>
      <c r="L26" s="798">
        <v>3175</v>
      </c>
      <c r="M26" s="798">
        <v>198</v>
      </c>
      <c r="N26" s="798">
        <v>8909</v>
      </c>
      <c r="O26" s="798">
        <v>29170</v>
      </c>
      <c r="P26" s="798">
        <v>0</v>
      </c>
      <c r="Q26" s="798">
        <v>28153</v>
      </c>
      <c r="R26" s="798">
        <v>0</v>
      </c>
      <c r="S26" s="798">
        <v>5347</v>
      </c>
      <c r="T26" s="793"/>
      <c r="U26" s="789"/>
      <c r="V26" s="794"/>
      <c r="W26" s="795"/>
      <c r="X26" s="799"/>
    </row>
    <row r="27" spans="1:24" x14ac:dyDescent="0.2">
      <c r="A27" s="549">
        <v>17</v>
      </c>
      <c r="B27" s="547" t="s">
        <v>48</v>
      </c>
      <c r="C27" s="113" t="s">
        <v>49</v>
      </c>
      <c r="D27" s="797">
        <f t="shared" si="5"/>
        <v>130241</v>
      </c>
      <c r="E27" s="797">
        <f t="shared" si="7"/>
        <v>15840</v>
      </c>
      <c r="F27" s="797">
        <v>2540</v>
      </c>
      <c r="G27" s="797">
        <v>13300</v>
      </c>
      <c r="H27" s="787">
        <f t="shared" si="6"/>
        <v>16684</v>
      </c>
      <c r="I27" s="797">
        <v>16573</v>
      </c>
      <c r="J27" s="797">
        <v>111</v>
      </c>
      <c r="K27" s="797">
        <f t="shared" si="3"/>
        <v>97717</v>
      </c>
      <c r="L27" s="798">
        <v>4193</v>
      </c>
      <c r="M27" s="798">
        <v>456</v>
      </c>
      <c r="N27" s="798">
        <v>11858</v>
      </c>
      <c r="O27" s="798">
        <v>38417</v>
      </c>
      <c r="P27" s="798">
        <v>8866</v>
      </c>
      <c r="Q27" s="798">
        <v>33927</v>
      </c>
      <c r="R27" s="798">
        <v>0</v>
      </c>
      <c r="S27" s="798">
        <v>8386</v>
      </c>
      <c r="T27" s="793"/>
      <c r="U27" s="789"/>
      <c r="V27" s="794"/>
      <c r="W27" s="795"/>
      <c r="X27" s="799"/>
    </row>
    <row r="28" spans="1:24" x14ac:dyDescent="0.2">
      <c r="A28" s="544">
        <v>18</v>
      </c>
      <c r="B28" s="547" t="s">
        <v>50</v>
      </c>
      <c r="C28" s="113" t="s">
        <v>51</v>
      </c>
      <c r="D28" s="797">
        <f t="shared" si="5"/>
        <v>247795</v>
      </c>
      <c r="E28" s="797">
        <f t="shared" si="7"/>
        <v>25841</v>
      </c>
      <c r="F28" s="797">
        <v>4877</v>
      </c>
      <c r="G28" s="797">
        <v>20964</v>
      </c>
      <c r="H28" s="787">
        <f t="shared" si="6"/>
        <v>32445</v>
      </c>
      <c r="I28" s="797">
        <v>31825</v>
      </c>
      <c r="J28" s="797">
        <v>620</v>
      </c>
      <c r="K28" s="797">
        <f t="shared" si="3"/>
        <v>189509</v>
      </c>
      <c r="L28" s="798">
        <v>8052</v>
      </c>
      <c r="M28" s="798">
        <v>888</v>
      </c>
      <c r="N28" s="798">
        <v>15894</v>
      </c>
      <c r="O28" s="798">
        <v>42875</v>
      </c>
      <c r="P28" s="798">
        <v>56642</v>
      </c>
      <c r="Q28" s="798">
        <v>64161</v>
      </c>
      <c r="R28" s="798">
        <v>997</v>
      </c>
      <c r="S28" s="798">
        <v>17575</v>
      </c>
      <c r="T28" s="793"/>
      <c r="U28" s="789"/>
      <c r="V28" s="794"/>
      <c r="W28" s="795"/>
      <c r="X28" s="799"/>
    </row>
    <row r="29" spans="1:24" x14ac:dyDescent="0.2">
      <c r="A29" s="549">
        <v>19</v>
      </c>
      <c r="B29" s="112" t="s">
        <v>52</v>
      </c>
      <c r="C29" s="545" t="s">
        <v>53</v>
      </c>
      <c r="D29" s="797">
        <f t="shared" si="5"/>
        <v>40097</v>
      </c>
      <c r="E29" s="797">
        <f t="shared" si="7"/>
        <v>5421</v>
      </c>
      <c r="F29" s="797">
        <v>779</v>
      </c>
      <c r="G29" s="797">
        <v>4642</v>
      </c>
      <c r="H29" s="787">
        <f t="shared" si="6"/>
        <v>5108</v>
      </c>
      <c r="I29" s="797">
        <v>5084</v>
      </c>
      <c r="J29" s="797">
        <v>24</v>
      </c>
      <c r="K29" s="797">
        <f t="shared" si="3"/>
        <v>29568</v>
      </c>
      <c r="L29" s="798">
        <v>1405</v>
      </c>
      <c r="M29" s="798">
        <v>255</v>
      </c>
      <c r="N29" s="798">
        <v>6793</v>
      </c>
      <c r="O29" s="798">
        <v>12925</v>
      </c>
      <c r="P29" s="798">
        <v>1600</v>
      </c>
      <c r="Q29" s="798">
        <v>6590</v>
      </c>
      <c r="R29" s="798">
        <v>0</v>
      </c>
      <c r="S29" s="798">
        <v>3295</v>
      </c>
      <c r="T29" s="793"/>
      <c r="U29" s="789"/>
      <c r="V29" s="794"/>
      <c r="W29" s="795"/>
      <c r="X29" s="799"/>
    </row>
    <row r="30" spans="1:24" x14ac:dyDescent="0.2">
      <c r="A30" s="544">
        <v>20</v>
      </c>
      <c r="B30" s="112" t="s">
        <v>54</v>
      </c>
      <c r="C30" s="545" t="s">
        <v>55</v>
      </c>
      <c r="D30" s="797">
        <f t="shared" si="5"/>
        <v>31091</v>
      </c>
      <c r="E30" s="797">
        <f t="shared" si="7"/>
        <v>3583</v>
      </c>
      <c r="F30" s="797">
        <v>664</v>
      </c>
      <c r="G30" s="797">
        <v>2919</v>
      </c>
      <c r="H30" s="787">
        <f t="shared" si="6"/>
        <v>4475</v>
      </c>
      <c r="I30" s="797">
        <v>4330</v>
      </c>
      <c r="J30" s="797">
        <v>145</v>
      </c>
      <c r="K30" s="797">
        <f t="shared" si="3"/>
        <v>23033</v>
      </c>
      <c r="L30" s="798">
        <v>1095</v>
      </c>
      <c r="M30" s="798">
        <v>120</v>
      </c>
      <c r="N30" s="798">
        <v>5596</v>
      </c>
      <c r="O30" s="798">
        <v>7417</v>
      </c>
      <c r="P30" s="798">
        <v>0</v>
      </c>
      <c r="Q30" s="798">
        <v>8805</v>
      </c>
      <c r="R30" s="798">
        <v>0</v>
      </c>
      <c r="S30" s="798">
        <v>4550</v>
      </c>
      <c r="T30" s="793"/>
      <c r="U30" s="789"/>
      <c r="V30" s="794"/>
      <c r="W30" s="795"/>
      <c r="X30" s="799"/>
    </row>
    <row r="31" spans="1:24" x14ac:dyDescent="0.2">
      <c r="A31" s="549">
        <v>21</v>
      </c>
      <c r="B31" s="112" t="s">
        <v>56</v>
      </c>
      <c r="C31" s="545" t="s">
        <v>57</v>
      </c>
      <c r="D31" s="797">
        <f t="shared" si="5"/>
        <v>168360</v>
      </c>
      <c r="E31" s="797">
        <f t="shared" si="7"/>
        <v>19544</v>
      </c>
      <c r="F31" s="797">
        <v>3374</v>
      </c>
      <c r="G31" s="797">
        <v>16170</v>
      </c>
      <c r="H31" s="787">
        <f t="shared" si="6"/>
        <v>22212</v>
      </c>
      <c r="I31" s="797">
        <v>22018</v>
      </c>
      <c r="J31" s="797">
        <v>194</v>
      </c>
      <c r="K31" s="797">
        <f t="shared" si="3"/>
        <v>126604</v>
      </c>
      <c r="L31" s="798">
        <v>5571</v>
      </c>
      <c r="M31" s="798">
        <v>429</v>
      </c>
      <c r="N31" s="798">
        <v>26547</v>
      </c>
      <c r="O31" s="798">
        <v>43744</v>
      </c>
      <c r="P31" s="798">
        <v>3033</v>
      </c>
      <c r="Q31" s="798">
        <v>46025</v>
      </c>
      <c r="R31" s="798">
        <v>1255</v>
      </c>
      <c r="S31" s="798">
        <v>16760</v>
      </c>
      <c r="T31" s="793"/>
      <c r="U31" s="789"/>
      <c r="V31" s="794"/>
      <c r="W31" s="795"/>
      <c r="X31" s="799"/>
    </row>
    <row r="32" spans="1:24" x14ac:dyDescent="0.2">
      <c r="A32" s="544">
        <v>22</v>
      </c>
      <c r="B32" s="112" t="s">
        <v>58</v>
      </c>
      <c r="C32" s="545" t="s">
        <v>59</v>
      </c>
      <c r="D32" s="797">
        <f t="shared" si="5"/>
        <v>153081</v>
      </c>
      <c r="E32" s="797">
        <f t="shared" si="7"/>
        <v>16271</v>
      </c>
      <c r="F32" s="797">
        <v>2815</v>
      </c>
      <c r="G32" s="797">
        <v>13456</v>
      </c>
      <c r="H32" s="787">
        <f t="shared" si="6"/>
        <v>18528</v>
      </c>
      <c r="I32" s="797">
        <v>18368</v>
      </c>
      <c r="J32" s="797">
        <v>160</v>
      </c>
      <c r="K32" s="797">
        <f t="shared" si="3"/>
        <v>118282</v>
      </c>
      <c r="L32" s="798">
        <v>4647</v>
      </c>
      <c r="M32" s="798">
        <v>354</v>
      </c>
      <c r="N32" s="798">
        <v>15970</v>
      </c>
      <c r="O32" s="798">
        <v>50960</v>
      </c>
      <c r="P32" s="798">
        <v>2250</v>
      </c>
      <c r="Q32" s="798">
        <v>43198</v>
      </c>
      <c r="R32" s="798">
        <v>903</v>
      </c>
      <c r="S32" s="798">
        <v>17702</v>
      </c>
      <c r="T32" s="793"/>
      <c r="U32" s="789"/>
      <c r="V32" s="794"/>
      <c r="W32" s="795"/>
      <c r="X32" s="799"/>
    </row>
    <row r="33" spans="1:24" ht="24" x14ac:dyDescent="0.2">
      <c r="A33" s="549">
        <v>23</v>
      </c>
      <c r="B33" s="547" t="s">
        <v>60</v>
      </c>
      <c r="C33" s="113" t="s">
        <v>61</v>
      </c>
      <c r="D33" s="797">
        <f t="shared" si="5"/>
        <v>36040</v>
      </c>
      <c r="E33" s="797">
        <f t="shared" si="7"/>
        <v>3158</v>
      </c>
      <c r="F33" s="797">
        <v>683</v>
      </c>
      <c r="G33" s="797">
        <v>2475</v>
      </c>
      <c r="H33" s="787">
        <f t="shared" si="6"/>
        <v>4502</v>
      </c>
      <c r="I33" s="797">
        <v>4459</v>
      </c>
      <c r="J33" s="797">
        <v>43</v>
      </c>
      <c r="K33" s="797">
        <f t="shared" si="3"/>
        <v>28380</v>
      </c>
      <c r="L33" s="798">
        <v>1128</v>
      </c>
      <c r="M33" s="798">
        <v>48</v>
      </c>
      <c r="N33" s="798">
        <v>4236</v>
      </c>
      <c r="O33" s="798">
        <v>14829</v>
      </c>
      <c r="P33" s="798">
        <v>1693</v>
      </c>
      <c r="Q33" s="798">
        <v>6446</v>
      </c>
      <c r="R33" s="798">
        <v>0</v>
      </c>
      <c r="S33" s="798">
        <v>2442</v>
      </c>
      <c r="T33" s="793"/>
      <c r="U33" s="789"/>
      <c r="V33" s="794"/>
      <c r="W33" s="795"/>
      <c r="X33" s="799"/>
    </row>
    <row r="34" spans="1:24" x14ac:dyDescent="0.2">
      <c r="A34" s="544">
        <v>24</v>
      </c>
      <c r="B34" s="547" t="s">
        <v>62</v>
      </c>
      <c r="C34" s="113" t="s">
        <v>63</v>
      </c>
      <c r="D34" s="797">
        <f t="shared" si="5"/>
        <v>0</v>
      </c>
      <c r="E34" s="797">
        <f t="shared" si="7"/>
        <v>0</v>
      </c>
      <c r="F34" s="797">
        <v>0</v>
      </c>
      <c r="G34" s="797">
        <v>0</v>
      </c>
      <c r="H34" s="787">
        <f t="shared" si="6"/>
        <v>0</v>
      </c>
      <c r="I34" s="797">
        <v>0</v>
      </c>
      <c r="J34" s="797">
        <v>0</v>
      </c>
      <c r="K34" s="797">
        <f t="shared" si="3"/>
        <v>0</v>
      </c>
      <c r="L34" s="798">
        <v>0</v>
      </c>
      <c r="M34" s="798">
        <v>0</v>
      </c>
      <c r="N34" s="798">
        <v>0</v>
      </c>
      <c r="O34" s="798">
        <v>0</v>
      </c>
      <c r="P34" s="798">
        <v>0</v>
      </c>
      <c r="Q34" s="798">
        <v>0</v>
      </c>
      <c r="R34" s="798">
        <v>0</v>
      </c>
      <c r="S34" s="798">
        <v>0</v>
      </c>
      <c r="T34" s="793"/>
      <c r="U34" s="789"/>
      <c r="V34" s="794"/>
      <c r="W34" s="795"/>
      <c r="X34" s="799"/>
    </row>
    <row r="35" spans="1:24" ht="24" x14ac:dyDescent="0.2">
      <c r="A35" s="549">
        <v>25</v>
      </c>
      <c r="B35" s="547" t="s">
        <v>64</v>
      </c>
      <c r="C35" s="113" t="s">
        <v>65</v>
      </c>
      <c r="D35" s="797">
        <f t="shared" si="5"/>
        <v>0</v>
      </c>
      <c r="E35" s="797">
        <f t="shared" si="7"/>
        <v>0</v>
      </c>
      <c r="F35" s="797">
        <v>0</v>
      </c>
      <c r="G35" s="797">
        <v>0</v>
      </c>
      <c r="H35" s="787">
        <f t="shared" si="6"/>
        <v>0</v>
      </c>
      <c r="I35" s="797">
        <v>0</v>
      </c>
      <c r="J35" s="797">
        <v>0</v>
      </c>
      <c r="K35" s="797">
        <f t="shared" si="3"/>
        <v>0</v>
      </c>
      <c r="L35" s="798">
        <v>0</v>
      </c>
      <c r="M35" s="798">
        <v>0</v>
      </c>
      <c r="N35" s="798">
        <v>0</v>
      </c>
      <c r="O35" s="798">
        <v>0</v>
      </c>
      <c r="P35" s="798">
        <v>0</v>
      </c>
      <c r="Q35" s="798">
        <v>0</v>
      </c>
      <c r="R35" s="798">
        <v>0</v>
      </c>
      <c r="S35" s="798">
        <v>0</v>
      </c>
      <c r="T35" s="793"/>
      <c r="U35" s="789"/>
      <c r="V35" s="794"/>
      <c r="W35" s="795"/>
      <c r="X35" s="799"/>
    </row>
    <row r="36" spans="1:24" ht="24" x14ac:dyDescent="0.2">
      <c r="A36" s="544">
        <v>26</v>
      </c>
      <c r="B36" s="112" t="s">
        <v>66</v>
      </c>
      <c r="C36" s="120" t="s">
        <v>67</v>
      </c>
      <c r="D36" s="797">
        <f t="shared" si="5"/>
        <v>392894</v>
      </c>
      <c r="E36" s="797">
        <f t="shared" si="7"/>
        <v>25707</v>
      </c>
      <c r="F36" s="797">
        <v>11119</v>
      </c>
      <c r="G36" s="797">
        <v>14588</v>
      </c>
      <c r="H36" s="787">
        <f t="shared" si="6"/>
        <v>74626</v>
      </c>
      <c r="I36" s="797">
        <v>74567</v>
      </c>
      <c r="J36" s="797">
        <v>59</v>
      </c>
      <c r="K36" s="797">
        <f t="shared" si="3"/>
        <v>292561</v>
      </c>
      <c r="L36" s="798">
        <v>18342</v>
      </c>
      <c r="M36" s="798">
        <v>2602</v>
      </c>
      <c r="N36" s="798">
        <v>85958</v>
      </c>
      <c r="O36" s="798">
        <v>81135</v>
      </c>
      <c r="P36" s="798">
        <v>37631</v>
      </c>
      <c r="Q36" s="798">
        <v>62938</v>
      </c>
      <c r="R36" s="798">
        <v>3955</v>
      </c>
      <c r="S36" s="798">
        <v>43160</v>
      </c>
      <c r="T36" s="793"/>
      <c r="U36" s="789"/>
      <c r="V36" s="794"/>
      <c r="W36" s="795"/>
      <c r="X36" s="799"/>
    </row>
    <row r="37" spans="1:24" ht="24" x14ac:dyDescent="0.2">
      <c r="A37" s="549">
        <v>27</v>
      </c>
      <c r="B37" s="547" t="s">
        <v>68</v>
      </c>
      <c r="C37" s="113" t="s">
        <v>69</v>
      </c>
      <c r="D37" s="797">
        <f t="shared" si="5"/>
        <v>147682</v>
      </c>
      <c r="E37" s="797">
        <f t="shared" si="7"/>
        <v>12915</v>
      </c>
      <c r="F37" s="797">
        <v>3142</v>
      </c>
      <c r="G37" s="797">
        <v>9773</v>
      </c>
      <c r="H37" s="787">
        <f t="shared" si="6"/>
        <v>18509</v>
      </c>
      <c r="I37" s="797">
        <v>18494</v>
      </c>
      <c r="J37" s="797">
        <v>15</v>
      </c>
      <c r="K37" s="797">
        <f t="shared" si="3"/>
        <v>116258</v>
      </c>
      <c r="L37" s="798">
        <v>5203</v>
      </c>
      <c r="M37" s="798">
        <v>143</v>
      </c>
      <c r="N37" s="798">
        <v>7867</v>
      </c>
      <c r="O37" s="798">
        <v>27261</v>
      </c>
      <c r="P37" s="798">
        <v>46304</v>
      </c>
      <c r="Q37" s="798">
        <v>29480</v>
      </c>
      <c r="R37" s="798">
        <v>0</v>
      </c>
      <c r="S37" s="798">
        <v>11557</v>
      </c>
      <c r="T37" s="793"/>
      <c r="U37" s="789"/>
      <c r="V37" s="794"/>
      <c r="W37" s="795"/>
      <c r="X37" s="799"/>
    </row>
    <row r="38" spans="1:24" x14ac:dyDescent="0.2">
      <c r="A38" s="544">
        <v>28</v>
      </c>
      <c r="B38" s="547" t="s">
        <v>70</v>
      </c>
      <c r="C38" s="113" t="s">
        <v>71</v>
      </c>
      <c r="D38" s="797">
        <f t="shared" si="5"/>
        <v>212980</v>
      </c>
      <c r="E38" s="797">
        <f t="shared" si="7"/>
        <v>43540</v>
      </c>
      <c r="F38" s="797">
        <v>0</v>
      </c>
      <c r="G38" s="797">
        <v>43540</v>
      </c>
      <c r="H38" s="787">
        <f t="shared" si="6"/>
        <v>276</v>
      </c>
      <c r="I38" s="797">
        <v>0</v>
      </c>
      <c r="J38" s="797">
        <v>276</v>
      </c>
      <c r="K38" s="797">
        <f t="shared" si="3"/>
        <v>169164</v>
      </c>
      <c r="L38" s="798">
        <v>0</v>
      </c>
      <c r="M38" s="798">
        <v>0</v>
      </c>
      <c r="N38" s="798">
        <v>5633</v>
      </c>
      <c r="O38" s="798">
        <v>42832</v>
      </c>
      <c r="P38" s="798">
        <v>52488</v>
      </c>
      <c r="Q38" s="798">
        <v>68211</v>
      </c>
      <c r="R38" s="798">
        <v>0</v>
      </c>
      <c r="S38" s="798">
        <v>0</v>
      </c>
      <c r="T38" s="793"/>
      <c r="U38" s="789"/>
      <c r="V38" s="794"/>
      <c r="W38" s="795"/>
      <c r="X38" s="799"/>
    </row>
    <row r="39" spans="1:24" x14ac:dyDescent="0.2">
      <c r="A39" s="549">
        <v>29</v>
      </c>
      <c r="B39" s="546" t="s">
        <v>72</v>
      </c>
      <c r="C39" s="120" t="s">
        <v>73</v>
      </c>
      <c r="D39" s="797">
        <f t="shared" si="5"/>
        <v>13936</v>
      </c>
      <c r="E39" s="797">
        <f t="shared" si="7"/>
        <v>0</v>
      </c>
      <c r="F39" s="797">
        <v>0</v>
      </c>
      <c r="G39" s="797">
        <v>0</v>
      </c>
      <c r="H39" s="787">
        <f t="shared" si="6"/>
        <v>0</v>
      </c>
      <c r="I39" s="797">
        <v>0</v>
      </c>
      <c r="J39" s="797">
        <v>0</v>
      </c>
      <c r="K39" s="797">
        <f t="shared" si="3"/>
        <v>13936</v>
      </c>
      <c r="L39" s="798">
        <v>0</v>
      </c>
      <c r="M39" s="798">
        <v>0</v>
      </c>
      <c r="N39" s="798">
        <v>0</v>
      </c>
      <c r="O39" s="798">
        <v>10786</v>
      </c>
      <c r="P39" s="798">
        <v>3150</v>
      </c>
      <c r="Q39" s="798">
        <v>0</v>
      </c>
      <c r="R39" s="798">
        <v>0</v>
      </c>
      <c r="S39" s="798">
        <v>0</v>
      </c>
      <c r="T39" s="793"/>
      <c r="U39" s="789"/>
      <c r="V39" s="794"/>
      <c r="W39" s="795"/>
      <c r="X39" s="799"/>
    </row>
    <row r="40" spans="1:24" ht="24" x14ac:dyDescent="0.2">
      <c r="A40" s="544">
        <v>30</v>
      </c>
      <c r="B40" s="112" t="s">
        <v>74</v>
      </c>
      <c r="C40" s="545" t="s">
        <v>357</v>
      </c>
      <c r="D40" s="797">
        <f t="shared" si="5"/>
        <v>0</v>
      </c>
      <c r="E40" s="797">
        <f t="shared" si="7"/>
        <v>0</v>
      </c>
      <c r="F40" s="797">
        <v>0</v>
      </c>
      <c r="G40" s="797">
        <v>0</v>
      </c>
      <c r="H40" s="787">
        <f t="shared" si="6"/>
        <v>0</v>
      </c>
      <c r="I40" s="797">
        <v>0</v>
      </c>
      <c r="J40" s="797">
        <v>0</v>
      </c>
      <c r="K40" s="797">
        <f t="shared" si="3"/>
        <v>0</v>
      </c>
      <c r="L40" s="798">
        <v>0</v>
      </c>
      <c r="M40" s="798">
        <v>0</v>
      </c>
      <c r="N40" s="798">
        <v>0</v>
      </c>
      <c r="O40" s="798">
        <v>0</v>
      </c>
      <c r="P40" s="798">
        <v>0</v>
      </c>
      <c r="Q40" s="798">
        <v>0</v>
      </c>
      <c r="R40" s="798">
        <v>0</v>
      </c>
      <c r="S40" s="798">
        <v>0</v>
      </c>
      <c r="T40" s="793"/>
      <c r="U40" s="789"/>
      <c r="V40" s="794"/>
      <c r="W40" s="795"/>
      <c r="X40" s="799"/>
    </row>
    <row r="41" spans="1:24" ht="24" x14ac:dyDescent="0.2">
      <c r="A41" s="549">
        <v>31</v>
      </c>
      <c r="B41" s="547" t="s">
        <v>75</v>
      </c>
      <c r="C41" s="113" t="s">
        <v>76</v>
      </c>
      <c r="D41" s="797">
        <f t="shared" si="5"/>
        <v>12288</v>
      </c>
      <c r="E41" s="797">
        <f t="shared" si="7"/>
        <v>508</v>
      </c>
      <c r="F41" s="797">
        <v>508</v>
      </c>
      <c r="G41" s="797">
        <v>0</v>
      </c>
      <c r="H41" s="787">
        <f t="shared" si="6"/>
        <v>3315</v>
      </c>
      <c r="I41" s="797">
        <v>3315</v>
      </c>
      <c r="J41" s="797">
        <v>0</v>
      </c>
      <c r="K41" s="797">
        <f t="shared" si="3"/>
        <v>8465</v>
      </c>
      <c r="L41" s="798">
        <v>839</v>
      </c>
      <c r="M41" s="798">
        <v>74</v>
      </c>
      <c r="N41" s="798">
        <v>1065</v>
      </c>
      <c r="O41" s="798">
        <v>5193</v>
      </c>
      <c r="P41" s="798">
        <v>275</v>
      </c>
      <c r="Q41" s="798">
        <v>1019</v>
      </c>
      <c r="R41" s="798">
        <v>0</v>
      </c>
      <c r="S41" s="798">
        <v>587</v>
      </c>
      <c r="T41" s="793"/>
      <c r="U41" s="789"/>
      <c r="V41" s="794"/>
      <c r="W41" s="795"/>
      <c r="X41" s="799"/>
    </row>
    <row r="42" spans="1:24" x14ac:dyDescent="0.2">
      <c r="A42" s="544">
        <v>32</v>
      </c>
      <c r="B42" s="546" t="s">
        <v>77</v>
      </c>
      <c r="C42" s="545" t="s">
        <v>78</v>
      </c>
      <c r="D42" s="797">
        <f t="shared" si="5"/>
        <v>178067</v>
      </c>
      <c r="E42" s="797">
        <f t="shared" si="7"/>
        <v>19781</v>
      </c>
      <c r="F42" s="797">
        <v>4212</v>
      </c>
      <c r="G42" s="797">
        <v>15569</v>
      </c>
      <c r="H42" s="787">
        <f t="shared" si="6"/>
        <v>27782</v>
      </c>
      <c r="I42" s="797">
        <v>27487</v>
      </c>
      <c r="J42" s="797">
        <v>295</v>
      </c>
      <c r="K42" s="797">
        <f t="shared" si="3"/>
        <v>130504</v>
      </c>
      <c r="L42" s="798">
        <v>6954</v>
      </c>
      <c r="M42" s="798">
        <v>336</v>
      </c>
      <c r="N42" s="798">
        <v>6830</v>
      </c>
      <c r="O42" s="798">
        <v>44267</v>
      </c>
      <c r="P42" s="798">
        <v>12060</v>
      </c>
      <c r="Q42" s="798">
        <v>59214</v>
      </c>
      <c r="R42" s="798">
        <v>843</v>
      </c>
      <c r="S42" s="798">
        <v>14876</v>
      </c>
      <c r="T42" s="793"/>
      <c r="U42" s="789"/>
      <c r="V42" s="794"/>
      <c r="W42" s="795"/>
      <c r="X42" s="799"/>
    </row>
    <row r="43" spans="1:24" x14ac:dyDescent="0.2">
      <c r="A43" s="549">
        <v>33</v>
      </c>
      <c r="B43" s="548" t="s">
        <v>79</v>
      </c>
      <c r="C43" s="120" t="s">
        <v>80</v>
      </c>
      <c r="D43" s="797">
        <f t="shared" si="5"/>
        <v>301151</v>
      </c>
      <c r="E43" s="797">
        <f t="shared" si="7"/>
        <v>32349</v>
      </c>
      <c r="F43" s="797">
        <v>5971</v>
      </c>
      <c r="G43" s="797">
        <v>26378</v>
      </c>
      <c r="H43" s="787">
        <f t="shared" si="6"/>
        <v>39254</v>
      </c>
      <c r="I43" s="797">
        <v>38964</v>
      </c>
      <c r="J43" s="797">
        <v>290</v>
      </c>
      <c r="K43" s="797">
        <f t="shared" si="3"/>
        <v>229548</v>
      </c>
      <c r="L43" s="798">
        <v>9858</v>
      </c>
      <c r="M43" s="798">
        <v>297</v>
      </c>
      <c r="N43" s="798">
        <v>42474</v>
      </c>
      <c r="O43" s="798">
        <v>78218</v>
      </c>
      <c r="P43" s="798">
        <v>26882</v>
      </c>
      <c r="Q43" s="798">
        <v>70094</v>
      </c>
      <c r="R43" s="798">
        <v>1725</v>
      </c>
      <c r="S43" s="798">
        <v>29502</v>
      </c>
      <c r="T43" s="793"/>
      <c r="U43" s="789"/>
      <c r="V43" s="794"/>
      <c r="W43" s="795"/>
      <c r="X43" s="799"/>
    </row>
    <row r="44" spans="1:24" x14ac:dyDescent="0.2">
      <c r="A44" s="544">
        <v>34</v>
      </c>
      <c r="B44" s="546" t="s">
        <v>81</v>
      </c>
      <c r="C44" s="545" t="s">
        <v>82</v>
      </c>
      <c r="D44" s="797">
        <f t="shared" si="5"/>
        <v>58438</v>
      </c>
      <c r="E44" s="797">
        <f t="shared" si="7"/>
        <v>6523</v>
      </c>
      <c r="F44" s="797">
        <v>1184</v>
      </c>
      <c r="G44" s="797">
        <v>5339</v>
      </c>
      <c r="H44" s="787">
        <f t="shared" si="6"/>
        <v>7757</v>
      </c>
      <c r="I44" s="797">
        <v>7727</v>
      </c>
      <c r="J44" s="797">
        <v>30</v>
      </c>
      <c r="K44" s="797">
        <f t="shared" si="3"/>
        <v>44158</v>
      </c>
      <c r="L44" s="798">
        <v>1955</v>
      </c>
      <c r="M44" s="798">
        <v>183</v>
      </c>
      <c r="N44" s="798">
        <v>6770</v>
      </c>
      <c r="O44" s="798">
        <v>12837</v>
      </c>
      <c r="P44" s="798">
        <v>7025</v>
      </c>
      <c r="Q44" s="798">
        <v>15388</v>
      </c>
      <c r="R44" s="798">
        <v>0</v>
      </c>
      <c r="S44" s="798">
        <v>4592</v>
      </c>
      <c r="T44" s="793"/>
      <c r="U44" s="789"/>
      <c r="V44" s="794"/>
      <c r="W44" s="795"/>
      <c r="X44" s="799"/>
    </row>
    <row r="45" spans="1:24" x14ac:dyDescent="0.2">
      <c r="A45" s="549">
        <v>35</v>
      </c>
      <c r="B45" s="547" t="s">
        <v>83</v>
      </c>
      <c r="C45" s="113" t="s">
        <v>84</v>
      </c>
      <c r="D45" s="797">
        <f t="shared" si="5"/>
        <v>205323</v>
      </c>
      <c r="E45" s="797">
        <f t="shared" si="7"/>
        <v>20748</v>
      </c>
      <c r="F45" s="797">
        <v>4048</v>
      </c>
      <c r="G45" s="797">
        <v>16700</v>
      </c>
      <c r="H45" s="787">
        <f t="shared" si="6"/>
        <v>26696</v>
      </c>
      <c r="I45" s="797">
        <v>26417</v>
      </c>
      <c r="J45" s="797">
        <v>279</v>
      </c>
      <c r="K45" s="797">
        <f t="shared" si="3"/>
        <v>157879</v>
      </c>
      <c r="L45" s="798">
        <v>6684</v>
      </c>
      <c r="M45" s="798">
        <v>318</v>
      </c>
      <c r="N45" s="798">
        <v>27785</v>
      </c>
      <c r="O45" s="798">
        <v>40429</v>
      </c>
      <c r="P45" s="798">
        <v>38522</v>
      </c>
      <c r="Q45" s="798">
        <v>43085</v>
      </c>
      <c r="R45" s="798">
        <v>1056</v>
      </c>
      <c r="S45" s="798">
        <v>19087</v>
      </c>
      <c r="T45" s="793"/>
      <c r="U45" s="789"/>
      <c r="V45" s="794"/>
      <c r="W45" s="795"/>
      <c r="X45" s="799"/>
    </row>
    <row r="46" spans="1:24" ht="24" x14ac:dyDescent="0.2">
      <c r="A46" s="544">
        <v>36</v>
      </c>
      <c r="B46" s="546" t="s">
        <v>85</v>
      </c>
      <c r="C46" s="545" t="s">
        <v>86</v>
      </c>
      <c r="D46" s="797">
        <f t="shared" si="5"/>
        <v>75922</v>
      </c>
      <c r="E46" s="797">
        <f t="shared" si="7"/>
        <v>8720</v>
      </c>
      <c r="F46" s="797">
        <v>1546</v>
      </c>
      <c r="G46" s="797">
        <v>7174</v>
      </c>
      <c r="H46" s="787">
        <f t="shared" si="6"/>
        <v>10171</v>
      </c>
      <c r="I46" s="797">
        <v>10086</v>
      </c>
      <c r="J46" s="797">
        <v>85</v>
      </c>
      <c r="K46" s="797">
        <f t="shared" si="3"/>
        <v>57031</v>
      </c>
      <c r="L46" s="798">
        <v>2552</v>
      </c>
      <c r="M46" s="798">
        <v>480</v>
      </c>
      <c r="N46" s="798">
        <v>9820</v>
      </c>
      <c r="O46" s="798">
        <v>23286</v>
      </c>
      <c r="P46" s="798">
        <v>7791</v>
      </c>
      <c r="Q46" s="798">
        <v>12098</v>
      </c>
      <c r="R46" s="798">
        <v>1004</v>
      </c>
      <c r="S46" s="798">
        <v>7267</v>
      </c>
      <c r="T46" s="793"/>
      <c r="U46" s="789"/>
      <c r="V46" s="794"/>
      <c r="W46" s="795"/>
      <c r="X46" s="799"/>
    </row>
    <row r="47" spans="1:24" x14ac:dyDescent="0.2">
      <c r="A47" s="549">
        <v>37</v>
      </c>
      <c r="B47" s="112" t="s">
        <v>87</v>
      </c>
      <c r="C47" s="545" t="s">
        <v>88</v>
      </c>
      <c r="D47" s="797">
        <f t="shared" si="5"/>
        <v>189377</v>
      </c>
      <c r="E47" s="797">
        <f t="shared" si="7"/>
        <v>21545</v>
      </c>
      <c r="F47" s="797">
        <v>4045</v>
      </c>
      <c r="G47" s="797">
        <v>17500</v>
      </c>
      <c r="H47" s="787">
        <f t="shared" si="6"/>
        <v>26698</v>
      </c>
      <c r="I47" s="797">
        <v>26395</v>
      </c>
      <c r="J47" s="797">
        <v>303</v>
      </c>
      <c r="K47" s="797">
        <f t="shared" si="3"/>
        <v>141134</v>
      </c>
      <c r="L47" s="798">
        <v>6678</v>
      </c>
      <c r="M47" s="798">
        <v>321</v>
      </c>
      <c r="N47" s="798">
        <v>19131</v>
      </c>
      <c r="O47" s="798">
        <v>65782</v>
      </c>
      <c r="P47" s="798">
        <v>6000</v>
      </c>
      <c r="Q47" s="798">
        <v>42021</v>
      </c>
      <c r="R47" s="798">
        <v>1201</v>
      </c>
      <c r="S47" s="798">
        <v>28055</v>
      </c>
      <c r="T47" s="793"/>
      <c r="U47" s="789"/>
      <c r="V47" s="794"/>
      <c r="W47" s="795"/>
      <c r="X47" s="799"/>
    </row>
    <row r="48" spans="1:24" x14ac:dyDescent="0.2">
      <c r="A48" s="544">
        <v>38</v>
      </c>
      <c r="B48" s="550" t="s">
        <v>89</v>
      </c>
      <c r="C48" s="551" t="s">
        <v>90</v>
      </c>
      <c r="D48" s="797">
        <f t="shared" si="5"/>
        <v>61967</v>
      </c>
      <c r="E48" s="797">
        <f t="shared" si="7"/>
        <v>7260</v>
      </c>
      <c r="F48" s="797">
        <v>1420</v>
      </c>
      <c r="G48" s="797">
        <v>5840</v>
      </c>
      <c r="H48" s="787">
        <f t="shared" si="6"/>
        <v>9310</v>
      </c>
      <c r="I48" s="797">
        <v>9267</v>
      </c>
      <c r="J48" s="797">
        <v>43</v>
      </c>
      <c r="K48" s="797">
        <f t="shared" si="3"/>
        <v>45397</v>
      </c>
      <c r="L48" s="798">
        <v>2345</v>
      </c>
      <c r="M48" s="798">
        <v>93</v>
      </c>
      <c r="N48" s="798">
        <v>6729</v>
      </c>
      <c r="O48" s="798">
        <v>10910</v>
      </c>
      <c r="P48" s="798">
        <v>8350</v>
      </c>
      <c r="Q48" s="798">
        <v>16528</v>
      </c>
      <c r="R48" s="798">
        <v>442</v>
      </c>
      <c r="S48" s="798">
        <v>6892</v>
      </c>
      <c r="T48" s="793"/>
      <c r="U48" s="789"/>
      <c r="V48" s="794"/>
      <c r="W48" s="795"/>
      <c r="X48" s="799"/>
    </row>
    <row r="49" spans="1:24" ht="24" x14ac:dyDescent="0.2">
      <c r="A49" s="549">
        <v>39</v>
      </c>
      <c r="B49" s="112" t="s">
        <v>91</v>
      </c>
      <c r="C49" s="545" t="s">
        <v>92</v>
      </c>
      <c r="D49" s="797">
        <f t="shared" si="5"/>
        <v>35951</v>
      </c>
      <c r="E49" s="797">
        <f t="shared" si="7"/>
        <v>3896</v>
      </c>
      <c r="F49" s="797">
        <v>917</v>
      </c>
      <c r="G49" s="797">
        <v>2979</v>
      </c>
      <c r="H49" s="787">
        <f t="shared" si="6"/>
        <v>6116</v>
      </c>
      <c r="I49" s="797">
        <v>5981</v>
      </c>
      <c r="J49" s="797">
        <v>135</v>
      </c>
      <c r="K49" s="797">
        <f t="shared" si="3"/>
        <v>25939</v>
      </c>
      <c r="L49" s="798">
        <v>1513</v>
      </c>
      <c r="M49" s="798">
        <v>141</v>
      </c>
      <c r="N49" s="798">
        <v>4672</v>
      </c>
      <c r="O49" s="798">
        <v>9052</v>
      </c>
      <c r="P49" s="798">
        <v>2400</v>
      </c>
      <c r="Q49" s="798">
        <v>8161</v>
      </c>
      <c r="R49" s="798">
        <v>0</v>
      </c>
      <c r="S49" s="798">
        <v>7134</v>
      </c>
      <c r="T49" s="793"/>
      <c r="U49" s="789"/>
      <c r="V49" s="794"/>
      <c r="W49" s="795"/>
      <c r="X49" s="799"/>
    </row>
    <row r="50" spans="1:24" x14ac:dyDescent="0.2">
      <c r="A50" s="544">
        <v>40</v>
      </c>
      <c r="B50" s="548" t="s">
        <v>93</v>
      </c>
      <c r="C50" s="120" t="s">
        <v>94</v>
      </c>
      <c r="D50" s="797">
        <f t="shared" si="5"/>
        <v>68182</v>
      </c>
      <c r="E50" s="797">
        <f t="shared" si="7"/>
        <v>7114</v>
      </c>
      <c r="F50" s="797">
        <v>1611</v>
      </c>
      <c r="G50" s="797">
        <v>5503</v>
      </c>
      <c r="H50" s="787">
        <f t="shared" si="6"/>
        <v>10608</v>
      </c>
      <c r="I50" s="797">
        <v>10511</v>
      </c>
      <c r="J50" s="797">
        <v>97</v>
      </c>
      <c r="K50" s="797">
        <f t="shared" si="3"/>
        <v>50460</v>
      </c>
      <c r="L50" s="798">
        <v>2659</v>
      </c>
      <c r="M50" s="798">
        <v>204</v>
      </c>
      <c r="N50" s="798">
        <v>12079</v>
      </c>
      <c r="O50" s="798">
        <v>17717</v>
      </c>
      <c r="P50" s="798">
        <v>1400</v>
      </c>
      <c r="Q50" s="798">
        <v>16401</v>
      </c>
      <c r="R50" s="798">
        <v>0</v>
      </c>
      <c r="S50" s="798">
        <v>10179</v>
      </c>
      <c r="T50" s="793"/>
      <c r="U50" s="789"/>
      <c r="V50" s="794"/>
      <c r="W50" s="795"/>
      <c r="X50" s="799"/>
    </row>
    <row r="51" spans="1:24" x14ac:dyDescent="0.2">
      <c r="A51" s="549">
        <v>41</v>
      </c>
      <c r="B51" s="547" t="s">
        <v>95</v>
      </c>
      <c r="C51" s="113" t="s">
        <v>96</v>
      </c>
      <c r="D51" s="797">
        <f t="shared" si="5"/>
        <v>33468</v>
      </c>
      <c r="E51" s="797">
        <f t="shared" si="7"/>
        <v>2879</v>
      </c>
      <c r="F51" s="797">
        <v>767</v>
      </c>
      <c r="G51" s="797">
        <v>2112</v>
      </c>
      <c r="H51" s="787">
        <f t="shared" si="6"/>
        <v>5065</v>
      </c>
      <c r="I51" s="797">
        <v>5005</v>
      </c>
      <c r="J51" s="797">
        <v>60</v>
      </c>
      <c r="K51" s="797">
        <f t="shared" si="3"/>
        <v>25524</v>
      </c>
      <c r="L51" s="798">
        <v>1266</v>
      </c>
      <c r="M51" s="798">
        <v>81</v>
      </c>
      <c r="N51" s="798">
        <v>5423</v>
      </c>
      <c r="O51" s="798">
        <v>7628</v>
      </c>
      <c r="P51" s="798">
        <v>4032</v>
      </c>
      <c r="Q51" s="798">
        <v>7094</v>
      </c>
      <c r="R51" s="798">
        <v>0</v>
      </c>
      <c r="S51" s="798">
        <v>4778</v>
      </c>
      <c r="T51" s="793"/>
      <c r="U51" s="789"/>
      <c r="V51" s="794"/>
      <c r="W51" s="795"/>
      <c r="X51" s="799"/>
    </row>
    <row r="52" spans="1:24" x14ac:dyDescent="0.2">
      <c r="A52" s="544">
        <v>42</v>
      </c>
      <c r="B52" s="546" t="s">
        <v>97</v>
      </c>
      <c r="C52" s="545" t="s">
        <v>98</v>
      </c>
      <c r="D52" s="797">
        <f t="shared" si="5"/>
        <v>22728</v>
      </c>
      <c r="E52" s="797">
        <f t="shared" si="7"/>
        <v>1091</v>
      </c>
      <c r="F52" s="797">
        <v>1091</v>
      </c>
      <c r="G52" s="797">
        <v>0</v>
      </c>
      <c r="H52" s="787">
        <f t="shared" si="6"/>
        <v>7119</v>
      </c>
      <c r="I52" s="797">
        <v>7119</v>
      </c>
      <c r="J52" s="797">
        <v>0</v>
      </c>
      <c r="K52" s="797">
        <f t="shared" si="3"/>
        <v>14518</v>
      </c>
      <c r="L52" s="798">
        <v>1801</v>
      </c>
      <c r="M52" s="798">
        <v>618</v>
      </c>
      <c r="N52" s="798">
        <v>2239</v>
      </c>
      <c r="O52" s="798">
        <v>9260</v>
      </c>
      <c r="P52" s="798">
        <v>0</v>
      </c>
      <c r="Q52" s="798">
        <v>600</v>
      </c>
      <c r="R52" s="798">
        <v>0</v>
      </c>
      <c r="S52" s="798">
        <v>2382</v>
      </c>
      <c r="T52" s="793"/>
      <c r="U52" s="789"/>
      <c r="V52" s="794"/>
      <c r="W52" s="795"/>
      <c r="X52" s="799"/>
    </row>
    <row r="53" spans="1:24" ht="24" x14ac:dyDescent="0.2">
      <c r="A53" s="549">
        <v>43</v>
      </c>
      <c r="B53" s="547" t="s">
        <v>99</v>
      </c>
      <c r="C53" s="113" t="s">
        <v>100</v>
      </c>
      <c r="D53" s="797">
        <f t="shared" si="5"/>
        <v>257058</v>
      </c>
      <c r="E53" s="797">
        <f t="shared" si="7"/>
        <v>28442</v>
      </c>
      <c r="F53" s="797">
        <v>5112</v>
      </c>
      <c r="G53" s="797">
        <v>23330</v>
      </c>
      <c r="H53" s="787">
        <f t="shared" si="6"/>
        <v>33708</v>
      </c>
      <c r="I53" s="797">
        <v>33357</v>
      </c>
      <c r="J53" s="797">
        <v>351</v>
      </c>
      <c r="K53" s="797">
        <f t="shared" si="3"/>
        <v>194908</v>
      </c>
      <c r="L53" s="798">
        <v>8439</v>
      </c>
      <c r="M53" s="798">
        <v>750</v>
      </c>
      <c r="N53" s="798">
        <v>27344</v>
      </c>
      <c r="O53" s="798">
        <v>68815</v>
      </c>
      <c r="P53" s="798">
        <v>8737</v>
      </c>
      <c r="Q53" s="798">
        <v>80466</v>
      </c>
      <c r="R53" s="798">
        <v>357</v>
      </c>
      <c r="S53" s="798">
        <v>27213</v>
      </c>
      <c r="T53" s="793"/>
      <c r="U53" s="789"/>
      <c r="V53" s="794"/>
      <c r="W53" s="795"/>
      <c r="X53" s="799"/>
    </row>
    <row r="54" spans="1:24" x14ac:dyDescent="0.2">
      <c r="A54" s="544">
        <v>44</v>
      </c>
      <c r="B54" s="112" t="s">
        <v>101</v>
      </c>
      <c r="C54" s="545" t="s">
        <v>102</v>
      </c>
      <c r="D54" s="797">
        <f t="shared" si="5"/>
        <v>61111</v>
      </c>
      <c r="E54" s="797">
        <f t="shared" si="7"/>
        <v>5953</v>
      </c>
      <c r="F54" s="797">
        <v>1333</v>
      </c>
      <c r="G54" s="797">
        <v>4620</v>
      </c>
      <c r="H54" s="787">
        <f t="shared" si="6"/>
        <v>8816</v>
      </c>
      <c r="I54" s="797">
        <v>8701</v>
      </c>
      <c r="J54" s="797">
        <v>115</v>
      </c>
      <c r="K54" s="797">
        <f t="shared" si="3"/>
        <v>46342</v>
      </c>
      <c r="L54" s="798">
        <v>2201</v>
      </c>
      <c r="M54" s="798">
        <v>162</v>
      </c>
      <c r="N54" s="798">
        <v>10684</v>
      </c>
      <c r="O54" s="798">
        <v>16456</v>
      </c>
      <c r="P54" s="798">
        <v>7396</v>
      </c>
      <c r="Q54" s="798">
        <v>9443</v>
      </c>
      <c r="R54" s="798">
        <v>0</v>
      </c>
      <c r="S54" s="798">
        <v>7669</v>
      </c>
      <c r="T54" s="793"/>
      <c r="U54" s="789"/>
      <c r="V54" s="794"/>
      <c r="W54" s="795"/>
      <c r="X54" s="799"/>
    </row>
    <row r="55" spans="1:24" x14ac:dyDescent="0.2">
      <c r="A55" s="549">
        <v>45</v>
      </c>
      <c r="B55" s="112" t="s">
        <v>103</v>
      </c>
      <c r="C55" s="545" t="s">
        <v>104</v>
      </c>
      <c r="D55" s="797">
        <f t="shared" si="5"/>
        <v>200306</v>
      </c>
      <c r="E55" s="797">
        <f t="shared" si="7"/>
        <v>21606</v>
      </c>
      <c r="F55" s="797">
        <v>4353</v>
      </c>
      <c r="G55" s="797">
        <v>17253</v>
      </c>
      <c r="H55" s="787">
        <f t="shared" si="6"/>
        <v>28566</v>
      </c>
      <c r="I55" s="797">
        <v>28405</v>
      </c>
      <c r="J55" s="797">
        <v>161</v>
      </c>
      <c r="K55" s="797">
        <f t="shared" si="3"/>
        <v>150134</v>
      </c>
      <c r="L55" s="798">
        <v>7186</v>
      </c>
      <c r="M55" s="798">
        <v>822</v>
      </c>
      <c r="N55" s="798">
        <v>9310</v>
      </c>
      <c r="O55" s="798">
        <v>71430</v>
      </c>
      <c r="P55" s="798">
        <v>5084</v>
      </c>
      <c r="Q55" s="798">
        <v>54616</v>
      </c>
      <c r="R55" s="798">
        <v>1686</v>
      </c>
      <c r="S55" s="798">
        <v>10858</v>
      </c>
      <c r="T55" s="793"/>
      <c r="U55" s="789"/>
      <c r="V55" s="794"/>
      <c r="W55" s="795"/>
      <c r="X55" s="799"/>
    </row>
    <row r="56" spans="1:24" x14ac:dyDescent="0.2">
      <c r="A56" s="544">
        <v>46</v>
      </c>
      <c r="B56" s="547" t="s">
        <v>105</v>
      </c>
      <c r="C56" s="113" t="s">
        <v>106</v>
      </c>
      <c r="D56" s="797">
        <f t="shared" si="5"/>
        <v>44380</v>
      </c>
      <c r="E56" s="797">
        <f t="shared" si="7"/>
        <v>5026</v>
      </c>
      <c r="F56" s="797">
        <v>996</v>
      </c>
      <c r="G56" s="797">
        <v>4030</v>
      </c>
      <c r="H56" s="787">
        <f t="shared" si="6"/>
        <v>6662</v>
      </c>
      <c r="I56" s="797">
        <v>6501</v>
      </c>
      <c r="J56" s="797">
        <v>161</v>
      </c>
      <c r="K56" s="797">
        <f t="shared" si="3"/>
        <v>32692</v>
      </c>
      <c r="L56" s="798">
        <v>1645</v>
      </c>
      <c r="M56" s="798">
        <v>216</v>
      </c>
      <c r="N56" s="798">
        <v>4155</v>
      </c>
      <c r="O56" s="798">
        <v>11768</v>
      </c>
      <c r="P56" s="798">
        <v>2742</v>
      </c>
      <c r="Q56" s="798">
        <v>12166</v>
      </c>
      <c r="R56" s="798">
        <v>0</v>
      </c>
      <c r="S56" s="798">
        <v>6875</v>
      </c>
      <c r="T56" s="793"/>
      <c r="U56" s="789"/>
      <c r="V56" s="794"/>
      <c r="W56" s="795"/>
      <c r="X56" s="799"/>
    </row>
    <row r="57" spans="1:24" ht="24" x14ac:dyDescent="0.2">
      <c r="A57" s="549">
        <v>47</v>
      </c>
      <c r="B57" s="547" t="s">
        <v>107</v>
      </c>
      <c r="C57" s="113" t="s">
        <v>108</v>
      </c>
      <c r="D57" s="797">
        <f t="shared" si="5"/>
        <v>64581</v>
      </c>
      <c r="E57" s="797">
        <f t="shared" si="7"/>
        <v>7616</v>
      </c>
      <c r="F57" s="797">
        <v>1540</v>
      </c>
      <c r="G57" s="797">
        <v>6076</v>
      </c>
      <c r="H57" s="787">
        <f t="shared" si="6"/>
        <v>10205</v>
      </c>
      <c r="I57" s="797">
        <v>10050</v>
      </c>
      <c r="J57" s="797">
        <v>155</v>
      </c>
      <c r="K57" s="797">
        <f t="shared" si="3"/>
        <v>46760</v>
      </c>
      <c r="L57" s="798">
        <v>2543</v>
      </c>
      <c r="M57" s="798">
        <v>474</v>
      </c>
      <c r="N57" s="798">
        <v>6997</v>
      </c>
      <c r="O57" s="798">
        <v>14654</v>
      </c>
      <c r="P57" s="798">
        <v>2650</v>
      </c>
      <c r="Q57" s="798">
        <v>19439</v>
      </c>
      <c r="R57" s="798">
        <v>3</v>
      </c>
      <c r="S57" s="798">
        <v>9477</v>
      </c>
      <c r="T57" s="793"/>
      <c r="U57" s="789"/>
      <c r="V57" s="794"/>
      <c r="W57" s="795"/>
      <c r="X57" s="799"/>
    </row>
    <row r="58" spans="1:24" ht="24" x14ac:dyDescent="0.2">
      <c r="A58" s="544">
        <v>48</v>
      </c>
      <c r="B58" s="546" t="s">
        <v>109</v>
      </c>
      <c r="C58" s="545" t="s">
        <v>110</v>
      </c>
      <c r="D58" s="797">
        <f t="shared" si="5"/>
        <v>85101</v>
      </c>
      <c r="E58" s="797">
        <f t="shared" si="7"/>
        <v>9462</v>
      </c>
      <c r="F58" s="797">
        <v>1828</v>
      </c>
      <c r="G58" s="797">
        <v>7634</v>
      </c>
      <c r="H58" s="787">
        <f t="shared" si="6"/>
        <v>12027</v>
      </c>
      <c r="I58" s="797">
        <v>11927</v>
      </c>
      <c r="J58" s="797">
        <v>100</v>
      </c>
      <c r="K58" s="797">
        <f t="shared" si="3"/>
        <v>63612</v>
      </c>
      <c r="L58" s="798">
        <v>3018</v>
      </c>
      <c r="M58" s="798">
        <v>339</v>
      </c>
      <c r="N58" s="798">
        <v>10175</v>
      </c>
      <c r="O58" s="798">
        <v>36755</v>
      </c>
      <c r="P58" s="798">
        <v>0</v>
      </c>
      <c r="Q58" s="798">
        <v>13319</v>
      </c>
      <c r="R58" s="798">
        <v>6</v>
      </c>
      <c r="S58" s="798">
        <v>10150</v>
      </c>
      <c r="T58" s="793"/>
      <c r="U58" s="789"/>
      <c r="V58" s="794"/>
      <c r="W58" s="795"/>
      <c r="X58" s="799"/>
    </row>
    <row r="59" spans="1:24" x14ac:dyDescent="0.2">
      <c r="A59" s="549">
        <v>49</v>
      </c>
      <c r="B59" s="547" t="s">
        <v>111</v>
      </c>
      <c r="C59" s="113" t="s">
        <v>112</v>
      </c>
      <c r="D59" s="797">
        <f t="shared" si="5"/>
        <v>28970</v>
      </c>
      <c r="E59" s="797">
        <f t="shared" si="7"/>
        <v>2657</v>
      </c>
      <c r="F59" s="797">
        <v>658</v>
      </c>
      <c r="G59" s="797">
        <v>1999</v>
      </c>
      <c r="H59" s="787">
        <f t="shared" si="6"/>
        <v>4330</v>
      </c>
      <c r="I59" s="797">
        <v>4291</v>
      </c>
      <c r="J59" s="797">
        <v>39</v>
      </c>
      <c r="K59" s="797">
        <f t="shared" si="3"/>
        <v>21983</v>
      </c>
      <c r="L59" s="798">
        <v>1086</v>
      </c>
      <c r="M59" s="798">
        <v>162</v>
      </c>
      <c r="N59" s="798">
        <v>6856</v>
      </c>
      <c r="O59" s="798">
        <v>4066</v>
      </c>
      <c r="P59" s="798">
        <v>317</v>
      </c>
      <c r="Q59" s="798">
        <v>9496</v>
      </c>
      <c r="R59" s="798">
        <v>0</v>
      </c>
      <c r="S59" s="798">
        <v>4050</v>
      </c>
      <c r="T59" s="793"/>
      <c r="U59" s="789"/>
      <c r="V59" s="794"/>
      <c r="W59" s="795"/>
      <c r="X59" s="799"/>
    </row>
    <row r="60" spans="1:24" x14ac:dyDescent="0.2">
      <c r="A60" s="544">
        <v>50</v>
      </c>
      <c r="B60" s="546" t="s">
        <v>113</v>
      </c>
      <c r="C60" s="545" t="s">
        <v>114</v>
      </c>
      <c r="D60" s="797">
        <f t="shared" si="5"/>
        <v>59411</v>
      </c>
      <c r="E60" s="797">
        <f t="shared" si="7"/>
        <v>6232</v>
      </c>
      <c r="F60" s="797">
        <v>1242</v>
      </c>
      <c r="G60" s="797">
        <v>4990</v>
      </c>
      <c r="H60" s="787">
        <f t="shared" si="6"/>
        <v>8122</v>
      </c>
      <c r="I60" s="797">
        <v>8102</v>
      </c>
      <c r="J60" s="797">
        <v>20</v>
      </c>
      <c r="K60" s="797">
        <f t="shared" si="3"/>
        <v>45057</v>
      </c>
      <c r="L60" s="798">
        <v>2050</v>
      </c>
      <c r="M60" s="798">
        <v>306</v>
      </c>
      <c r="N60" s="798">
        <v>9057</v>
      </c>
      <c r="O60" s="798">
        <v>15900</v>
      </c>
      <c r="P60" s="798">
        <v>4940</v>
      </c>
      <c r="Q60" s="798">
        <v>12202</v>
      </c>
      <c r="R60" s="798">
        <v>602</v>
      </c>
      <c r="S60" s="798">
        <v>5429</v>
      </c>
      <c r="T60" s="793"/>
      <c r="U60" s="789"/>
      <c r="V60" s="794"/>
      <c r="W60" s="795"/>
      <c r="X60" s="799"/>
    </row>
    <row r="61" spans="1:24" x14ac:dyDescent="0.2">
      <c r="A61" s="549">
        <v>51</v>
      </c>
      <c r="B61" s="547" t="s">
        <v>115</v>
      </c>
      <c r="C61" s="113" t="s">
        <v>116</v>
      </c>
      <c r="D61" s="797">
        <f t="shared" si="5"/>
        <v>89747</v>
      </c>
      <c r="E61" s="797">
        <f t="shared" si="7"/>
        <v>9143</v>
      </c>
      <c r="F61" s="797">
        <v>1871</v>
      </c>
      <c r="G61" s="797">
        <v>7272</v>
      </c>
      <c r="H61" s="787">
        <f t="shared" si="6"/>
        <v>12278</v>
      </c>
      <c r="I61" s="797">
        <v>12211</v>
      </c>
      <c r="J61" s="797">
        <v>67</v>
      </c>
      <c r="K61" s="797">
        <f t="shared" si="3"/>
        <v>68326</v>
      </c>
      <c r="L61" s="798">
        <v>3089</v>
      </c>
      <c r="M61" s="798">
        <v>579</v>
      </c>
      <c r="N61" s="798">
        <v>20924</v>
      </c>
      <c r="O61" s="798">
        <v>16099</v>
      </c>
      <c r="P61" s="798">
        <v>3360</v>
      </c>
      <c r="Q61" s="798">
        <v>24272</v>
      </c>
      <c r="R61" s="798">
        <v>3</v>
      </c>
      <c r="S61" s="798">
        <v>20008</v>
      </c>
      <c r="T61" s="793"/>
      <c r="U61" s="789"/>
      <c r="V61" s="794"/>
      <c r="W61" s="795"/>
      <c r="X61" s="799"/>
    </row>
    <row r="62" spans="1:24" x14ac:dyDescent="0.2">
      <c r="A62" s="544">
        <v>52</v>
      </c>
      <c r="B62" s="547" t="s">
        <v>117</v>
      </c>
      <c r="C62" s="113" t="s">
        <v>118</v>
      </c>
      <c r="D62" s="797">
        <f t="shared" si="5"/>
        <v>304204</v>
      </c>
      <c r="E62" s="797">
        <f t="shared" si="7"/>
        <v>33749</v>
      </c>
      <c r="F62" s="797">
        <v>6295</v>
      </c>
      <c r="G62" s="797">
        <v>27454</v>
      </c>
      <c r="H62" s="787">
        <f t="shared" si="6"/>
        <v>41611</v>
      </c>
      <c r="I62" s="797">
        <v>41075</v>
      </c>
      <c r="J62" s="797">
        <v>536</v>
      </c>
      <c r="K62" s="797">
        <f t="shared" si="3"/>
        <v>228844</v>
      </c>
      <c r="L62" s="798">
        <v>10392</v>
      </c>
      <c r="M62" s="798">
        <v>429</v>
      </c>
      <c r="N62" s="798">
        <v>35898</v>
      </c>
      <c r="O62" s="798">
        <v>96020</v>
      </c>
      <c r="P62" s="798">
        <v>16336</v>
      </c>
      <c r="Q62" s="798">
        <v>68190</v>
      </c>
      <c r="R62" s="798">
        <v>1579</v>
      </c>
      <c r="S62" s="798">
        <v>33915</v>
      </c>
      <c r="T62" s="793"/>
      <c r="U62" s="789"/>
      <c r="V62" s="794"/>
      <c r="W62" s="795"/>
      <c r="X62" s="799"/>
    </row>
    <row r="63" spans="1:24" x14ac:dyDescent="0.2">
      <c r="A63" s="549">
        <v>53</v>
      </c>
      <c r="B63" s="547" t="s">
        <v>119</v>
      </c>
      <c r="C63" s="113" t="s">
        <v>120</v>
      </c>
      <c r="D63" s="797">
        <f t="shared" si="5"/>
        <v>47197</v>
      </c>
      <c r="E63" s="797">
        <f t="shared" si="7"/>
        <v>5041</v>
      </c>
      <c r="F63" s="797">
        <v>1040</v>
      </c>
      <c r="G63" s="797">
        <v>4001</v>
      </c>
      <c r="H63" s="787">
        <f t="shared" si="6"/>
        <v>6870</v>
      </c>
      <c r="I63" s="797">
        <v>6785</v>
      </c>
      <c r="J63" s="797">
        <v>85</v>
      </c>
      <c r="K63" s="797">
        <f t="shared" si="3"/>
        <v>35286</v>
      </c>
      <c r="L63" s="798">
        <v>1717</v>
      </c>
      <c r="M63" s="798">
        <v>117</v>
      </c>
      <c r="N63" s="798">
        <v>5461</v>
      </c>
      <c r="O63" s="798">
        <v>8155</v>
      </c>
      <c r="P63" s="798">
        <v>3951</v>
      </c>
      <c r="Q63" s="798">
        <v>15885</v>
      </c>
      <c r="R63" s="798">
        <v>0</v>
      </c>
      <c r="S63" s="798">
        <v>5899</v>
      </c>
      <c r="T63" s="793"/>
      <c r="U63" s="789"/>
      <c r="V63" s="794"/>
      <c r="W63" s="795"/>
      <c r="X63" s="799"/>
    </row>
    <row r="64" spans="1:24" ht="24" x14ac:dyDescent="0.2">
      <c r="A64" s="544">
        <v>54</v>
      </c>
      <c r="B64" s="547" t="s">
        <v>121</v>
      </c>
      <c r="C64" s="113" t="s">
        <v>122</v>
      </c>
      <c r="D64" s="797">
        <f t="shared" si="5"/>
        <v>0</v>
      </c>
      <c r="E64" s="797">
        <f t="shared" si="7"/>
        <v>0</v>
      </c>
      <c r="F64" s="797">
        <v>0</v>
      </c>
      <c r="G64" s="797">
        <v>0</v>
      </c>
      <c r="H64" s="787">
        <f t="shared" si="6"/>
        <v>0</v>
      </c>
      <c r="I64" s="797">
        <v>0</v>
      </c>
      <c r="J64" s="797">
        <v>0</v>
      </c>
      <c r="K64" s="797">
        <f t="shared" si="3"/>
        <v>0</v>
      </c>
      <c r="L64" s="798">
        <v>0</v>
      </c>
      <c r="M64" s="798">
        <v>0</v>
      </c>
      <c r="N64" s="798">
        <v>0</v>
      </c>
      <c r="O64" s="798">
        <v>0</v>
      </c>
      <c r="P64" s="798">
        <v>0</v>
      </c>
      <c r="Q64" s="798">
        <v>0</v>
      </c>
      <c r="R64" s="798">
        <v>0</v>
      </c>
      <c r="S64" s="798">
        <v>0</v>
      </c>
      <c r="T64" s="793"/>
      <c r="U64" s="789"/>
      <c r="V64" s="794"/>
      <c r="W64" s="795"/>
      <c r="X64" s="799"/>
    </row>
    <row r="65" spans="1:24" x14ac:dyDescent="0.2">
      <c r="A65" s="549">
        <v>55</v>
      </c>
      <c r="B65" s="547" t="s">
        <v>123</v>
      </c>
      <c r="C65" s="113" t="s">
        <v>124</v>
      </c>
      <c r="D65" s="797">
        <f t="shared" si="5"/>
        <v>0</v>
      </c>
      <c r="E65" s="797">
        <f t="shared" si="7"/>
        <v>0</v>
      </c>
      <c r="F65" s="797">
        <v>0</v>
      </c>
      <c r="G65" s="797">
        <v>0</v>
      </c>
      <c r="H65" s="787">
        <f t="shared" si="6"/>
        <v>0</v>
      </c>
      <c r="I65" s="797">
        <v>0</v>
      </c>
      <c r="J65" s="797">
        <v>0</v>
      </c>
      <c r="K65" s="797">
        <f t="shared" si="3"/>
        <v>0</v>
      </c>
      <c r="L65" s="798">
        <v>0</v>
      </c>
      <c r="M65" s="798">
        <v>0</v>
      </c>
      <c r="N65" s="798">
        <v>0</v>
      </c>
      <c r="O65" s="798">
        <v>0</v>
      </c>
      <c r="P65" s="798">
        <v>0</v>
      </c>
      <c r="Q65" s="798">
        <v>0</v>
      </c>
      <c r="R65" s="798">
        <v>0</v>
      </c>
      <c r="S65" s="798">
        <v>0</v>
      </c>
      <c r="T65" s="793"/>
      <c r="U65" s="789"/>
      <c r="V65" s="794"/>
      <c r="W65" s="795"/>
      <c r="X65" s="799"/>
    </row>
    <row r="66" spans="1:24" ht="24" x14ac:dyDescent="0.2">
      <c r="A66" s="544">
        <v>56</v>
      </c>
      <c r="B66" s="552" t="s">
        <v>125</v>
      </c>
      <c r="C66" s="120" t="s">
        <v>126</v>
      </c>
      <c r="D66" s="797">
        <f t="shared" si="5"/>
        <v>0</v>
      </c>
      <c r="E66" s="797">
        <f t="shared" si="7"/>
        <v>0</v>
      </c>
      <c r="F66" s="797">
        <v>0</v>
      </c>
      <c r="G66" s="797">
        <v>0</v>
      </c>
      <c r="H66" s="787">
        <f t="shared" si="6"/>
        <v>0</v>
      </c>
      <c r="I66" s="797">
        <v>0</v>
      </c>
      <c r="J66" s="797">
        <v>0</v>
      </c>
      <c r="K66" s="797">
        <f t="shared" si="3"/>
        <v>0</v>
      </c>
      <c r="L66" s="798">
        <v>0</v>
      </c>
      <c r="M66" s="798">
        <v>0</v>
      </c>
      <c r="N66" s="798">
        <v>0</v>
      </c>
      <c r="O66" s="798">
        <v>0</v>
      </c>
      <c r="P66" s="798">
        <v>0</v>
      </c>
      <c r="Q66" s="798">
        <v>0</v>
      </c>
      <c r="R66" s="798">
        <v>0</v>
      </c>
      <c r="S66" s="798">
        <v>0</v>
      </c>
      <c r="T66" s="793"/>
      <c r="U66" s="789"/>
      <c r="V66" s="794"/>
      <c r="W66" s="795"/>
      <c r="X66" s="799"/>
    </row>
    <row r="67" spans="1:24" ht="24" x14ac:dyDescent="0.2">
      <c r="A67" s="549">
        <v>57</v>
      </c>
      <c r="B67" s="547" t="s">
        <v>127</v>
      </c>
      <c r="C67" s="113" t="s">
        <v>128</v>
      </c>
      <c r="D67" s="797">
        <f t="shared" si="5"/>
        <v>185257</v>
      </c>
      <c r="E67" s="797">
        <f t="shared" si="7"/>
        <v>38900</v>
      </c>
      <c r="F67" s="797">
        <v>0</v>
      </c>
      <c r="G67" s="797">
        <v>38900</v>
      </c>
      <c r="H67" s="787">
        <f t="shared" si="6"/>
        <v>230</v>
      </c>
      <c r="I67" s="797">
        <v>0</v>
      </c>
      <c r="J67" s="797">
        <v>230</v>
      </c>
      <c r="K67" s="797">
        <f t="shared" si="3"/>
        <v>146127</v>
      </c>
      <c r="L67" s="798">
        <v>0</v>
      </c>
      <c r="M67" s="798">
        <v>0</v>
      </c>
      <c r="N67" s="798">
        <v>12107</v>
      </c>
      <c r="O67" s="798">
        <v>60172</v>
      </c>
      <c r="P67" s="798">
        <v>0</v>
      </c>
      <c r="Q67" s="798">
        <v>73813</v>
      </c>
      <c r="R67" s="798">
        <v>35</v>
      </c>
      <c r="S67" s="798">
        <v>0</v>
      </c>
      <c r="T67" s="793"/>
      <c r="U67" s="789"/>
      <c r="V67" s="794"/>
      <c r="W67" s="795"/>
      <c r="X67" s="799"/>
    </row>
    <row r="68" spans="1:24" ht="24" x14ac:dyDescent="0.2">
      <c r="A68" s="544">
        <v>58</v>
      </c>
      <c r="B68" s="546" t="s">
        <v>129</v>
      </c>
      <c r="C68" s="113" t="s">
        <v>130</v>
      </c>
      <c r="D68" s="797">
        <f t="shared" si="5"/>
        <v>148446</v>
      </c>
      <c r="E68" s="797">
        <f t="shared" si="7"/>
        <v>30362</v>
      </c>
      <c r="F68" s="797">
        <v>0</v>
      </c>
      <c r="G68" s="797">
        <v>30362</v>
      </c>
      <c r="H68" s="787">
        <f t="shared" si="6"/>
        <v>388</v>
      </c>
      <c r="I68" s="797">
        <v>0</v>
      </c>
      <c r="J68" s="797">
        <v>388</v>
      </c>
      <c r="K68" s="797">
        <f t="shared" si="3"/>
        <v>117696</v>
      </c>
      <c r="L68" s="798">
        <v>0</v>
      </c>
      <c r="M68" s="798">
        <v>0</v>
      </c>
      <c r="N68" s="798">
        <v>11409</v>
      </c>
      <c r="O68" s="798">
        <v>54395</v>
      </c>
      <c r="P68" s="798">
        <v>0</v>
      </c>
      <c r="Q68" s="798">
        <v>51850</v>
      </c>
      <c r="R68" s="798">
        <v>42</v>
      </c>
      <c r="S68" s="798">
        <v>0</v>
      </c>
      <c r="T68" s="793"/>
      <c r="U68" s="789"/>
      <c r="V68" s="794"/>
      <c r="W68" s="795"/>
      <c r="X68" s="799"/>
    </row>
    <row r="69" spans="1:24" ht="24" x14ac:dyDescent="0.2">
      <c r="A69" s="549">
        <v>59</v>
      </c>
      <c r="B69" s="548" t="s">
        <v>131</v>
      </c>
      <c r="C69" s="120" t="s">
        <v>132</v>
      </c>
      <c r="D69" s="797">
        <f t="shared" si="5"/>
        <v>209832</v>
      </c>
      <c r="E69" s="797">
        <f t="shared" si="7"/>
        <v>44999</v>
      </c>
      <c r="F69" s="797">
        <v>0</v>
      </c>
      <c r="G69" s="797">
        <v>44999</v>
      </c>
      <c r="H69" s="787">
        <f t="shared" si="6"/>
        <v>130</v>
      </c>
      <c r="I69" s="797">
        <v>0</v>
      </c>
      <c r="J69" s="797">
        <v>130</v>
      </c>
      <c r="K69" s="797">
        <f t="shared" si="3"/>
        <v>164703</v>
      </c>
      <c r="L69" s="798">
        <v>0</v>
      </c>
      <c r="M69" s="798">
        <v>0</v>
      </c>
      <c r="N69" s="798">
        <v>27848</v>
      </c>
      <c r="O69" s="798">
        <v>71864</v>
      </c>
      <c r="P69" s="798">
        <v>811</v>
      </c>
      <c r="Q69" s="798">
        <v>64134</v>
      </c>
      <c r="R69" s="798">
        <v>46</v>
      </c>
      <c r="S69" s="798">
        <v>0</v>
      </c>
      <c r="T69" s="793"/>
      <c r="U69" s="789"/>
      <c r="V69" s="794"/>
      <c r="W69" s="795"/>
      <c r="X69" s="799"/>
    </row>
    <row r="70" spans="1:24" ht="24" x14ac:dyDescent="0.2">
      <c r="A70" s="544">
        <v>60</v>
      </c>
      <c r="B70" s="546" t="s">
        <v>133</v>
      </c>
      <c r="C70" s="113" t="s">
        <v>134</v>
      </c>
      <c r="D70" s="797">
        <f t="shared" si="5"/>
        <v>267996</v>
      </c>
      <c r="E70" s="797">
        <f t="shared" si="7"/>
        <v>54933</v>
      </c>
      <c r="F70" s="797">
        <v>0</v>
      </c>
      <c r="G70" s="797">
        <v>54933</v>
      </c>
      <c r="H70" s="787">
        <f t="shared" si="6"/>
        <v>256</v>
      </c>
      <c r="I70" s="797">
        <v>0</v>
      </c>
      <c r="J70" s="797">
        <v>256</v>
      </c>
      <c r="K70" s="797">
        <f t="shared" si="3"/>
        <v>212807</v>
      </c>
      <c r="L70" s="798">
        <v>0</v>
      </c>
      <c r="M70" s="798">
        <v>0</v>
      </c>
      <c r="N70" s="798">
        <v>23699</v>
      </c>
      <c r="O70" s="798">
        <v>78952</v>
      </c>
      <c r="P70" s="798">
        <v>0</v>
      </c>
      <c r="Q70" s="798">
        <v>110095</v>
      </c>
      <c r="R70" s="798">
        <v>61</v>
      </c>
      <c r="S70" s="798">
        <v>0</v>
      </c>
      <c r="T70" s="793"/>
      <c r="U70" s="789"/>
      <c r="V70" s="794"/>
      <c r="W70" s="795"/>
      <c r="X70" s="799"/>
    </row>
    <row r="71" spans="1:24" ht="24" x14ac:dyDescent="0.2">
      <c r="A71" s="549">
        <v>61</v>
      </c>
      <c r="B71" s="547" t="s">
        <v>135</v>
      </c>
      <c r="C71" s="113" t="s">
        <v>136</v>
      </c>
      <c r="D71" s="797">
        <f t="shared" si="5"/>
        <v>108221</v>
      </c>
      <c r="E71" s="797">
        <f t="shared" si="7"/>
        <v>23239</v>
      </c>
      <c r="F71" s="797">
        <v>0</v>
      </c>
      <c r="G71" s="797">
        <v>23239</v>
      </c>
      <c r="H71" s="787">
        <f t="shared" si="6"/>
        <v>81</v>
      </c>
      <c r="I71" s="797">
        <v>0</v>
      </c>
      <c r="J71" s="797">
        <v>81</v>
      </c>
      <c r="K71" s="797">
        <f t="shared" si="3"/>
        <v>84901</v>
      </c>
      <c r="L71" s="798">
        <v>0</v>
      </c>
      <c r="M71" s="798">
        <v>0</v>
      </c>
      <c r="N71" s="798">
        <v>12431</v>
      </c>
      <c r="O71" s="798">
        <v>44417</v>
      </c>
      <c r="P71" s="798">
        <v>0</v>
      </c>
      <c r="Q71" s="798">
        <v>28028</v>
      </c>
      <c r="R71" s="798">
        <v>25</v>
      </c>
      <c r="S71" s="798">
        <v>0</v>
      </c>
      <c r="T71" s="793"/>
      <c r="U71" s="789"/>
      <c r="V71" s="794"/>
      <c r="W71" s="795"/>
      <c r="X71" s="799"/>
    </row>
    <row r="72" spans="1:24" ht="36" x14ac:dyDescent="0.2">
      <c r="A72" s="544">
        <v>62</v>
      </c>
      <c r="B72" s="112" t="s">
        <v>137</v>
      </c>
      <c r="C72" s="113" t="s">
        <v>138</v>
      </c>
      <c r="D72" s="797">
        <f t="shared" si="5"/>
        <v>46321</v>
      </c>
      <c r="E72" s="797">
        <f t="shared" si="7"/>
        <v>0</v>
      </c>
      <c r="F72" s="797">
        <v>0</v>
      </c>
      <c r="G72" s="797">
        <v>0</v>
      </c>
      <c r="H72" s="787">
        <f t="shared" si="6"/>
        <v>0</v>
      </c>
      <c r="I72" s="797">
        <v>0</v>
      </c>
      <c r="J72" s="797">
        <v>0</v>
      </c>
      <c r="K72" s="797">
        <f t="shared" si="3"/>
        <v>46321</v>
      </c>
      <c r="L72" s="798">
        <v>0</v>
      </c>
      <c r="M72" s="798">
        <v>0</v>
      </c>
      <c r="N72" s="798">
        <v>0</v>
      </c>
      <c r="O72" s="798">
        <v>40219</v>
      </c>
      <c r="P72" s="798">
        <v>6102</v>
      </c>
      <c r="Q72" s="798">
        <v>0</v>
      </c>
      <c r="R72" s="798">
        <v>0</v>
      </c>
      <c r="S72" s="798">
        <v>0</v>
      </c>
      <c r="T72" s="793"/>
      <c r="U72" s="789"/>
      <c r="V72" s="794"/>
      <c r="W72" s="795"/>
      <c r="X72" s="799"/>
    </row>
    <row r="73" spans="1:24" ht="36" x14ac:dyDescent="0.2">
      <c r="A73" s="549">
        <v>63</v>
      </c>
      <c r="B73" s="112" t="s">
        <v>139</v>
      </c>
      <c r="C73" s="113" t="s">
        <v>140</v>
      </c>
      <c r="D73" s="797">
        <f t="shared" si="5"/>
        <v>36689</v>
      </c>
      <c r="E73" s="797">
        <f t="shared" si="7"/>
        <v>0</v>
      </c>
      <c r="F73" s="797">
        <v>0</v>
      </c>
      <c r="G73" s="797">
        <v>0</v>
      </c>
      <c r="H73" s="787">
        <f t="shared" si="6"/>
        <v>0</v>
      </c>
      <c r="I73" s="797">
        <v>0</v>
      </c>
      <c r="J73" s="797">
        <v>0</v>
      </c>
      <c r="K73" s="797">
        <f t="shared" si="3"/>
        <v>36689</v>
      </c>
      <c r="L73" s="798">
        <v>0</v>
      </c>
      <c r="M73" s="798">
        <v>0</v>
      </c>
      <c r="N73" s="798">
        <v>0</v>
      </c>
      <c r="O73" s="798">
        <v>17059</v>
      </c>
      <c r="P73" s="798">
        <v>19630</v>
      </c>
      <c r="Q73" s="798">
        <v>0</v>
      </c>
      <c r="R73" s="798">
        <v>0</v>
      </c>
      <c r="S73" s="798">
        <v>0</v>
      </c>
      <c r="T73" s="793"/>
      <c r="U73" s="789"/>
      <c r="V73" s="794"/>
      <c r="W73" s="795"/>
      <c r="X73" s="799"/>
    </row>
    <row r="74" spans="1:24" ht="24" x14ac:dyDescent="0.2">
      <c r="A74" s="544">
        <v>64</v>
      </c>
      <c r="B74" s="546" t="s">
        <v>141</v>
      </c>
      <c r="C74" s="113" t="s">
        <v>142</v>
      </c>
      <c r="D74" s="797">
        <f t="shared" si="5"/>
        <v>133741</v>
      </c>
      <c r="E74" s="797">
        <f t="shared" si="7"/>
        <v>5132</v>
      </c>
      <c r="F74" s="797">
        <v>5132</v>
      </c>
      <c r="G74" s="797">
        <v>0</v>
      </c>
      <c r="H74" s="787">
        <f t="shared" si="6"/>
        <v>33492</v>
      </c>
      <c r="I74" s="797">
        <v>33492</v>
      </c>
      <c r="J74" s="797">
        <v>0</v>
      </c>
      <c r="K74" s="797">
        <f t="shared" si="3"/>
        <v>95117</v>
      </c>
      <c r="L74" s="798">
        <v>8473</v>
      </c>
      <c r="M74" s="798">
        <v>999</v>
      </c>
      <c r="N74" s="798">
        <v>22513</v>
      </c>
      <c r="O74" s="798">
        <v>50316</v>
      </c>
      <c r="P74" s="798">
        <v>0</v>
      </c>
      <c r="Q74" s="798">
        <v>10468</v>
      </c>
      <c r="R74" s="798">
        <v>2348</v>
      </c>
      <c r="S74" s="798">
        <v>22884</v>
      </c>
      <c r="T74" s="793"/>
      <c r="U74" s="789"/>
      <c r="V74" s="794"/>
      <c r="W74" s="795"/>
      <c r="X74" s="799"/>
    </row>
    <row r="75" spans="1:24" ht="24" x14ac:dyDescent="0.2">
      <c r="A75" s="549">
        <v>65</v>
      </c>
      <c r="B75" s="546" t="s">
        <v>143</v>
      </c>
      <c r="C75" s="545" t="s">
        <v>144</v>
      </c>
      <c r="D75" s="797">
        <f t="shared" si="5"/>
        <v>101368</v>
      </c>
      <c r="E75" s="797">
        <f t="shared" si="7"/>
        <v>3223</v>
      </c>
      <c r="F75" s="797">
        <v>3223</v>
      </c>
      <c r="G75" s="797">
        <v>0</v>
      </c>
      <c r="H75" s="787">
        <f t="shared" si="6"/>
        <v>21031</v>
      </c>
      <c r="I75" s="797">
        <v>21031</v>
      </c>
      <c r="J75" s="797">
        <v>0</v>
      </c>
      <c r="K75" s="797">
        <f t="shared" ref="K75:K138" si="8">SUM(L75:R75)</f>
        <v>77114</v>
      </c>
      <c r="L75" s="798">
        <v>5321</v>
      </c>
      <c r="M75" s="798">
        <v>888</v>
      </c>
      <c r="N75" s="798">
        <v>42872</v>
      </c>
      <c r="O75" s="798">
        <v>9878</v>
      </c>
      <c r="P75" s="798">
        <v>0</v>
      </c>
      <c r="Q75" s="798">
        <v>17050</v>
      </c>
      <c r="R75" s="798">
        <v>1105</v>
      </c>
      <c r="S75" s="798">
        <v>27005</v>
      </c>
      <c r="T75" s="793"/>
      <c r="U75" s="789"/>
      <c r="V75" s="794"/>
      <c r="W75" s="795"/>
      <c r="X75" s="799"/>
    </row>
    <row r="76" spans="1:24" ht="24" x14ac:dyDescent="0.2">
      <c r="A76" s="544">
        <v>66</v>
      </c>
      <c r="B76" s="546" t="s">
        <v>145</v>
      </c>
      <c r="C76" s="113" t="s">
        <v>146</v>
      </c>
      <c r="D76" s="797">
        <f t="shared" si="5"/>
        <v>173254</v>
      </c>
      <c r="E76" s="797">
        <f t="shared" si="7"/>
        <v>7069</v>
      </c>
      <c r="F76" s="797">
        <v>7069</v>
      </c>
      <c r="G76" s="797">
        <v>0</v>
      </c>
      <c r="H76" s="787">
        <f t="shared" si="6"/>
        <v>46129</v>
      </c>
      <c r="I76" s="797">
        <v>46129</v>
      </c>
      <c r="J76" s="797">
        <v>0</v>
      </c>
      <c r="K76" s="797">
        <f t="shared" si="8"/>
        <v>120056</v>
      </c>
      <c r="L76" s="798">
        <v>13471</v>
      </c>
      <c r="M76" s="798">
        <v>1353</v>
      </c>
      <c r="N76" s="798">
        <v>57288</v>
      </c>
      <c r="O76" s="798">
        <v>34756</v>
      </c>
      <c r="P76" s="798">
        <v>0</v>
      </c>
      <c r="Q76" s="798">
        <v>10970</v>
      </c>
      <c r="R76" s="798">
        <v>2218</v>
      </c>
      <c r="S76" s="798">
        <v>45485</v>
      </c>
      <c r="T76" s="793"/>
      <c r="U76" s="789"/>
      <c r="V76" s="794"/>
      <c r="W76" s="795"/>
      <c r="X76" s="799"/>
    </row>
    <row r="77" spans="1:24" ht="24" x14ac:dyDescent="0.2">
      <c r="A77" s="549">
        <v>67</v>
      </c>
      <c r="B77" s="546" t="s">
        <v>147</v>
      </c>
      <c r="C77" s="113" t="s">
        <v>148</v>
      </c>
      <c r="D77" s="797">
        <f t="shared" si="5"/>
        <v>2642</v>
      </c>
      <c r="E77" s="797">
        <f t="shared" si="7"/>
        <v>0</v>
      </c>
      <c r="F77" s="797">
        <v>0</v>
      </c>
      <c r="G77" s="797">
        <v>0</v>
      </c>
      <c r="H77" s="787">
        <f t="shared" ref="H77:H94" si="9">I77+J77</f>
        <v>0</v>
      </c>
      <c r="I77" s="797">
        <v>0</v>
      </c>
      <c r="J77" s="797">
        <v>0</v>
      </c>
      <c r="K77" s="797">
        <f t="shared" si="8"/>
        <v>2642</v>
      </c>
      <c r="L77" s="798">
        <v>0</v>
      </c>
      <c r="M77" s="798">
        <v>0</v>
      </c>
      <c r="N77" s="798">
        <v>0</v>
      </c>
      <c r="O77" s="798">
        <v>2142</v>
      </c>
      <c r="P77" s="798">
        <v>200</v>
      </c>
      <c r="Q77" s="798">
        <v>300</v>
      </c>
      <c r="R77" s="798">
        <v>0</v>
      </c>
      <c r="S77" s="798">
        <v>13</v>
      </c>
      <c r="T77" s="793"/>
      <c r="U77" s="789"/>
      <c r="V77" s="794"/>
      <c r="W77" s="795"/>
      <c r="X77" s="799"/>
    </row>
    <row r="78" spans="1:24" ht="24" x14ac:dyDescent="0.2">
      <c r="A78" s="544">
        <v>68</v>
      </c>
      <c r="B78" s="112" t="s">
        <v>149</v>
      </c>
      <c r="C78" s="113" t="s">
        <v>150</v>
      </c>
      <c r="D78" s="797">
        <f t="shared" si="5"/>
        <v>3977</v>
      </c>
      <c r="E78" s="797">
        <f t="shared" si="7"/>
        <v>0</v>
      </c>
      <c r="F78" s="797">
        <v>0</v>
      </c>
      <c r="G78" s="797">
        <v>0</v>
      </c>
      <c r="H78" s="787">
        <f t="shared" si="9"/>
        <v>0</v>
      </c>
      <c r="I78" s="797">
        <v>0</v>
      </c>
      <c r="J78" s="797">
        <v>0</v>
      </c>
      <c r="K78" s="797">
        <f t="shared" si="8"/>
        <v>3977</v>
      </c>
      <c r="L78" s="798">
        <v>0</v>
      </c>
      <c r="M78" s="798">
        <v>0</v>
      </c>
      <c r="N78" s="798">
        <v>2</v>
      </c>
      <c r="O78" s="798">
        <v>3875</v>
      </c>
      <c r="P78" s="798">
        <v>0</v>
      </c>
      <c r="Q78" s="798">
        <v>100</v>
      </c>
      <c r="R78" s="798">
        <v>0</v>
      </c>
      <c r="S78" s="798">
        <v>1</v>
      </c>
      <c r="T78" s="793"/>
      <c r="U78" s="789"/>
      <c r="V78" s="794"/>
      <c r="W78" s="795"/>
      <c r="X78" s="799"/>
    </row>
    <row r="79" spans="1:24" ht="24" x14ac:dyDescent="0.2">
      <c r="A79" s="549">
        <v>69</v>
      </c>
      <c r="B79" s="546" t="s">
        <v>151</v>
      </c>
      <c r="C79" s="113" t="s">
        <v>152</v>
      </c>
      <c r="D79" s="797">
        <f t="shared" si="5"/>
        <v>3877</v>
      </c>
      <c r="E79" s="797">
        <f t="shared" si="7"/>
        <v>0</v>
      </c>
      <c r="F79" s="797">
        <v>0</v>
      </c>
      <c r="G79" s="797">
        <v>0</v>
      </c>
      <c r="H79" s="787">
        <f t="shared" si="9"/>
        <v>0</v>
      </c>
      <c r="I79" s="797">
        <v>0</v>
      </c>
      <c r="J79" s="797">
        <v>0</v>
      </c>
      <c r="K79" s="797">
        <f t="shared" si="8"/>
        <v>3877</v>
      </c>
      <c r="L79" s="798">
        <v>0</v>
      </c>
      <c r="M79" s="798">
        <v>0</v>
      </c>
      <c r="N79" s="798">
        <v>33</v>
      </c>
      <c r="O79" s="798">
        <v>3744</v>
      </c>
      <c r="P79" s="798">
        <v>50</v>
      </c>
      <c r="Q79" s="798">
        <v>50</v>
      </c>
      <c r="R79" s="798">
        <v>0</v>
      </c>
      <c r="S79" s="798">
        <v>13</v>
      </c>
      <c r="T79" s="793"/>
      <c r="U79" s="789"/>
      <c r="V79" s="794"/>
      <c r="W79" s="795"/>
      <c r="X79" s="799"/>
    </row>
    <row r="80" spans="1:24" ht="24" x14ac:dyDescent="0.2">
      <c r="A80" s="544">
        <v>70</v>
      </c>
      <c r="B80" s="546" t="s">
        <v>153</v>
      </c>
      <c r="C80" s="113" t="s">
        <v>154</v>
      </c>
      <c r="D80" s="797">
        <f t="shared" si="5"/>
        <v>3475</v>
      </c>
      <c r="E80" s="797">
        <f t="shared" si="7"/>
        <v>0</v>
      </c>
      <c r="F80" s="797">
        <v>0</v>
      </c>
      <c r="G80" s="797">
        <v>0</v>
      </c>
      <c r="H80" s="787">
        <f t="shared" si="9"/>
        <v>0</v>
      </c>
      <c r="I80" s="797">
        <v>0</v>
      </c>
      <c r="J80" s="797">
        <v>0</v>
      </c>
      <c r="K80" s="797">
        <f t="shared" si="8"/>
        <v>3475</v>
      </c>
      <c r="L80" s="798">
        <v>0</v>
      </c>
      <c r="M80" s="798">
        <v>0</v>
      </c>
      <c r="N80" s="798">
        <v>580</v>
      </c>
      <c r="O80" s="798">
        <v>2605</v>
      </c>
      <c r="P80" s="798">
        <v>0</v>
      </c>
      <c r="Q80" s="798">
        <v>290</v>
      </c>
      <c r="R80" s="798">
        <v>0</v>
      </c>
      <c r="S80" s="798">
        <v>14</v>
      </c>
      <c r="T80" s="793"/>
      <c r="U80" s="789"/>
      <c r="V80" s="794"/>
      <c r="W80" s="795"/>
      <c r="X80" s="799"/>
    </row>
    <row r="81" spans="1:24" ht="24" x14ac:dyDescent="0.2">
      <c r="A81" s="549">
        <v>71</v>
      </c>
      <c r="B81" s="112" t="s">
        <v>155</v>
      </c>
      <c r="C81" s="113" t="s">
        <v>156</v>
      </c>
      <c r="D81" s="797">
        <f t="shared" si="5"/>
        <v>22349</v>
      </c>
      <c r="E81" s="797">
        <f t="shared" si="7"/>
        <v>0</v>
      </c>
      <c r="F81" s="797">
        <v>0</v>
      </c>
      <c r="G81" s="797">
        <v>0</v>
      </c>
      <c r="H81" s="787">
        <f t="shared" si="9"/>
        <v>0</v>
      </c>
      <c r="I81" s="797">
        <v>0</v>
      </c>
      <c r="J81" s="797">
        <v>0</v>
      </c>
      <c r="K81" s="797">
        <f t="shared" si="8"/>
        <v>22349</v>
      </c>
      <c r="L81" s="798">
        <v>0</v>
      </c>
      <c r="M81" s="798">
        <v>0</v>
      </c>
      <c r="N81" s="798">
        <v>0</v>
      </c>
      <c r="O81" s="798">
        <v>16575</v>
      </c>
      <c r="P81" s="798">
        <v>4174</v>
      </c>
      <c r="Q81" s="798">
        <v>1600</v>
      </c>
      <c r="R81" s="798">
        <v>0</v>
      </c>
      <c r="S81" s="798">
        <v>0</v>
      </c>
      <c r="T81" s="793"/>
      <c r="U81" s="789"/>
      <c r="V81" s="794"/>
      <c r="W81" s="795"/>
      <c r="X81" s="799"/>
    </row>
    <row r="82" spans="1:24" ht="24" x14ac:dyDescent="0.2">
      <c r="A82" s="544">
        <v>72</v>
      </c>
      <c r="B82" s="112" t="s">
        <v>157</v>
      </c>
      <c r="C82" s="113" t="s">
        <v>158</v>
      </c>
      <c r="D82" s="797">
        <f t="shared" si="5"/>
        <v>3951</v>
      </c>
      <c r="E82" s="797">
        <f t="shared" si="7"/>
        <v>0</v>
      </c>
      <c r="F82" s="797">
        <v>0</v>
      </c>
      <c r="G82" s="797">
        <v>0</v>
      </c>
      <c r="H82" s="787">
        <f t="shared" si="9"/>
        <v>0</v>
      </c>
      <c r="I82" s="797">
        <v>0</v>
      </c>
      <c r="J82" s="797">
        <v>0</v>
      </c>
      <c r="K82" s="797">
        <f t="shared" si="8"/>
        <v>3951</v>
      </c>
      <c r="L82" s="798">
        <v>0</v>
      </c>
      <c r="M82" s="798">
        <v>0</v>
      </c>
      <c r="N82" s="798">
        <v>14</v>
      </c>
      <c r="O82" s="798">
        <v>3624</v>
      </c>
      <c r="P82" s="798">
        <v>163</v>
      </c>
      <c r="Q82" s="798">
        <v>150</v>
      </c>
      <c r="R82" s="798">
        <v>0</v>
      </c>
      <c r="S82" s="798">
        <v>8</v>
      </c>
      <c r="T82" s="793"/>
      <c r="U82" s="789"/>
      <c r="V82" s="794"/>
      <c r="W82" s="795"/>
      <c r="X82" s="799"/>
    </row>
    <row r="83" spans="1:24" ht="24" x14ac:dyDescent="0.2">
      <c r="A83" s="549">
        <v>73</v>
      </c>
      <c r="B83" s="112" t="s">
        <v>159</v>
      </c>
      <c r="C83" s="113" t="s">
        <v>160</v>
      </c>
      <c r="D83" s="797">
        <f t="shared" ref="D83:D149" si="10">E83+H83+K83</f>
        <v>7506</v>
      </c>
      <c r="E83" s="797">
        <f t="shared" si="7"/>
        <v>0</v>
      </c>
      <c r="F83" s="797">
        <v>0</v>
      </c>
      <c r="G83" s="797">
        <v>0</v>
      </c>
      <c r="H83" s="787">
        <f t="shared" si="9"/>
        <v>0</v>
      </c>
      <c r="I83" s="797">
        <v>0</v>
      </c>
      <c r="J83" s="797">
        <v>0</v>
      </c>
      <c r="K83" s="797">
        <f t="shared" si="8"/>
        <v>7506</v>
      </c>
      <c r="L83" s="798">
        <v>0</v>
      </c>
      <c r="M83" s="798">
        <v>0</v>
      </c>
      <c r="N83" s="798">
        <v>0</v>
      </c>
      <c r="O83" s="798">
        <v>7182</v>
      </c>
      <c r="P83" s="798">
        <v>324</v>
      </c>
      <c r="Q83" s="798">
        <v>0</v>
      </c>
      <c r="R83" s="798">
        <v>0</v>
      </c>
      <c r="S83" s="798">
        <v>0</v>
      </c>
      <c r="T83" s="793"/>
      <c r="U83" s="789"/>
      <c r="V83" s="794"/>
      <c r="W83" s="795"/>
      <c r="X83" s="799"/>
    </row>
    <row r="84" spans="1:24" ht="24" x14ac:dyDescent="0.2">
      <c r="A84" s="544">
        <v>74</v>
      </c>
      <c r="B84" s="547" t="s">
        <v>161</v>
      </c>
      <c r="C84" s="113" t="s">
        <v>162</v>
      </c>
      <c r="D84" s="797">
        <f t="shared" si="10"/>
        <v>217415</v>
      </c>
      <c r="E84" s="797">
        <f t="shared" ref="E84:E94" si="11">F84+G84</f>
        <v>28302</v>
      </c>
      <c r="F84" s="797">
        <v>3798</v>
      </c>
      <c r="G84" s="797">
        <v>24504</v>
      </c>
      <c r="H84" s="787">
        <f t="shared" si="9"/>
        <v>24969</v>
      </c>
      <c r="I84" s="797">
        <v>24786</v>
      </c>
      <c r="J84" s="797">
        <v>183</v>
      </c>
      <c r="K84" s="797">
        <f t="shared" si="8"/>
        <v>164144</v>
      </c>
      <c r="L84" s="798">
        <v>6271</v>
      </c>
      <c r="M84" s="798">
        <v>822</v>
      </c>
      <c r="N84" s="798">
        <v>22777</v>
      </c>
      <c r="O84" s="798">
        <v>56600</v>
      </c>
      <c r="P84" s="798">
        <v>3940</v>
      </c>
      <c r="Q84" s="798">
        <v>72286</v>
      </c>
      <c r="R84" s="798">
        <v>1448</v>
      </c>
      <c r="S84" s="798">
        <v>23179</v>
      </c>
      <c r="T84" s="793"/>
      <c r="U84" s="789"/>
      <c r="V84" s="794"/>
      <c r="W84" s="795"/>
      <c r="X84" s="799"/>
    </row>
    <row r="85" spans="1:24" x14ac:dyDescent="0.2">
      <c r="A85" s="549">
        <v>75</v>
      </c>
      <c r="B85" s="112" t="s">
        <v>163</v>
      </c>
      <c r="C85" s="113" t="s">
        <v>164</v>
      </c>
      <c r="D85" s="797">
        <f t="shared" si="10"/>
        <v>247071</v>
      </c>
      <c r="E85" s="797">
        <f t="shared" si="11"/>
        <v>12968</v>
      </c>
      <c r="F85" s="797">
        <v>9510</v>
      </c>
      <c r="G85" s="797">
        <v>3458</v>
      </c>
      <c r="H85" s="787">
        <f t="shared" si="9"/>
        <v>62054</v>
      </c>
      <c r="I85" s="797">
        <v>62054</v>
      </c>
      <c r="J85" s="797">
        <v>0</v>
      </c>
      <c r="K85" s="797">
        <f t="shared" si="8"/>
        <v>172049</v>
      </c>
      <c r="L85" s="798">
        <v>15700</v>
      </c>
      <c r="M85" s="798">
        <v>1812</v>
      </c>
      <c r="N85" s="798">
        <v>53719</v>
      </c>
      <c r="O85" s="798">
        <v>66063</v>
      </c>
      <c r="P85" s="798">
        <v>960</v>
      </c>
      <c r="Q85" s="798">
        <v>31808</v>
      </c>
      <c r="R85" s="798">
        <v>1987</v>
      </c>
      <c r="S85" s="798">
        <v>44088</v>
      </c>
      <c r="T85" s="793"/>
      <c r="U85" s="789"/>
      <c r="V85" s="794"/>
      <c r="W85" s="795"/>
      <c r="X85" s="799"/>
    </row>
    <row r="86" spans="1:24" x14ac:dyDescent="0.2">
      <c r="A86" s="544">
        <v>76</v>
      </c>
      <c r="B86" s="547" t="s">
        <v>165</v>
      </c>
      <c r="C86" s="113" t="s">
        <v>166</v>
      </c>
      <c r="D86" s="797">
        <f t="shared" si="10"/>
        <v>151643</v>
      </c>
      <c r="E86" s="797">
        <f t="shared" si="11"/>
        <v>5566</v>
      </c>
      <c r="F86" s="797">
        <v>5566</v>
      </c>
      <c r="G86" s="797">
        <v>0</v>
      </c>
      <c r="H86" s="787">
        <f t="shared" si="9"/>
        <v>36321</v>
      </c>
      <c r="I86" s="797">
        <v>36321</v>
      </c>
      <c r="J86" s="797">
        <v>0</v>
      </c>
      <c r="K86" s="797">
        <f t="shared" si="8"/>
        <v>109756</v>
      </c>
      <c r="L86" s="798">
        <v>9189</v>
      </c>
      <c r="M86" s="798">
        <v>1164</v>
      </c>
      <c r="N86" s="798">
        <v>37310</v>
      </c>
      <c r="O86" s="798">
        <v>30825</v>
      </c>
      <c r="P86" s="798">
        <v>5644</v>
      </c>
      <c r="Q86" s="798">
        <v>23877</v>
      </c>
      <c r="R86" s="798">
        <v>1747</v>
      </c>
      <c r="S86" s="798">
        <v>30743</v>
      </c>
      <c r="T86" s="793"/>
      <c r="U86" s="789"/>
      <c r="V86" s="794"/>
      <c r="W86" s="795"/>
      <c r="X86" s="799"/>
    </row>
    <row r="87" spans="1:24" x14ac:dyDescent="0.2">
      <c r="A87" s="549">
        <v>77</v>
      </c>
      <c r="B87" s="548" t="s">
        <v>167</v>
      </c>
      <c r="C87" s="120" t="s">
        <v>168</v>
      </c>
      <c r="D87" s="797">
        <f t="shared" si="10"/>
        <v>50413</v>
      </c>
      <c r="E87" s="797">
        <f t="shared" si="11"/>
        <v>2168</v>
      </c>
      <c r="F87" s="797">
        <v>2168</v>
      </c>
      <c r="G87" s="797">
        <v>0</v>
      </c>
      <c r="H87" s="787">
        <f t="shared" si="9"/>
        <v>14497</v>
      </c>
      <c r="I87" s="797">
        <v>14497</v>
      </c>
      <c r="J87" s="797">
        <v>0</v>
      </c>
      <c r="K87" s="797">
        <f t="shared" si="8"/>
        <v>33748</v>
      </c>
      <c r="L87" s="798">
        <v>3801</v>
      </c>
      <c r="M87" s="798">
        <v>423</v>
      </c>
      <c r="N87" s="798">
        <v>15068</v>
      </c>
      <c r="O87" s="798">
        <v>12188</v>
      </c>
      <c r="P87" s="798">
        <v>0</v>
      </c>
      <c r="Q87" s="798">
        <v>2268</v>
      </c>
      <c r="R87" s="798">
        <v>0</v>
      </c>
      <c r="S87" s="798">
        <v>9055</v>
      </c>
      <c r="T87" s="793"/>
      <c r="U87" s="789"/>
      <c r="V87" s="794"/>
      <c r="W87" s="795"/>
      <c r="X87" s="799"/>
    </row>
    <row r="88" spans="1:24" x14ac:dyDescent="0.2">
      <c r="A88" s="544">
        <v>78</v>
      </c>
      <c r="B88" s="112" t="s">
        <v>169</v>
      </c>
      <c r="C88" s="113" t="s">
        <v>170</v>
      </c>
      <c r="D88" s="797">
        <f t="shared" si="10"/>
        <v>220673</v>
      </c>
      <c r="E88" s="797">
        <f t="shared" si="11"/>
        <v>8990</v>
      </c>
      <c r="F88" s="797">
        <v>8990</v>
      </c>
      <c r="G88" s="797">
        <v>0</v>
      </c>
      <c r="H88" s="787">
        <f t="shared" si="9"/>
        <v>58662</v>
      </c>
      <c r="I88" s="797">
        <v>58662</v>
      </c>
      <c r="J88" s="797">
        <v>0</v>
      </c>
      <c r="K88" s="797">
        <f t="shared" si="8"/>
        <v>153021</v>
      </c>
      <c r="L88" s="798">
        <v>12922</v>
      </c>
      <c r="M88" s="798">
        <v>5268</v>
      </c>
      <c r="N88" s="798">
        <v>31454</v>
      </c>
      <c r="O88" s="798">
        <v>65233</v>
      </c>
      <c r="P88" s="798">
        <v>0</v>
      </c>
      <c r="Q88" s="798">
        <v>35714</v>
      </c>
      <c r="R88" s="798">
        <v>2430</v>
      </c>
      <c r="S88" s="798">
        <v>50662</v>
      </c>
      <c r="T88" s="793"/>
      <c r="U88" s="789"/>
      <c r="V88" s="794"/>
      <c r="W88" s="795"/>
      <c r="X88" s="799"/>
    </row>
    <row r="89" spans="1:24" x14ac:dyDescent="0.2">
      <c r="A89" s="549">
        <v>79</v>
      </c>
      <c r="B89" s="548" t="s">
        <v>171</v>
      </c>
      <c r="C89" s="120" t="s">
        <v>172</v>
      </c>
      <c r="D89" s="797">
        <f t="shared" si="10"/>
        <v>163227</v>
      </c>
      <c r="E89" s="797">
        <f t="shared" si="11"/>
        <v>33274</v>
      </c>
      <c r="F89" s="797">
        <v>0</v>
      </c>
      <c r="G89" s="797">
        <v>33274</v>
      </c>
      <c r="H89" s="787">
        <f t="shared" si="9"/>
        <v>390</v>
      </c>
      <c r="I89" s="797">
        <v>0</v>
      </c>
      <c r="J89" s="797">
        <v>390</v>
      </c>
      <c r="K89" s="797">
        <f t="shared" si="8"/>
        <v>129563</v>
      </c>
      <c r="L89" s="798">
        <v>0</v>
      </c>
      <c r="M89" s="798">
        <v>0</v>
      </c>
      <c r="N89" s="798">
        <v>23908</v>
      </c>
      <c r="O89" s="798">
        <v>60400</v>
      </c>
      <c r="P89" s="798">
        <v>0</v>
      </c>
      <c r="Q89" s="798">
        <v>45234</v>
      </c>
      <c r="R89" s="798">
        <v>21</v>
      </c>
      <c r="S89" s="798">
        <v>0</v>
      </c>
      <c r="T89" s="793"/>
      <c r="U89" s="789"/>
      <c r="V89" s="794"/>
      <c r="W89" s="795"/>
      <c r="X89" s="799"/>
    </row>
    <row r="90" spans="1:24" x14ac:dyDescent="0.2">
      <c r="A90" s="544">
        <v>80</v>
      </c>
      <c r="B90" s="112" t="s">
        <v>173</v>
      </c>
      <c r="C90" s="113" t="s">
        <v>174</v>
      </c>
      <c r="D90" s="797">
        <f t="shared" si="10"/>
        <v>214064</v>
      </c>
      <c r="E90" s="797">
        <f t="shared" si="11"/>
        <v>7329</v>
      </c>
      <c r="F90" s="797">
        <v>7329</v>
      </c>
      <c r="G90" s="797">
        <v>0</v>
      </c>
      <c r="H90" s="787">
        <f t="shared" si="9"/>
        <v>47823</v>
      </c>
      <c r="I90" s="797">
        <v>47823</v>
      </c>
      <c r="J90" s="797">
        <v>0</v>
      </c>
      <c r="K90" s="797">
        <f t="shared" si="8"/>
        <v>158912</v>
      </c>
      <c r="L90" s="798">
        <v>12099</v>
      </c>
      <c r="M90" s="798">
        <v>2679</v>
      </c>
      <c r="N90" s="798">
        <v>51428</v>
      </c>
      <c r="O90" s="798">
        <v>27744</v>
      </c>
      <c r="P90" s="798">
        <v>1500</v>
      </c>
      <c r="Q90" s="798">
        <v>61574</v>
      </c>
      <c r="R90" s="798">
        <v>1888</v>
      </c>
      <c r="S90" s="798">
        <v>37572</v>
      </c>
      <c r="T90" s="793"/>
      <c r="U90" s="789"/>
      <c r="V90" s="794"/>
      <c r="W90" s="795"/>
      <c r="X90" s="799"/>
    </row>
    <row r="91" spans="1:24" x14ac:dyDescent="0.2">
      <c r="A91" s="549">
        <v>81</v>
      </c>
      <c r="B91" s="548" t="s">
        <v>175</v>
      </c>
      <c r="C91" s="224" t="s">
        <v>742</v>
      </c>
      <c r="D91" s="797">
        <f t="shared" si="10"/>
        <v>42795</v>
      </c>
      <c r="E91" s="797">
        <f t="shared" si="11"/>
        <v>0</v>
      </c>
      <c r="F91" s="797">
        <v>0</v>
      </c>
      <c r="G91" s="797">
        <v>0</v>
      </c>
      <c r="H91" s="787">
        <f t="shared" si="9"/>
        <v>0</v>
      </c>
      <c r="I91" s="797">
        <v>0</v>
      </c>
      <c r="J91" s="797">
        <v>0</v>
      </c>
      <c r="K91" s="797">
        <f t="shared" si="8"/>
        <v>42795</v>
      </c>
      <c r="L91" s="798">
        <v>0</v>
      </c>
      <c r="M91" s="798">
        <v>0</v>
      </c>
      <c r="N91" s="798">
        <v>0</v>
      </c>
      <c r="O91" s="798">
        <v>14047</v>
      </c>
      <c r="P91" s="798">
        <v>0</v>
      </c>
      <c r="Q91" s="798">
        <v>28748</v>
      </c>
      <c r="R91" s="798">
        <v>0</v>
      </c>
      <c r="S91" s="798">
        <v>0</v>
      </c>
      <c r="T91" s="793"/>
      <c r="U91" s="789"/>
      <c r="V91" s="794"/>
      <c r="W91" s="795"/>
      <c r="X91" s="799"/>
    </row>
    <row r="92" spans="1:24" x14ac:dyDescent="0.2">
      <c r="A92" s="544">
        <v>82</v>
      </c>
      <c r="B92" s="546" t="s">
        <v>177</v>
      </c>
      <c r="C92" s="113" t="s">
        <v>358</v>
      </c>
      <c r="D92" s="797">
        <f t="shared" si="10"/>
        <v>0</v>
      </c>
      <c r="E92" s="797">
        <f t="shared" si="11"/>
        <v>0</v>
      </c>
      <c r="F92" s="797">
        <v>0</v>
      </c>
      <c r="G92" s="797">
        <v>0</v>
      </c>
      <c r="H92" s="787">
        <f t="shared" si="9"/>
        <v>0</v>
      </c>
      <c r="I92" s="797">
        <v>0</v>
      </c>
      <c r="J92" s="797">
        <v>0</v>
      </c>
      <c r="K92" s="797">
        <f t="shared" si="8"/>
        <v>0</v>
      </c>
      <c r="L92" s="798">
        <v>0</v>
      </c>
      <c r="M92" s="798">
        <v>0</v>
      </c>
      <c r="N92" s="798">
        <v>0</v>
      </c>
      <c r="O92" s="798">
        <v>0</v>
      </c>
      <c r="P92" s="798">
        <v>0</v>
      </c>
      <c r="Q92" s="798">
        <v>0</v>
      </c>
      <c r="R92" s="798">
        <v>0</v>
      </c>
      <c r="S92" s="798">
        <v>0</v>
      </c>
      <c r="T92" s="793"/>
      <c r="U92" s="789"/>
      <c r="V92" s="794"/>
      <c r="W92" s="795"/>
      <c r="X92" s="799"/>
    </row>
    <row r="93" spans="1:24" ht="36" x14ac:dyDescent="0.2">
      <c r="A93" s="1050">
        <v>83</v>
      </c>
      <c r="B93" s="1053" t="s">
        <v>178</v>
      </c>
      <c r="C93" s="113" t="s">
        <v>179</v>
      </c>
      <c r="D93" s="797">
        <f t="shared" si="10"/>
        <v>18295</v>
      </c>
      <c r="E93" s="797">
        <f t="shared" si="11"/>
        <v>420</v>
      </c>
      <c r="F93" s="797">
        <v>420</v>
      </c>
      <c r="G93" s="797">
        <v>0</v>
      </c>
      <c r="H93" s="787">
        <f t="shared" si="9"/>
        <v>2740</v>
      </c>
      <c r="I93" s="797">
        <v>2740</v>
      </c>
      <c r="J93" s="797">
        <v>0</v>
      </c>
      <c r="K93" s="797">
        <f t="shared" si="8"/>
        <v>15135</v>
      </c>
      <c r="L93" s="798">
        <v>693</v>
      </c>
      <c r="M93" s="798">
        <v>45</v>
      </c>
      <c r="N93" s="798">
        <v>198</v>
      </c>
      <c r="O93" s="798">
        <v>13013</v>
      </c>
      <c r="P93" s="798">
        <v>0</v>
      </c>
      <c r="Q93" s="798">
        <v>1186</v>
      </c>
      <c r="R93" s="798">
        <v>0</v>
      </c>
      <c r="S93" s="798">
        <v>116</v>
      </c>
      <c r="T93" s="793"/>
      <c r="U93" s="789"/>
      <c r="V93" s="794"/>
      <c r="W93" s="795"/>
      <c r="X93" s="799"/>
    </row>
    <row r="94" spans="1:24" ht="36" x14ac:dyDescent="0.2">
      <c r="A94" s="1051"/>
      <c r="B94" s="1054"/>
      <c r="C94" s="113" t="s">
        <v>180</v>
      </c>
      <c r="D94" s="797">
        <f t="shared" si="10"/>
        <v>3735</v>
      </c>
      <c r="E94" s="797">
        <f t="shared" si="11"/>
        <v>0</v>
      </c>
      <c r="F94" s="797">
        <v>0</v>
      </c>
      <c r="G94" s="797">
        <v>0</v>
      </c>
      <c r="H94" s="787">
        <f t="shared" si="9"/>
        <v>0</v>
      </c>
      <c r="I94" s="797">
        <v>0</v>
      </c>
      <c r="J94" s="797">
        <v>0</v>
      </c>
      <c r="K94" s="797">
        <f t="shared" si="8"/>
        <v>3735</v>
      </c>
      <c r="L94" s="800">
        <v>0</v>
      </c>
      <c r="M94" s="800">
        <v>0</v>
      </c>
      <c r="N94" s="798">
        <v>0</v>
      </c>
      <c r="O94" s="798">
        <v>3735</v>
      </c>
      <c r="P94" s="798">
        <v>0</v>
      </c>
      <c r="Q94" s="798">
        <v>0</v>
      </c>
      <c r="R94" s="798">
        <v>0</v>
      </c>
      <c r="S94" s="798">
        <v>0</v>
      </c>
      <c r="T94" s="793"/>
      <c r="U94" s="789"/>
      <c r="V94" s="794"/>
      <c r="W94" s="795"/>
      <c r="X94" s="799"/>
    </row>
    <row r="95" spans="1:24" ht="60" x14ac:dyDescent="0.2">
      <c r="A95" s="1052"/>
      <c r="B95" s="1055"/>
      <c r="C95" s="144" t="s">
        <v>507</v>
      </c>
      <c r="D95" s="797">
        <f t="shared" si="10"/>
        <v>8000</v>
      </c>
      <c r="E95" s="797">
        <v>0</v>
      </c>
      <c r="F95" s="797">
        <v>0</v>
      </c>
      <c r="G95" s="797">
        <v>0</v>
      </c>
      <c r="H95" s="787">
        <v>0</v>
      </c>
      <c r="I95" s="797">
        <v>0</v>
      </c>
      <c r="J95" s="797">
        <v>0</v>
      </c>
      <c r="K95" s="797">
        <f t="shared" si="8"/>
        <v>8000</v>
      </c>
      <c r="L95" s="800">
        <v>0</v>
      </c>
      <c r="M95" s="800">
        <v>0</v>
      </c>
      <c r="N95" s="798">
        <v>0</v>
      </c>
      <c r="O95" s="798">
        <v>8000</v>
      </c>
      <c r="P95" s="798">
        <v>0</v>
      </c>
      <c r="Q95" s="798">
        <v>0</v>
      </c>
      <c r="R95" s="798">
        <v>0</v>
      </c>
      <c r="S95" s="798">
        <v>0</v>
      </c>
      <c r="T95" s="793"/>
      <c r="U95" s="789"/>
      <c r="V95" s="794"/>
      <c r="W95" s="795"/>
      <c r="X95" s="799"/>
    </row>
    <row r="96" spans="1:24" ht="24" x14ac:dyDescent="0.2">
      <c r="A96" s="544">
        <v>84</v>
      </c>
      <c r="B96" s="546" t="s">
        <v>181</v>
      </c>
      <c r="C96" s="545" t="s">
        <v>182</v>
      </c>
      <c r="D96" s="797">
        <f t="shared" si="10"/>
        <v>8142</v>
      </c>
      <c r="E96" s="797">
        <f t="shared" ref="E96:E152" si="12">F96+G96</f>
        <v>0</v>
      </c>
      <c r="F96" s="797">
        <v>0</v>
      </c>
      <c r="G96" s="797">
        <v>0</v>
      </c>
      <c r="H96" s="787">
        <f t="shared" ref="H96:H152" si="13">I96+J96</f>
        <v>0</v>
      </c>
      <c r="I96" s="797">
        <v>0</v>
      </c>
      <c r="J96" s="797">
        <v>0</v>
      </c>
      <c r="K96" s="797">
        <f t="shared" si="8"/>
        <v>8142</v>
      </c>
      <c r="L96" s="800">
        <v>0</v>
      </c>
      <c r="M96" s="800">
        <v>0</v>
      </c>
      <c r="N96" s="798">
        <v>0</v>
      </c>
      <c r="O96" s="798">
        <v>8142</v>
      </c>
      <c r="P96" s="798">
        <v>0</v>
      </c>
      <c r="Q96" s="798">
        <v>0</v>
      </c>
      <c r="R96" s="798">
        <v>0</v>
      </c>
      <c r="S96" s="798">
        <v>0</v>
      </c>
      <c r="T96" s="793"/>
      <c r="U96" s="789"/>
      <c r="V96" s="794"/>
      <c r="W96" s="795"/>
      <c r="X96" s="799"/>
    </row>
    <row r="97" spans="1:24" x14ac:dyDescent="0.2">
      <c r="A97" s="544">
        <v>85</v>
      </c>
      <c r="B97" s="546" t="s">
        <v>183</v>
      </c>
      <c r="C97" s="120" t="s">
        <v>184</v>
      </c>
      <c r="D97" s="797">
        <f t="shared" si="10"/>
        <v>13768</v>
      </c>
      <c r="E97" s="797">
        <f t="shared" si="12"/>
        <v>337</v>
      </c>
      <c r="F97" s="797">
        <v>337</v>
      </c>
      <c r="G97" s="797">
        <v>0</v>
      </c>
      <c r="H97" s="787">
        <f t="shared" si="13"/>
        <v>2199</v>
      </c>
      <c r="I97" s="797">
        <v>2199</v>
      </c>
      <c r="J97" s="797">
        <v>0</v>
      </c>
      <c r="K97" s="797">
        <f t="shared" si="8"/>
        <v>11232</v>
      </c>
      <c r="L97" s="798">
        <v>556</v>
      </c>
      <c r="M97" s="798">
        <v>75</v>
      </c>
      <c r="N97" s="798">
        <v>1811</v>
      </c>
      <c r="O97" s="798">
        <v>5613</v>
      </c>
      <c r="P97" s="798">
        <v>0</v>
      </c>
      <c r="Q97" s="798">
        <v>3177</v>
      </c>
      <c r="R97" s="798">
        <v>0</v>
      </c>
      <c r="S97" s="798">
        <v>2169</v>
      </c>
      <c r="T97" s="793"/>
      <c r="U97" s="789"/>
      <c r="V97" s="794"/>
      <c r="W97" s="795"/>
      <c r="X97" s="799"/>
    </row>
    <row r="98" spans="1:24" ht="24" x14ac:dyDescent="0.2">
      <c r="A98" s="544">
        <v>86</v>
      </c>
      <c r="B98" s="547" t="s">
        <v>185</v>
      </c>
      <c r="C98" s="113" t="s">
        <v>186</v>
      </c>
      <c r="D98" s="797">
        <f t="shared" si="10"/>
        <v>40564</v>
      </c>
      <c r="E98" s="797">
        <f t="shared" si="12"/>
        <v>1490</v>
      </c>
      <c r="F98" s="797">
        <v>1490</v>
      </c>
      <c r="G98" s="797">
        <v>0</v>
      </c>
      <c r="H98" s="787">
        <f t="shared" si="13"/>
        <v>9726</v>
      </c>
      <c r="I98" s="797">
        <v>9726</v>
      </c>
      <c r="J98" s="797">
        <v>0</v>
      </c>
      <c r="K98" s="797">
        <f t="shared" si="8"/>
        <v>29348</v>
      </c>
      <c r="L98" s="798">
        <v>2461</v>
      </c>
      <c r="M98" s="798">
        <v>283</v>
      </c>
      <c r="N98" s="798">
        <v>8701</v>
      </c>
      <c r="O98" s="798">
        <v>12978</v>
      </c>
      <c r="P98" s="798">
        <v>1025</v>
      </c>
      <c r="Q98" s="798">
        <v>3900</v>
      </c>
      <c r="R98" s="798">
        <v>0</v>
      </c>
      <c r="S98" s="798">
        <v>6785</v>
      </c>
      <c r="T98" s="793"/>
      <c r="U98" s="789"/>
      <c r="V98" s="794"/>
      <c r="W98" s="795"/>
      <c r="X98" s="799"/>
    </row>
    <row r="99" spans="1:24" x14ac:dyDescent="0.2">
      <c r="A99" s="544">
        <v>87</v>
      </c>
      <c r="B99" s="546" t="s">
        <v>187</v>
      </c>
      <c r="C99" s="545" t="s">
        <v>188</v>
      </c>
      <c r="D99" s="797">
        <f t="shared" si="10"/>
        <v>37512</v>
      </c>
      <c r="E99" s="797">
        <f t="shared" si="12"/>
        <v>4724</v>
      </c>
      <c r="F99" s="797">
        <v>869</v>
      </c>
      <c r="G99" s="797">
        <v>3855</v>
      </c>
      <c r="H99" s="787">
        <f t="shared" si="13"/>
        <v>5744</v>
      </c>
      <c r="I99" s="797">
        <v>5668</v>
      </c>
      <c r="J99" s="797">
        <v>76</v>
      </c>
      <c r="K99" s="797">
        <f t="shared" si="8"/>
        <v>27044</v>
      </c>
      <c r="L99" s="798">
        <v>1434</v>
      </c>
      <c r="M99" s="798">
        <v>132</v>
      </c>
      <c r="N99" s="798">
        <v>3055</v>
      </c>
      <c r="O99" s="798">
        <v>13167</v>
      </c>
      <c r="P99" s="798">
        <v>0</v>
      </c>
      <c r="Q99" s="798">
        <v>9256</v>
      </c>
      <c r="R99" s="798">
        <v>0</v>
      </c>
      <c r="S99" s="798">
        <v>3539</v>
      </c>
      <c r="T99" s="793"/>
      <c r="U99" s="789"/>
      <c r="V99" s="794"/>
      <c r="W99" s="795"/>
      <c r="X99" s="799"/>
    </row>
    <row r="100" spans="1:24" x14ac:dyDescent="0.2">
      <c r="A100" s="544">
        <v>88</v>
      </c>
      <c r="B100" s="547" t="s">
        <v>189</v>
      </c>
      <c r="C100" s="113" t="s">
        <v>190</v>
      </c>
      <c r="D100" s="797">
        <f t="shared" si="10"/>
        <v>40819</v>
      </c>
      <c r="E100" s="797">
        <f t="shared" si="12"/>
        <v>4741</v>
      </c>
      <c r="F100" s="797">
        <v>861</v>
      </c>
      <c r="G100" s="797">
        <v>3880</v>
      </c>
      <c r="H100" s="787">
        <f t="shared" si="13"/>
        <v>5633</v>
      </c>
      <c r="I100" s="797">
        <v>5621</v>
      </c>
      <c r="J100" s="797">
        <v>12</v>
      </c>
      <c r="K100" s="797">
        <f t="shared" si="8"/>
        <v>30445</v>
      </c>
      <c r="L100" s="798">
        <v>1422</v>
      </c>
      <c r="M100" s="798">
        <v>30</v>
      </c>
      <c r="N100" s="798">
        <v>5879</v>
      </c>
      <c r="O100" s="798">
        <v>11683</v>
      </c>
      <c r="P100" s="798">
        <v>2960</v>
      </c>
      <c r="Q100" s="798">
        <v>8471</v>
      </c>
      <c r="R100" s="798">
        <v>0</v>
      </c>
      <c r="S100" s="798">
        <v>3709</v>
      </c>
      <c r="T100" s="793"/>
      <c r="U100" s="789"/>
      <c r="V100" s="794"/>
      <c r="W100" s="795"/>
      <c r="X100" s="799"/>
    </row>
    <row r="101" spans="1:24" ht="24" x14ac:dyDescent="0.2">
      <c r="A101" s="544">
        <v>89</v>
      </c>
      <c r="B101" s="547" t="s">
        <v>191</v>
      </c>
      <c r="C101" s="113" t="s">
        <v>192</v>
      </c>
      <c r="D101" s="797">
        <f t="shared" si="10"/>
        <v>119007</v>
      </c>
      <c r="E101" s="797">
        <f t="shared" si="12"/>
        <v>14923</v>
      </c>
      <c r="F101" s="797">
        <v>2380</v>
      </c>
      <c r="G101" s="797">
        <v>12543</v>
      </c>
      <c r="H101" s="787">
        <f t="shared" si="13"/>
        <v>15711</v>
      </c>
      <c r="I101" s="797">
        <v>15530</v>
      </c>
      <c r="J101" s="797">
        <v>181</v>
      </c>
      <c r="K101" s="797">
        <f t="shared" si="8"/>
        <v>88373</v>
      </c>
      <c r="L101" s="798">
        <v>3929</v>
      </c>
      <c r="M101" s="798">
        <v>510</v>
      </c>
      <c r="N101" s="798">
        <v>14948</v>
      </c>
      <c r="O101" s="798">
        <v>32007</v>
      </c>
      <c r="P101" s="798">
        <v>8000</v>
      </c>
      <c r="Q101" s="798">
        <v>27955</v>
      </c>
      <c r="R101" s="798">
        <v>1024</v>
      </c>
      <c r="S101" s="798">
        <v>13228</v>
      </c>
      <c r="T101" s="793"/>
      <c r="U101" s="789"/>
      <c r="V101" s="794"/>
      <c r="W101" s="795"/>
      <c r="X101" s="799"/>
    </row>
    <row r="102" spans="1:24" ht="24" x14ac:dyDescent="0.2">
      <c r="A102" s="544">
        <v>90</v>
      </c>
      <c r="B102" s="546" t="s">
        <v>193</v>
      </c>
      <c r="C102" s="120" t="s">
        <v>194</v>
      </c>
      <c r="D102" s="797">
        <f t="shared" si="10"/>
        <v>44652</v>
      </c>
      <c r="E102" s="797">
        <f t="shared" si="12"/>
        <v>5369</v>
      </c>
      <c r="F102" s="797">
        <v>1030</v>
      </c>
      <c r="G102" s="797">
        <v>4339</v>
      </c>
      <c r="H102" s="787">
        <f t="shared" si="13"/>
        <v>6763</v>
      </c>
      <c r="I102" s="797">
        <v>6723</v>
      </c>
      <c r="J102" s="797">
        <v>40</v>
      </c>
      <c r="K102" s="797">
        <f t="shared" si="8"/>
        <v>32520</v>
      </c>
      <c r="L102" s="798">
        <v>1701</v>
      </c>
      <c r="M102" s="798">
        <v>348</v>
      </c>
      <c r="N102" s="798">
        <v>3765</v>
      </c>
      <c r="O102" s="798">
        <v>10296</v>
      </c>
      <c r="P102" s="798">
        <v>6620</v>
      </c>
      <c r="Q102" s="798">
        <v>9790</v>
      </c>
      <c r="R102" s="798">
        <v>0</v>
      </c>
      <c r="S102" s="798">
        <v>6954</v>
      </c>
      <c r="T102" s="793"/>
      <c r="U102" s="789"/>
      <c r="V102" s="794"/>
      <c r="W102" s="795"/>
      <c r="X102" s="799"/>
    </row>
    <row r="103" spans="1:24" x14ac:dyDescent="0.2">
      <c r="A103" s="544">
        <v>91</v>
      </c>
      <c r="B103" s="546" t="s">
        <v>195</v>
      </c>
      <c r="C103" s="545" t="s">
        <v>196</v>
      </c>
      <c r="D103" s="797">
        <f t="shared" si="10"/>
        <v>59215</v>
      </c>
      <c r="E103" s="797">
        <f t="shared" si="12"/>
        <v>5197</v>
      </c>
      <c r="F103" s="797">
        <v>1338</v>
      </c>
      <c r="G103" s="797">
        <v>3859</v>
      </c>
      <c r="H103" s="787">
        <f t="shared" si="13"/>
        <v>8791</v>
      </c>
      <c r="I103" s="797">
        <v>8730</v>
      </c>
      <c r="J103" s="797">
        <v>61</v>
      </c>
      <c r="K103" s="797">
        <f t="shared" si="8"/>
        <v>45227</v>
      </c>
      <c r="L103" s="798">
        <v>2209</v>
      </c>
      <c r="M103" s="798">
        <v>93</v>
      </c>
      <c r="N103" s="798">
        <v>12302</v>
      </c>
      <c r="O103" s="798">
        <v>18886</v>
      </c>
      <c r="P103" s="798">
        <v>0</v>
      </c>
      <c r="Q103" s="798">
        <v>10673</v>
      </c>
      <c r="R103" s="798">
        <v>1064</v>
      </c>
      <c r="S103" s="798">
        <v>10485</v>
      </c>
      <c r="T103" s="793"/>
      <c r="U103" s="789"/>
      <c r="V103" s="794"/>
      <c r="W103" s="795"/>
      <c r="X103" s="799"/>
    </row>
    <row r="104" spans="1:24" x14ac:dyDescent="0.2">
      <c r="A104" s="544">
        <v>92</v>
      </c>
      <c r="B104" s="112" t="s">
        <v>197</v>
      </c>
      <c r="C104" s="545" t="s">
        <v>198</v>
      </c>
      <c r="D104" s="797">
        <f t="shared" si="10"/>
        <v>142653</v>
      </c>
      <c r="E104" s="797">
        <f t="shared" si="12"/>
        <v>16718</v>
      </c>
      <c r="F104" s="797">
        <v>2703</v>
      </c>
      <c r="G104" s="797">
        <v>14015</v>
      </c>
      <c r="H104" s="787">
        <f t="shared" si="13"/>
        <v>17893</v>
      </c>
      <c r="I104" s="797">
        <v>17638</v>
      </c>
      <c r="J104" s="797">
        <v>255</v>
      </c>
      <c r="K104" s="797">
        <f t="shared" si="8"/>
        <v>108042</v>
      </c>
      <c r="L104" s="798">
        <v>4462</v>
      </c>
      <c r="M104" s="798">
        <v>414</v>
      </c>
      <c r="N104" s="798">
        <v>16015</v>
      </c>
      <c r="O104" s="798">
        <v>43852</v>
      </c>
      <c r="P104" s="798">
        <v>2300</v>
      </c>
      <c r="Q104" s="798">
        <v>40176</v>
      </c>
      <c r="R104" s="798">
        <v>823</v>
      </c>
      <c r="S104" s="798">
        <v>12452</v>
      </c>
      <c r="T104" s="793"/>
      <c r="U104" s="789"/>
      <c r="V104" s="794"/>
      <c r="W104" s="795"/>
      <c r="X104" s="799"/>
    </row>
    <row r="105" spans="1:24" ht="24" x14ac:dyDescent="0.2">
      <c r="A105" s="544">
        <v>93</v>
      </c>
      <c r="B105" s="112" t="s">
        <v>199</v>
      </c>
      <c r="C105" s="545" t="s">
        <v>200</v>
      </c>
      <c r="D105" s="797">
        <f t="shared" si="10"/>
        <v>101608</v>
      </c>
      <c r="E105" s="797">
        <f t="shared" si="12"/>
        <v>11542</v>
      </c>
      <c r="F105" s="797">
        <v>2274</v>
      </c>
      <c r="G105" s="797">
        <v>9268</v>
      </c>
      <c r="H105" s="787">
        <f t="shared" si="13"/>
        <v>14946</v>
      </c>
      <c r="I105" s="797">
        <v>14838</v>
      </c>
      <c r="J105" s="797">
        <v>108</v>
      </c>
      <c r="K105" s="797">
        <f t="shared" si="8"/>
        <v>75120</v>
      </c>
      <c r="L105" s="798">
        <v>3754</v>
      </c>
      <c r="M105" s="798">
        <v>591</v>
      </c>
      <c r="N105" s="798">
        <v>5892</v>
      </c>
      <c r="O105" s="798">
        <v>33142</v>
      </c>
      <c r="P105" s="798">
        <v>7477</v>
      </c>
      <c r="Q105" s="798">
        <v>23260</v>
      </c>
      <c r="R105" s="798">
        <v>1004</v>
      </c>
      <c r="S105" s="798">
        <v>9814</v>
      </c>
      <c r="T105" s="793"/>
      <c r="U105" s="789"/>
      <c r="V105" s="794"/>
      <c r="W105" s="795"/>
      <c r="X105" s="799"/>
    </row>
    <row r="106" spans="1:24" x14ac:dyDescent="0.2">
      <c r="A106" s="544">
        <v>94</v>
      </c>
      <c r="B106" s="547" t="s">
        <v>201</v>
      </c>
      <c r="C106" s="113" t="s">
        <v>202</v>
      </c>
      <c r="D106" s="797">
        <f t="shared" si="10"/>
        <v>36060</v>
      </c>
      <c r="E106" s="797">
        <f t="shared" si="12"/>
        <v>4206</v>
      </c>
      <c r="F106" s="797">
        <v>791</v>
      </c>
      <c r="G106" s="797">
        <v>3415</v>
      </c>
      <c r="H106" s="787">
        <f t="shared" si="13"/>
        <v>5236</v>
      </c>
      <c r="I106" s="797">
        <v>5160</v>
      </c>
      <c r="J106" s="797">
        <v>76</v>
      </c>
      <c r="K106" s="797">
        <f t="shared" si="8"/>
        <v>26618</v>
      </c>
      <c r="L106" s="800">
        <v>1305</v>
      </c>
      <c r="M106" s="800">
        <v>36</v>
      </c>
      <c r="N106" s="798">
        <v>2494</v>
      </c>
      <c r="O106" s="798">
        <v>9725</v>
      </c>
      <c r="P106" s="798">
        <v>2277</v>
      </c>
      <c r="Q106" s="798">
        <v>10500</v>
      </c>
      <c r="R106" s="798">
        <v>281</v>
      </c>
      <c r="S106" s="798">
        <v>4993</v>
      </c>
      <c r="T106" s="793"/>
      <c r="U106" s="789"/>
      <c r="V106" s="794"/>
      <c r="W106" s="795"/>
      <c r="X106" s="799"/>
    </row>
    <row r="107" spans="1:24" ht="24" x14ac:dyDescent="0.2">
      <c r="A107" s="544">
        <v>95</v>
      </c>
      <c r="B107" s="548" t="s">
        <v>203</v>
      </c>
      <c r="C107" s="120" t="s">
        <v>204</v>
      </c>
      <c r="D107" s="797">
        <f t="shared" si="10"/>
        <v>53417</v>
      </c>
      <c r="E107" s="797">
        <f t="shared" si="12"/>
        <v>6433</v>
      </c>
      <c r="F107" s="797">
        <v>1233</v>
      </c>
      <c r="G107" s="797">
        <v>5200</v>
      </c>
      <c r="H107" s="787">
        <f t="shared" si="13"/>
        <v>8102</v>
      </c>
      <c r="I107" s="797">
        <v>8044</v>
      </c>
      <c r="J107" s="797">
        <v>58</v>
      </c>
      <c r="K107" s="797">
        <f t="shared" si="8"/>
        <v>38882</v>
      </c>
      <c r="L107" s="800">
        <v>2035</v>
      </c>
      <c r="M107" s="800">
        <v>222</v>
      </c>
      <c r="N107" s="798">
        <v>7123</v>
      </c>
      <c r="O107" s="798">
        <v>9512</v>
      </c>
      <c r="P107" s="798">
        <v>3956</v>
      </c>
      <c r="Q107" s="798">
        <v>16034</v>
      </c>
      <c r="R107" s="798">
        <v>0</v>
      </c>
      <c r="S107" s="798">
        <v>7079</v>
      </c>
      <c r="T107" s="793"/>
      <c r="U107" s="789"/>
      <c r="V107" s="794"/>
      <c r="W107" s="795"/>
      <c r="X107" s="799"/>
    </row>
    <row r="108" spans="1:24" x14ac:dyDescent="0.2">
      <c r="A108" s="544">
        <v>96</v>
      </c>
      <c r="B108" s="112" t="s">
        <v>205</v>
      </c>
      <c r="C108" s="545" t="s">
        <v>206</v>
      </c>
      <c r="D108" s="797">
        <f t="shared" si="10"/>
        <v>51152</v>
      </c>
      <c r="E108" s="797">
        <f t="shared" si="12"/>
        <v>6652</v>
      </c>
      <c r="F108" s="797">
        <v>1167</v>
      </c>
      <c r="G108" s="797">
        <v>5485</v>
      </c>
      <c r="H108" s="787">
        <f t="shared" si="13"/>
        <v>7693</v>
      </c>
      <c r="I108" s="797">
        <v>7613</v>
      </c>
      <c r="J108" s="797">
        <v>80</v>
      </c>
      <c r="K108" s="797">
        <f t="shared" si="8"/>
        <v>36807</v>
      </c>
      <c r="L108" s="798">
        <v>1926</v>
      </c>
      <c r="M108" s="798">
        <v>42</v>
      </c>
      <c r="N108" s="798">
        <v>6271</v>
      </c>
      <c r="O108" s="798">
        <v>13282</v>
      </c>
      <c r="P108" s="798">
        <v>5961</v>
      </c>
      <c r="Q108" s="798">
        <v>9325</v>
      </c>
      <c r="R108" s="798">
        <v>0</v>
      </c>
      <c r="S108" s="798">
        <v>6929</v>
      </c>
      <c r="T108" s="793"/>
      <c r="U108" s="789"/>
      <c r="V108" s="794"/>
      <c r="W108" s="795"/>
      <c r="X108" s="799"/>
    </row>
    <row r="109" spans="1:24" x14ac:dyDescent="0.2">
      <c r="A109" s="544">
        <v>97</v>
      </c>
      <c r="B109" s="546" t="s">
        <v>207</v>
      </c>
      <c r="C109" s="545" t="s">
        <v>208</v>
      </c>
      <c r="D109" s="797">
        <f t="shared" si="10"/>
        <v>75033</v>
      </c>
      <c r="E109" s="797">
        <f t="shared" si="12"/>
        <v>8058</v>
      </c>
      <c r="F109" s="797">
        <v>1350</v>
      </c>
      <c r="G109" s="797">
        <v>6708</v>
      </c>
      <c r="H109" s="787">
        <f t="shared" si="13"/>
        <v>8902</v>
      </c>
      <c r="I109" s="797">
        <v>8809</v>
      </c>
      <c r="J109" s="797">
        <v>93</v>
      </c>
      <c r="K109" s="797">
        <f t="shared" si="8"/>
        <v>58073</v>
      </c>
      <c r="L109" s="798">
        <v>2229</v>
      </c>
      <c r="M109" s="798">
        <v>27</v>
      </c>
      <c r="N109" s="798">
        <v>8356</v>
      </c>
      <c r="O109" s="798">
        <v>12489</v>
      </c>
      <c r="P109" s="798">
        <v>9780</v>
      </c>
      <c r="Q109" s="798">
        <v>24731</v>
      </c>
      <c r="R109" s="798">
        <v>461</v>
      </c>
      <c r="S109" s="798">
        <v>7841</v>
      </c>
      <c r="T109" s="793"/>
      <c r="U109" s="789"/>
      <c r="V109" s="794"/>
      <c r="W109" s="795"/>
      <c r="X109" s="799"/>
    </row>
    <row r="110" spans="1:24" ht="24" x14ac:dyDescent="0.2">
      <c r="A110" s="544">
        <v>98</v>
      </c>
      <c r="B110" s="547" t="s">
        <v>209</v>
      </c>
      <c r="C110" s="113" t="s">
        <v>210</v>
      </c>
      <c r="D110" s="797">
        <f t="shared" si="10"/>
        <v>45328</v>
      </c>
      <c r="E110" s="797">
        <f t="shared" si="12"/>
        <v>5529</v>
      </c>
      <c r="F110" s="797">
        <v>913</v>
      </c>
      <c r="G110" s="797">
        <v>4616</v>
      </c>
      <c r="H110" s="787">
        <f t="shared" si="13"/>
        <v>6030</v>
      </c>
      <c r="I110" s="797">
        <v>5960</v>
      </c>
      <c r="J110" s="797">
        <v>70</v>
      </c>
      <c r="K110" s="797">
        <f t="shared" si="8"/>
        <v>33769</v>
      </c>
      <c r="L110" s="798">
        <v>1508</v>
      </c>
      <c r="M110" s="798">
        <v>186</v>
      </c>
      <c r="N110" s="798">
        <v>6832</v>
      </c>
      <c r="O110" s="798">
        <v>11495</v>
      </c>
      <c r="P110" s="798">
        <v>1113</v>
      </c>
      <c r="Q110" s="798">
        <v>12635</v>
      </c>
      <c r="R110" s="798">
        <v>0</v>
      </c>
      <c r="S110" s="798">
        <v>4346</v>
      </c>
      <c r="T110" s="793"/>
      <c r="U110" s="789"/>
      <c r="V110" s="794"/>
      <c r="W110" s="795"/>
      <c r="X110" s="799"/>
    </row>
    <row r="111" spans="1:24" ht="24" x14ac:dyDescent="0.2">
      <c r="A111" s="544">
        <v>99</v>
      </c>
      <c r="B111" s="547" t="s">
        <v>211</v>
      </c>
      <c r="C111" s="113" t="s">
        <v>212</v>
      </c>
      <c r="D111" s="797">
        <f t="shared" si="10"/>
        <v>65041</v>
      </c>
      <c r="E111" s="797">
        <f t="shared" si="12"/>
        <v>6960</v>
      </c>
      <c r="F111" s="797">
        <v>1362</v>
      </c>
      <c r="G111" s="797">
        <v>5598</v>
      </c>
      <c r="H111" s="787">
        <f t="shared" si="13"/>
        <v>8942</v>
      </c>
      <c r="I111" s="797">
        <v>8888</v>
      </c>
      <c r="J111" s="797">
        <v>54</v>
      </c>
      <c r="K111" s="797">
        <f t="shared" si="8"/>
        <v>49139</v>
      </c>
      <c r="L111" s="798">
        <v>2249</v>
      </c>
      <c r="M111" s="798">
        <v>69</v>
      </c>
      <c r="N111" s="798">
        <v>11522</v>
      </c>
      <c r="O111" s="798">
        <v>15898</v>
      </c>
      <c r="P111" s="798">
        <v>6150</v>
      </c>
      <c r="Q111" s="798">
        <v>12448</v>
      </c>
      <c r="R111" s="798">
        <v>803</v>
      </c>
      <c r="S111" s="798">
        <v>8579</v>
      </c>
      <c r="T111" s="793"/>
      <c r="U111" s="789"/>
      <c r="V111" s="794"/>
      <c r="W111" s="795"/>
      <c r="X111" s="799"/>
    </row>
    <row r="112" spans="1:24" x14ac:dyDescent="0.2">
      <c r="A112" s="544">
        <v>100</v>
      </c>
      <c r="B112" s="112" t="s">
        <v>213</v>
      </c>
      <c r="C112" s="545" t="s">
        <v>214</v>
      </c>
      <c r="D112" s="797">
        <f t="shared" si="10"/>
        <v>110103</v>
      </c>
      <c r="E112" s="797">
        <f t="shared" si="12"/>
        <v>11952</v>
      </c>
      <c r="F112" s="797">
        <v>2352</v>
      </c>
      <c r="G112" s="797">
        <v>9600</v>
      </c>
      <c r="H112" s="787">
        <f t="shared" si="13"/>
        <v>15423</v>
      </c>
      <c r="I112" s="797">
        <v>15345</v>
      </c>
      <c r="J112" s="797">
        <v>78</v>
      </c>
      <c r="K112" s="797">
        <f t="shared" si="8"/>
        <v>82728</v>
      </c>
      <c r="L112" s="798">
        <v>3882</v>
      </c>
      <c r="M112" s="798">
        <v>276</v>
      </c>
      <c r="N112" s="798">
        <v>18225</v>
      </c>
      <c r="O112" s="798">
        <v>29627</v>
      </c>
      <c r="P112" s="798">
        <v>4600</v>
      </c>
      <c r="Q112" s="798">
        <v>25369</v>
      </c>
      <c r="R112" s="798">
        <v>749</v>
      </c>
      <c r="S112" s="798">
        <v>12853</v>
      </c>
      <c r="T112" s="793"/>
      <c r="U112" s="789"/>
      <c r="V112" s="794"/>
      <c r="W112" s="795"/>
      <c r="X112" s="799"/>
    </row>
    <row r="113" spans="1:24" x14ac:dyDescent="0.2">
      <c r="A113" s="544">
        <v>101</v>
      </c>
      <c r="B113" s="546" t="s">
        <v>215</v>
      </c>
      <c r="C113" s="545" t="s">
        <v>216</v>
      </c>
      <c r="D113" s="797">
        <f t="shared" si="10"/>
        <v>51060</v>
      </c>
      <c r="E113" s="797">
        <f t="shared" si="12"/>
        <v>5499</v>
      </c>
      <c r="F113" s="797">
        <v>1076</v>
      </c>
      <c r="G113" s="797">
        <v>4423</v>
      </c>
      <c r="H113" s="787">
        <f t="shared" si="13"/>
        <v>7072</v>
      </c>
      <c r="I113" s="797">
        <v>7018</v>
      </c>
      <c r="J113" s="797">
        <v>54</v>
      </c>
      <c r="K113" s="797">
        <f t="shared" si="8"/>
        <v>38489</v>
      </c>
      <c r="L113" s="798">
        <v>1776</v>
      </c>
      <c r="M113" s="798">
        <v>336</v>
      </c>
      <c r="N113" s="798">
        <v>8493</v>
      </c>
      <c r="O113" s="798">
        <v>16925</v>
      </c>
      <c r="P113" s="798">
        <v>5174</v>
      </c>
      <c r="Q113" s="798">
        <v>5785</v>
      </c>
      <c r="R113" s="798">
        <v>0</v>
      </c>
      <c r="S113" s="798">
        <v>7049</v>
      </c>
      <c r="T113" s="793"/>
      <c r="U113" s="789"/>
      <c r="V113" s="794"/>
      <c r="W113" s="795"/>
      <c r="X113" s="799"/>
    </row>
    <row r="114" spans="1:24" x14ac:dyDescent="0.2">
      <c r="A114" s="544">
        <v>102</v>
      </c>
      <c r="B114" s="112" t="s">
        <v>217</v>
      </c>
      <c r="C114" s="113" t="s">
        <v>218</v>
      </c>
      <c r="D114" s="797">
        <f t="shared" si="10"/>
        <v>6419</v>
      </c>
      <c r="E114" s="797">
        <f t="shared" si="12"/>
        <v>0</v>
      </c>
      <c r="F114" s="797">
        <v>0</v>
      </c>
      <c r="G114" s="797">
        <v>0</v>
      </c>
      <c r="H114" s="787">
        <f t="shared" si="13"/>
        <v>0</v>
      </c>
      <c r="I114" s="797">
        <v>0</v>
      </c>
      <c r="J114" s="797">
        <v>0</v>
      </c>
      <c r="K114" s="797">
        <f t="shared" si="8"/>
        <v>6419</v>
      </c>
      <c r="L114" s="798">
        <v>0</v>
      </c>
      <c r="M114" s="798">
        <v>0</v>
      </c>
      <c r="N114" s="798">
        <v>17</v>
      </c>
      <c r="O114" s="798">
        <v>6402</v>
      </c>
      <c r="P114" s="798">
        <v>0</v>
      </c>
      <c r="Q114" s="798">
        <v>0</v>
      </c>
      <c r="R114" s="798">
        <v>0</v>
      </c>
      <c r="S114" s="798">
        <v>0</v>
      </c>
      <c r="T114" s="793"/>
      <c r="U114" s="789"/>
      <c r="V114" s="794"/>
      <c r="W114" s="795"/>
      <c r="X114" s="799"/>
    </row>
    <row r="115" spans="1:24" x14ac:dyDescent="0.2">
      <c r="A115" s="544">
        <v>103</v>
      </c>
      <c r="B115" s="112" t="s">
        <v>219</v>
      </c>
      <c r="C115" s="545" t="s">
        <v>220</v>
      </c>
      <c r="D115" s="797">
        <f t="shared" si="10"/>
        <v>0</v>
      </c>
      <c r="E115" s="797">
        <f t="shared" si="12"/>
        <v>0</v>
      </c>
      <c r="F115" s="797">
        <v>0</v>
      </c>
      <c r="G115" s="797">
        <v>0</v>
      </c>
      <c r="H115" s="787">
        <f t="shared" si="13"/>
        <v>0</v>
      </c>
      <c r="I115" s="797">
        <v>0</v>
      </c>
      <c r="J115" s="797">
        <v>0</v>
      </c>
      <c r="K115" s="797">
        <f t="shared" si="8"/>
        <v>0</v>
      </c>
      <c r="L115" s="798">
        <v>0</v>
      </c>
      <c r="M115" s="798">
        <v>0</v>
      </c>
      <c r="N115" s="798">
        <v>0</v>
      </c>
      <c r="O115" s="798">
        <v>0</v>
      </c>
      <c r="P115" s="798">
        <v>0</v>
      </c>
      <c r="Q115" s="798">
        <v>0</v>
      </c>
      <c r="R115" s="798">
        <v>0</v>
      </c>
      <c r="S115" s="798">
        <v>0</v>
      </c>
      <c r="T115" s="793"/>
      <c r="U115" s="789"/>
      <c r="V115" s="794"/>
      <c r="W115" s="795"/>
      <c r="X115" s="799"/>
    </row>
    <row r="116" spans="1:24" x14ac:dyDescent="0.2">
      <c r="A116" s="544">
        <v>104</v>
      </c>
      <c r="B116" s="547" t="s">
        <v>221</v>
      </c>
      <c r="C116" s="113" t="s">
        <v>222</v>
      </c>
      <c r="D116" s="797">
        <f t="shared" si="10"/>
        <v>933</v>
      </c>
      <c r="E116" s="797">
        <f t="shared" si="12"/>
        <v>0</v>
      </c>
      <c r="F116" s="797">
        <v>0</v>
      </c>
      <c r="G116" s="797">
        <v>0</v>
      </c>
      <c r="H116" s="787">
        <f t="shared" si="13"/>
        <v>0</v>
      </c>
      <c r="I116" s="797">
        <v>0</v>
      </c>
      <c r="J116" s="797">
        <v>0</v>
      </c>
      <c r="K116" s="797">
        <f t="shared" si="8"/>
        <v>933</v>
      </c>
      <c r="L116" s="798">
        <v>0</v>
      </c>
      <c r="M116" s="798">
        <v>0</v>
      </c>
      <c r="N116" s="798">
        <v>0</v>
      </c>
      <c r="O116" s="798">
        <v>933</v>
      </c>
      <c r="P116" s="798">
        <v>0</v>
      </c>
      <c r="Q116" s="798">
        <v>0</v>
      </c>
      <c r="R116" s="798">
        <v>0</v>
      </c>
      <c r="S116" s="798">
        <v>0</v>
      </c>
      <c r="T116" s="793"/>
      <c r="U116" s="789"/>
      <c r="V116" s="794"/>
      <c r="W116" s="795"/>
      <c r="X116" s="799"/>
    </row>
    <row r="117" spans="1:24" x14ac:dyDescent="0.2">
      <c r="A117" s="544">
        <v>105</v>
      </c>
      <c r="B117" s="547" t="s">
        <v>223</v>
      </c>
      <c r="C117" s="113" t="s">
        <v>224</v>
      </c>
      <c r="D117" s="797">
        <f t="shared" si="10"/>
        <v>0</v>
      </c>
      <c r="E117" s="797">
        <f t="shared" si="12"/>
        <v>0</v>
      </c>
      <c r="F117" s="797">
        <v>0</v>
      </c>
      <c r="G117" s="797">
        <v>0</v>
      </c>
      <c r="H117" s="787">
        <f t="shared" si="13"/>
        <v>0</v>
      </c>
      <c r="I117" s="797">
        <v>0</v>
      </c>
      <c r="J117" s="797">
        <v>0</v>
      </c>
      <c r="K117" s="797">
        <f t="shared" si="8"/>
        <v>0</v>
      </c>
      <c r="L117" s="798">
        <v>0</v>
      </c>
      <c r="M117" s="798">
        <v>0</v>
      </c>
      <c r="N117" s="798">
        <v>0</v>
      </c>
      <c r="O117" s="798">
        <v>0</v>
      </c>
      <c r="P117" s="798">
        <v>0</v>
      </c>
      <c r="Q117" s="798">
        <v>0</v>
      </c>
      <c r="R117" s="798">
        <v>0</v>
      </c>
      <c r="S117" s="798">
        <v>0</v>
      </c>
      <c r="T117" s="793"/>
      <c r="U117" s="789"/>
      <c r="V117" s="794"/>
      <c r="W117" s="795"/>
      <c r="X117" s="799"/>
    </row>
    <row r="118" spans="1:24" ht="24" x14ac:dyDescent="0.2">
      <c r="A118" s="544">
        <v>106</v>
      </c>
      <c r="B118" s="547" t="s">
        <v>225</v>
      </c>
      <c r="C118" s="113" t="s">
        <v>226</v>
      </c>
      <c r="D118" s="797">
        <f t="shared" si="10"/>
        <v>0</v>
      </c>
      <c r="E118" s="797">
        <f t="shared" si="12"/>
        <v>0</v>
      </c>
      <c r="F118" s="797">
        <v>0</v>
      </c>
      <c r="G118" s="797">
        <v>0</v>
      </c>
      <c r="H118" s="787">
        <f t="shared" si="13"/>
        <v>0</v>
      </c>
      <c r="I118" s="797">
        <v>0</v>
      </c>
      <c r="J118" s="797">
        <v>0</v>
      </c>
      <c r="K118" s="797">
        <f t="shared" si="8"/>
        <v>0</v>
      </c>
      <c r="L118" s="798">
        <v>0</v>
      </c>
      <c r="M118" s="798">
        <v>0</v>
      </c>
      <c r="N118" s="798">
        <v>0</v>
      </c>
      <c r="O118" s="798">
        <v>0</v>
      </c>
      <c r="P118" s="798">
        <v>0</v>
      </c>
      <c r="Q118" s="798">
        <v>0</v>
      </c>
      <c r="R118" s="798">
        <v>0</v>
      </c>
      <c r="S118" s="798">
        <v>0</v>
      </c>
      <c r="T118" s="793"/>
      <c r="U118" s="789"/>
      <c r="V118" s="794"/>
      <c r="W118" s="795"/>
      <c r="X118" s="799"/>
    </row>
    <row r="119" spans="1:24" ht="24" x14ac:dyDescent="0.2">
      <c r="A119" s="544">
        <v>107</v>
      </c>
      <c r="B119" s="547" t="s">
        <v>227</v>
      </c>
      <c r="C119" s="113" t="s">
        <v>228</v>
      </c>
      <c r="D119" s="797">
        <f t="shared" si="10"/>
        <v>0</v>
      </c>
      <c r="E119" s="797">
        <f t="shared" si="12"/>
        <v>0</v>
      </c>
      <c r="F119" s="797">
        <v>0</v>
      </c>
      <c r="G119" s="797">
        <v>0</v>
      </c>
      <c r="H119" s="787">
        <f t="shared" si="13"/>
        <v>0</v>
      </c>
      <c r="I119" s="797">
        <v>0</v>
      </c>
      <c r="J119" s="797">
        <v>0</v>
      </c>
      <c r="K119" s="797">
        <f t="shared" si="8"/>
        <v>0</v>
      </c>
      <c r="L119" s="798">
        <v>0</v>
      </c>
      <c r="M119" s="798">
        <v>0</v>
      </c>
      <c r="N119" s="798">
        <v>0</v>
      </c>
      <c r="O119" s="798">
        <v>0</v>
      </c>
      <c r="P119" s="798">
        <v>0</v>
      </c>
      <c r="Q119" s="798">
        <v>0</v>
      </c>
      <c r="R119" s="798">
        <v>0</v>
      </c>
      <c r="S119" s="798">
        <v>0</v>
      </c>
      <c r="T119" s="793"/>
      <c r="U119" s="789"/>
      <c r="V119" s="794"/>
      <c r="W119" s="795"/>
      <c r="X119" s="799"/>
    </row>
    <row r="120" spans="1:24" x14ac:dyDescent="0.2">
      <c r="A120" s="544">
        <v>108</v>
      </c>
      <c r="B120" s="547" t="s">
        <v>229</v>
      </c>
      <c r="C120" s="113" t="s">
        <v>230</v>
      </c>
      <c r="D120" s="797">
        <f t="shared" si="10"/>
        <v>0</v>
      </c>
      <c r="E120" s="797">
        <f t="shared" si="12"/>
        <v>0</v>
      </c>
      <c r="F120" s="797">
        <v>0</v>
      </c>
      <c r="G120" s="797">
        <v>0</v>
      </c>
      <c r="H120" s="787">
        <f t="shared" si="13"/>
        <v>0</v>
      </c>
      <c r="I120" s="797">
        <v>0</v>
      </c>
      <c r="J120" s="797">
        <v>0</v>
      </c>
      <c r="K120" s="797">
        <f t="shared" si="8"/>
        <v>0</v>
      </c>
      <c r="L120" s="798">
        <v>0</v>
      </c>
      <c r="M120" s="798">
        <v>0</v>
      </c>
      <c r="N120" s="798">
        <v>0</v>
      </c>
      <c r="O120" s="798">
        <v>0</v>
      </c>
      <c r="P120" s="798">
        <v>0</v>
      </c>
      <c r="Q120" s="798">
        <v>0</v>
      </c>
      <c r="R120" s="798">
        <v>0</v>
      </c>
      <c r="S120" s="798">
        <v>0</v>
      </c>
      <c r="T120" s="793"/>
      <c r="U120" s="789"/>
      <c r="V120" s="794"/>
      <c r="W120" s="795"/>
      <c r="X120" s="799"/>
    </row>
    <row r="121" spans="1:24" ht="24" x14ac:dyDescent="0.2">
      <c r="A121" s="544">
        <v>109</v>
      </c>
      <c r="B121" s="547" t="s">
        <v>231</v>
      </c>
      <c r="C121" s="113" t="s">
        <v>232</v>
      </c>
      <c r="D121" s="797">
        <f t="shared" si="10"/>
        <v>29154</v>
      </c>
      <c r="E121" s="797">
        <f t="shared" si="12"/>
        <v>0</v>
      </c>
      <c r="F121" s="797">
        <v>0</v>
      </c>
      <c r="G121" s="797">
        <v>0</v>
      </c>
      <c r="H121" s="787">
        <f t="shared" si="13"/>
        <v>0</v>
      </c>
      <c r="I121" s="797">
        <v>0</v>
      </c>
      <c r="J121" s="797">
        <v>0</v>
      </c>
      <c r="K121" s="797">
        <f t="shared" si="8"/>
        <v>29154</v>
      </c>
      <c r="L121" s="798">
        <v>0</v>
      </c>
      <c r="M121" s="798">
        <v>0</v>
      </c>
      <c r="N121" s="798">
        <v>0</v>
      </c>
      <c r="O121" s="798">
        <v>29154</v>
      </c>
      <c r="P121" s="798">
        <v>0</v>
      </c>
      <c r="Q121" s="798">
        <v>0</v>
      </c>
      <c r="R121" s="798">
        <v>0</v>
      </c>
      <c r="S121" s="798">
        <v>0</v>
      </c>
      <c r="T121" s="793"/>
      <c r="U121" s="789"/>
      <c r="V121" s="794"/>
      <c r="W121" s="795"/>
      <c r="X121" s="799"/>
    </row>
    <row r="122" spans="1:24" x14ac:dyDescent="0.2">
      <c r="A122" s="544">
        <v>110</v>
      </c>
      <c r="B122" s="553" t="s">
        <v>233</v>
      </c>
      <c r="C122" s="554" t="s">
        <v>234</v>
      </c>
      <c r="D122" s="797">
        <f t="shared" si="10"/>
        <v>0</v>
      </c>
      <c r="E122" s="797">
        <f t="shared" si="12"/>
        <v>0</v>
      </c>
      <c r="F122" s="797">
        <v>0</v>
      </c>
      <c r="G122" s="797">
        <v>0</v>
      </c>
      <c r="H122" s="787">
        <f t="shared" si="13"/>
        <v>0</v>
      </c>
      <c r="I122" s="797">
        <v>0</v>
      </c>
      <c r="J122" s="797">
        <v>0</v>
      </c>
      <c r="K122" s="797">
        <f t="shared" si="8"/>
        <v>0</v>
      </c>
      <c r="L122" s="798">
        <v>0</v>
      </c>
      <c r="M122" s="798">
        <v>0</v>
      </c>
      <c r="N122" s="798">
        <v>0</v>
      </c>
      <c r="O122" s="798">
        <v>0</v>
      </c>
      <c r="P122" s="798">
        <v>0</v>
      </c>
      <c r="Q122" s="798">
        <v>0</v>
      </c>
      <c r="R122" s="798">
        <v>0</v>
      </c>
      <c r="S122" s="798">
        <v>0</v>
      </c>
      <c r="T122" s="793"/>
      <c r="U122" s="789"/>
      <c r="V122" s="794"/>
      <c r="W122" s="795"/>
      <c r="X122" s="799"/>
    </row>
    <row r="123" spans="1:24" ht="24" x14ac:dyDescent="0.2">
      <c r="A123" s="544">
        <v>111</v>
      </c>
      <c r="B123" s="553" t="s">
        <v>235</v>
      </c>
      <c r="C123" s="554" t="s">
        <v>236</v>
      </c>
      <c r="D123" s="797">
        <f t="shared" si="10"/>
        <v>130</v>
      </c>
      <c r="E123" s="797">
        <f t="shared" si="12"/>
        <v>0</v>
      </c>
      <c r="F123" s="797">
        <v>0</v>
      </c>
      <c r="G123" s="797">
        <v>0</v>
      </c>
      <c r="H123" s="787">
        <f t="shared" si="13"/>
        <v>0</v>
      </c>
      <c r="I123" s="797">
        <v>0</v>
      </c>
      <c r="J123" s="797">
        <v>0</v>
      </c>
      <c r="K123" s="797">
        <f t="shared" si="8"/>
        <v>130</v>
      </c>
      <c r="L123" s="798">
        <v>0</v>
      </c>
      <c r="M123" s="798">
        <v>0</v>
      </c>
      <c r="N123" s="798">
        <v>0</v>
      </c>
      <c r="O123" s="798">
        <v>130</v>
      </c>
      <c r="P123" s="798">
        <v>0</v>
      </c>
      <c r="Q123" s="798">
        <v>0</v>
      </c>
      <c r="R123" s="798">
        <v>0</v>
      </c>
      <c r="S123" s="798">
        <v>0</v>
      </c>
      <c r="T123" s="793"/>
      <c r="U123" s="789"/>
      <c r="V123" s="794"/>
      <c r="W123" s="795"/>
      <c r="X123" s="799"/>
    </row>
    <row r="124" spans="1:24" x14ac:dyDescent="0.2">
      <c r="A124" s="544">
        <v>112</v>
      </c>
      <c r="B124" s="546" t="s">
        <v>237</v>
      </c>
      <c r="C124" s="545" t="s">
        <v>238</v>
      </c>
      <c r="D124" s="797">
        <f t="shared" si="10"/>
        <v>0</v>
      </c>
      <c r="E124" s="797">
        <f t="shared" si="12"/>
        <v>0</v>
      </c>
      <c r="F124" s="797">
        <v>0</v>
      </c>
      <c r="G124" s="797">
        <v>0</v>
      </c>
      <c r="H124" s="787">
        <f t="shared" si="13"/>
        <v>0</v>
      </c>
      <c r="I124" s="797">
        <v>0</v>
      </c>
      <c r="J124" s="797">
        <v>0</v>
      </c>
      <c r="K124" s="797">
        <f t="shared" si="8"/>
        <v>0</v>
      </c>
      <c r="L124" s="798">
        <v>0</v>
      </c>
      <c r="M124" s="798">
        <v>0</v>
      </c>
      <c r="N124" s="798">
        <v>0</v>
      </c>
      <c r="O124" s="798">
        <v>0</v>
      </c>
      <c r="P124" s="798">
        <v>0</v>
      </c>
      <c r="Q124" s="798">
        <v>0</v>
      </c>
      <c r="R124" s="798">
        <v>0</v>
      </c>
      <c r="S124" s="798">
        <v>0</v>
      </c>
      <c r="T124" s="793"/>
      <c r="U124" s="789"/>
      <c r="V124" s="794"/>
      <c r="W124" s="795"/>
      <c r="X124" s="799"/>
    </row>
    <row r="125" spans="1:24" ht="24" x14ac:dyDescent="0.2">
      <c r="A125" s="544">
        <v>113</v>
      </c>
      <c r="B125" s="547" t="s">
        <v>239</v>
      </c>
      <c r="C125" s="113" t="s">
        <v>240</v>
      </c>
      <c r="D125" s="797">
        <f t="shared" si="10"/>
        <v>0</v>
      </c>
      <c r="E125" s="797">
        <f t="shared" si="12"/>
        <v>0</v>
      </c>
      <c r="F125" s="797">
        <v>0</v>
      </c>
      <c r="G125" s="797">
        <v>0</v>
      </c>
      <c r="H125" s="787">
        <f t="shared" si="13"/>
        <v>0</v>
      </c>
      <c r="I125" s="797">
        <v>0</v>
      </c>
      <c r="J125" s="797">
        <v>0</v>
      </c>
      <c r="K125" s="797">
        <f t="shared" si="8"/>
        <v>0</v>
      </c>
      <c r="L125" s="798">
        <v>0</v>
      </c>
      <c r="M125" s="798">
        <v>0</v>
      </c>
      <c r="N125" s="798">
        <v>0</v>
      </c>
      <c r="O125" s="798">
        <v>0</v>
      </c>
      <c r="P125" s="798">
        <v>0</v>
      </c>
      <c r="Q125" s="798">
        <v>0</v>
      </c>
      <c r="R125" s="798">
        <v>0</v>
      </c>
      <c r="S125" s="798">
        <v>0</v>
      </c>
      <c r="T125" s="793"/>
      <c r="U125" s="789"/>
      <c r="V125" s="794"/>
      <c r="W125" s="795"/>
      <c r="X125" s="799"/>
    </row>
    <row r="126" spans="1:24" ht="24" x14ac:dyDescent="0.2">
      <c r="A126" s="544">
        <v>114</v>
      </c>
      <c r="B126" s="112" t="s">
        <v>241</v>
      </c>
      <c r="C126" s="555" t="s">
        <v>242</v>
      </c>
      <c r="D126" s="797">
        <f t="shared" si="10"/>
        <v>0</v>
      </c>
      <c r="E126" s="797">
        <f t="shared" si="12"/>
        <v>0</v>
      </c>
      <c r="F126" s="797">
        <v>0</v>
      </c>
      <c r="G126" s="797">
        <v>0</v>
      </c>
      <c r="H126" s="787">
        <f t="shared" si="13"/>
        <v>0</v>
      </c>
      <c r="I126" s="797">
        <v>0</v>
      </c>
      <c r="J126" s="797">
        <v>0</v>
      </c>
      <c r="K126" s="797">
        <f t="shared" si="8"/>
        <v>0</v>
      </c>
      <c r="L126" s="798">
        <v>0</v>
      </c>
      <c r="M126" s="798">
        <v>0</v>
      </c>
      <c r="N126" s="798">
        <v>0</v>
      </c>
      <c r="O126" s="798">
        <v>0</v>
      </c>
      <c r="P126" s="798">
        <v>0</v>
      </c>
      <c r="Q126" s="798">
        <v>0</v>
      </c>
      <c r="R126" s="798">
        <v>0</v>
      </c>
      <c r="S126" s="798">
        <v>0</v>
      </c>
      <c r="T126" s="793"/>
      <c r="U126" s="789"/>
      <c r="V126" s="794"/>
      <c r="W126" s="795"/>
      <c r="X126" s="799"/>
    </row>
    <row r="127" spans="1:24" x14ac:dyDescent="0.2">
      <c r="A127" s="544">
        <v>115</v>
      </c>
      <c r="B127" s="547" t="s">
        <v>243</v>
      </c>
      <c r="C127" s="224" t="s">
        <v>385</v>
      </c>
      <c r="D127" s="797">
        <f t="shared" si="10"/>
        <v>0</v>
      </c>
      <c r="E127" s="797">
        <f t="shared" si="12"/>
        <v>0</v>
      </c>
      <c r="F127" s="797">
        <v>0</v>
      </c>
      <c r="G127" s="797">
        <v>0</v>
      </c>
      <c r="H127" s="787">
        <f t="shared" si="13"/>
        <v>0</v>
      </c>
      <c r="I127" s="797">
        <v>0</v>
      </c>
      <c r="J127" s="797">
        <v>0</v>
      </c>
      <c r="K127" s="797">
        <f t="shared" si="8"/>
        <v>0</v>
      </c>
      <c r="L127" s="798">
        <v>0</v>
      </c>
      <c r="M127" s="798">
        <v>0</v>
      </c>
      <c r="N127" s="798">
        <v>0</v>
      </c>
      <c r="O127" s="798">
        <v>0</v>
      </c>
      <c r="P127" s="798">
        <v>0</v>
      </c>
      <c r="Q127" s="798">
        <v>0</v>
      </c>
      <c r="R127" s="798">
        <v>0</v>
      </c>
      <c r="S127" s="798">
        <v>0</v>
      </c>
      <c r="T127" s="793"/>
      <c r="U127" s="789"/>
      <c r="V127" s="794"/>
      <c r="W127" s="795"/>
      <c r="X127" s="799"/>
    </row>
    <row r="128" spans="1:24" x14ac:dyDescent="0.2">
      <c r="A128" s="544">
        <v>116</v>
      </c>
      <c r="B128" s="546" t="s">
        <v>244</v>
      </c>
      <c r="C128" s="113" t="s">
        <v>245</v>
      </c>
      <c r="D128" s="797">
        <f t="shared" si="10"/>
        <v>0</v>
      </c>
      <c r="E128" s="797">
        <f t="shared" si="12"/>
        <v>0</v>
      </c>
      <c r="F128" s="797">
        <v>0</v>
      </c>
      <c r="G128" s="797">
        <v>0</v>
      </c>
      <c r="H128" s="787">
        <f t="shared" si="13"/>
        <v>0</v>
      </c>
      <c r="I128" s="797">
        <v>0</v>
      </c>
      <c r="J128" s="797">
        <v>0</v>
      </c>
      <c r="K128" s="797">
        <f t="shared" si="8"/>
        <v>0</v>
      </c>
      <c r="L128" s="798">
        <v>0</v>
      </c>
      <c r="M128" s="798">
        <v>0</v>
      </c>
      <c r="N128" s="798">
        <v>0</v>
      </c>
      <c r="O128" s="798">
        <v>0</v>
      </c>
      <c r="P128" s="798">
        <v>0</v>
      </c>
      <c r="Q128" s="798">
        <v>0</v>
      </c>
      <c r="R128" s="798">
        <v>0</v>
      </c>
      <c r="S128" s="798">
        <v>0</v>
      </c>
      <c r="T128" s="793"/>
      <c r="U128" s="789"/>
      <c r="V128" s="794"/>
      <c r="W128" s="795"/>
      <c r="X128" s="799"/>
    </row>
    <row r="129" spans="1:24" ht="24" x14ac:dyDescent="0.2">
      <c r="A129" s="544">
        <v>117</v>
      </c>
      <c r="B129" s="546" t="s">
        <v>246</v>
      </c>
      <c r="C129" s="113" t="s">
        <v>247</v>
      </c>
      <c r="D129" s="797">
        <f t="shared" si="10"/>
        <v>0</v>
      </c>
      <c r="E129" s="797">
        <f t="shared" si="12"/>
        <v>0</v>
      </c>
      <c r="F129" s="797">
        <v>0</v>
      </c>
      <c r="G129" s="797">
        <v>0</v>
      </c>
      <c r="H129" s="787">
        <f t="shared" si="13"/>
        <v>0</v>
      </c>
      <c r="I129" s="797">
        <v>0</v>
      </c>
      <c r="J129" s="797">
        <v>0</v>
      </c>
      <c r="K129" s="797">
        <f t="shared" si="8"/>
        <v>0</v>
      </c>
      <c r="L129" s="798">
        <v>0</v>
      </c>
      <c r="M129" s="798">
        <v>0</v>
      </c>
      <c r="N129" s="798">
        <v>0</v>
      </c>
      <c r="O129" s="798">
        <v>0</v>
      </c>
      <c r="P129" s="798">
        <v>0</v>
      </c>
      <c r="Q129" s="798">
        <v>0</v>
      </c>
      <c r="R129" s="798">
        <v>0</v>
      </c>
      <c r="S129" s="798">
        <v>0</v>
      </c>
      <c r="T129" s="793"/>
      <c r="U129" s="789"/>
      <c r="V129" s="794"/>
      <c r="W129" s="795"/>
      <c r="X129" s="799"/>
    </row>
    <row r="130" spans="1:24" x14ac:dyDescent="0.2">
      <c r="A130" s="544">
        <v>118</v>
      </c>
      <c r="B130" s="546" t="s">
        <v>248</v>
      </c>
      <c r="C130" s="113" t="s">
        <v>249</v>
      </c>
      <c r="D130" s="797">
        <f t="shared" si="10"/>
        <v>0</v>
      </c>
      <c r="E130" s="797">
        <f t="shared" si="12"/>
        <v>0</v>
      </c>
      <c r="F130" s="797">
        <v>0</v>
      </c>
      <c r="G130" s="797">
        <v>0</v>
      </c>
      <c r="H130" s="787">
        <f t="shared" si="13"/>
        <v>0</v>
      </c>
      <c r="I130" s="797">
        <v>0</v>
      </c>
      <c r="J130" s="797">
        <v>0</v>
      </c>
      <c r="K130" s="797">
        <f t="shared" si="8"/>
        <v>0</v>
      </c>
      <c r="L130" s="798">
        <v>0</v>
      </c>
      <c r="M130" s="798">
        <v>0</v>
      </c>
      <c r="N130" s="798">
        <v>0</v>
      </c>
      <c r="O130" s="798">
        <v>0</v>
      </c>
      <c r="P130" s="798">
        <v>0</v>
      </c>
      <c r="Q130" s="798">
        <v>0</v>
      </c>
      <c r="R130" s="798">
        <v>0</v>
      </c>
      <c r="S130" s="798">
        <v>0</v>
      </c>
      <c r="T130" s="793"/>
      <c r="U130" s="789"/>
      <c r="V130" s="794"/>
      <c r="W130" s="795"/>
      <c r="X130" s="799"/>
    </row>
    <row r="131" spans="1:24" x14ac:dyDescent="0.2">
      <c r="A131" s="544">
        <v>119</v>
      </c>
      <c r="B131" s="112" t="s">
        <v>250</v>
      </c>
      <c r="C131" s="545" t="s">
        <v>251</v>
      </c>
      <c r="D131" s="797">
        <f t="shared" si="10"/>
        <v>1346</v>
      </c>
      <c r="E131" s="797">
        <f t="shared" si="12"/>
        <v>0</v>
      </c>
      <c r="F131" s="798">
        <v>0</v>
      </c>
      <c r="G131" s="798">
        <v>0</v>
      </c>
      <c r="H131" s="787">
        <f t="shared" si="13"/>
        <v>0</v>
      </c>
      <c r="I131" s="798">
        <v>0</v>
      </c>
      <c r="J131" s="798">
        <v>0</v>
      </c>
      <c r="K131" s="797">
        <f t="shared" si="8"/>
        <v>1346</v>
      </c>
      <c r="L131" s="798">
        <v>0</v>
      </c>
      <c r="M131" s="798">
        <v>0</v>
      </c>
      <c r="N131" s="798">
        <v>8</v>
      </c>
      <c r="O131" s="798">
        <v>1338</v>
      </c>
      <c r="P131" s="798">
        <v>0</v>
      </c>
      <c r="Q131" s="798">
        <v>0</v>
      </c>
      <c r="R131" s="798">
        <v>0</v>
      </c>
      <c r="S131" s="798">
        <v>0</v>
      </c>
      <c r="T131" s="793"/>
      <c r="U131" s="789"/>
      <c r="V131" s="794"/>
      <c r="W131" s="795"/>
      <c r="X131" s="799"/>
    </row>
    <row r="132" spans="1:24" x14ac:dyDescent="0.2">
      <c r="A132" s="544">
        <v>120</v>
      </c>
      <c r="B132" s="546" t="s">
        <v>252</v>
      </c>
      <c r="C132" s="545" t="s">
        <v>253</v>
      </c>
      <c r="D132" s="797">
        <f t="shared" si="10"/>
        <v>0</v>
      </c>
      <c r="E132" s="797">
        <f t="shared" si="12"/>
        <v>0</v>
      </c>
      <c r="F132" s="798">
        <v>0</v>
      </c>
      <c r="G132" s="798">
        <v>0</v>
      </c>
      <c r="H132" s="787">
        <f t="shared" si="13"/>
        <v>0</v>
      </c>
      <c r="I132" s="798">
        <v>0</v>
      </c>
      <c r="J132" s="798">
        <v>0</v>
      </c>
      <c r="K132" s="797">
        <f t="shared" si="8"/>
        <v>0</v>
      </c>
      <c r="L132" s="798">
        <v>0</v>
      </c>
      <c r="M132" s="798">
        <v>0</v>
      </c>
      <c r="N132" s="798">
        <v>0</v>
      </c>
      <c r="O132" s="798">
        <v>0</v>
      </c>
      <c r="P132" s="798">
        <v>0</v>
      </c>
      <c r="Q132" s="798">
        <v>0</v>
      </c>
      <c r="R132" s="798">
        <v>0</v>
      </c>
      <c r="S132" s="798">
        <v>0</v>
      </c>
      <c r="T132" s="793"/>
      <c r="U132" s="789"/>
      <c r="V132" s="794"/>
      <c r="W132" s="795"/>
      <c r="X132" s="799"/>
    </row>
    <row r="133" spans="1:24" x14ac:dyDescent="0.2">
      <c r="A133" s="544">
        <v>121</v>
      </c>
      <c r="B133" s="547" t="s">
        <v>254</v>
      </c>
      <c r="C133" s="113" t="s">
        <v>255</v>
      </c>
      <c r="D133" s="797">
        <f t="shared" si="10"/>
        <v>9128</v>
      </c>
      <c r="E133" s="797">
        <f t="shared" si="12"/>
        <v>0</v>
      </c>
      <c r="F133" s="798">
        <v>0</v>
      </c>
      <c r="G133" s="798">
        <v>0</v>
      </c>
      <c r="H133" s="787">
        <f t="shared" si="13"/>
        <v>0</v>
      </c>
      <c r="I133" s="798">
        <v>0</v>
      </c>
      <c r="J133" s="798">
        <v>0</v>
      </c>
      <c r="K133" s="797">
        <f t="shared" si="8"/>
        <v>9128</v>
      </c>
      <c r="L133" s="798">
        <v>0</v>
      </c>
      <c r="M133" s="798">
        <v>0</v>
      </c>
      <c r="N133" s="798">
        <v>0</v>
      </c>
      <c r="O133" s="798">
        <v>9128</v>
      </c>
      <c r="P133" s="798">
        <v>0</v>
      </c>
      <c r="Q133" s="798">
        <v>0</v>
      </c>
      <c r="R133" s="798">
        <v>0</v>
      </c>
      <c r="S133" s="798">
        <v>0</v>
      </c>
      <c r="T133" s="793"/>
      <c r="U133" s="789"/>
      <c r="V133" s="794"/>
      <c r="W133" s="795"/>
      <c r="X133" s="799"/>
    </row>
    <row r="134" spans="1:24" x14ac:dyDescent="0.2">
      <c r="A134" s="544">
        <v>122</v>
      </c>
      <c r="B134" s="547" t="s">
        <v>256</v>
      </c>
      <c r="C134" s="113" t="s">
        <v>257</v>
      </c>
      <c r="D134" s="797">
        <f t="shared" si="10"/>
        <v>0</v>
      </c>
      <c r="E134" s="797">
        <f t="shared" si="12"/>
        <v>0</v>
      </c>
      <c r="F134" s="798">
        <v>0</v>
      </c>
      <c r="G134" s="798">
        <v>0</v>
      </c>
      <c r="H134" s="787">
        <f t="shared" si="13"/>
        <v>0</v>
      </c>
      <c r="I134" s="798">
        <v>0</v>
      </c>
      <c r="J134" s="798">
        <v>0</v>
      </c>
      <c r="K134" s="797">
        <f t="shared" si="8"/>
        <v>0</v>
      </c>
      <c r="L134" s="798">
        <v>0</v>
      </c>
      <c r="M134" s="798">
        <v>0</v>
      </c>
      <c r="N134" s="798">
        <v>0</v>
      </c>
      <c r="O134" s="798">
        <v>0</v>
      </c>
      <c r="P134" s="798">
        <v>0</v>
      </c>
      <c r="Q134" s="798">
        <v>0</v>
      </c>
      <c r="R134" s="798">
        <v>0</v>
      </c>
      <c r="S134" s="798">
        <v>0</v>
      </c>
      <c r="T134" s="793"/>
      <c r="U134" s="789"/>
      <c r="V134" s="794"/>
      <c r="W134" s="795"/>
      <c r="X134" s="799"/>
    </row>
    <row r="135" spans="1:24" x14ac:dyDescent="0.2">
      <c r="A135" s="544">
        <v>123</v>
      </c>
      <c r="B135" s="547" t="s">
        <v>258</v>
      </c>
      <c r="C135" s="113" t="s">
        <v>259</v>
      </c>
      <c r="D135" s="797">
        <f t="shared" si="10"/>
        <v>223331</v>
      </c>
      <c r="E135" s="797">
        <f t="shared" si="12"/>
        <v>0</v>
      </c>
      <c r="F135" s="798">
        <v>0</v>
      </c>
      <c r="G135" s="798">
        <v>0</v>
      </c>
      <c r="H135" s="787">
        <f t="shared" si="13"/>
        <v>0</v>
      </c>
      <c r="I135" s="798">
        <v>0</v>
      </c>
      <c r="J135" s="798">
        <v>0</v>
      </c>
      <c r="K135" s="797">
        <f t="shared" si="8"/>
        <v>223331</v>
      </c>
      <c r="L135" s="798">
        <v>0</v>
      </c>
      <c r="M135" s="798">
        <v>0</v>
      </c>
      <c r="N135" s="798">
        <v>0</v>
      </c>
      <c r="O135" s="798">
        <v>223331</v>
      </c>
      <c r="P135" s="798">
        <v>0</v>
      </c>
      <c r="Q135" s="798">
        <v>0</v>
      </c>
      <c r="R135" s="798">
        <v>0</v>
      </c>
      <c r="S135" s="798">
        <v>0</v>
      </c>
      <c r="T135" s="793"/>
      <c r="U135" s="789"/>
      <c r="V135" s="794"/>
      <c r="W135" s="795"/>
      <c r="X135" s="799"/>
    </row>
    <row r="136" spans="1:24" x14ac:dyDescent="0.2">
      <c r="A136" s="544">
        <v>124</v>
      </c>
      <c r="B136" s="547" t="s">
        <v>260</v>
      </c>
      <c r="C136" s="113" t="s">
        <v>261</v>
      </c>
      <c r="D136" s="797">
        <f t="shared" si="10"/>
        <v>180471</v>
      </c>
      <c r="E136" s="797">
        <f t="shared" si="12"/>
        <v>0</v>
      </c>
      <c r="F136" s="798">
        <v>0</v>
      </c>
      <c r="G136" s="798">
        <v>0</v>
      </c>
      <c r="H136" s="787">
        <f t="shared" si="13"/>
        <v>0</v>
      </c>
      <c r="I136" s="798">
        <v>0</v>
      </c>
      <c r="J136" s="798">
        <v>0</v>
      </c>
      <c r="K136" s="797">
        <f t="shared" si="8"/>
        <v>180471</v>
      </c>
      <c r="L136" s="798">
        <v>0</v>
      </c>
      <c r="M136" s="798">
        <v>0</v>
      </c>
      <c r="N136" s="798">
        <v>0</v>
      </c>
      <c r="O136" s="798">
        <v>180471</v>
      </c>
      <c r="P136" s="798">
        <v>0</v>
      </c>
      <c r="Q136" s="798">
        <v>0</v>
      </c>
      <c r="R136" s="798">
        <v>0</v>
      </c>
      <c r="S136" s="798">
        <v>0</v>
      </c>
      <c r="T136" s="793"/>
      <c r="U136" s="789"/>
      <c r="V136" s="794"/>
      <c r="W136" s="795"/>
      <c r="X136" s="799"/>
    </row>
    <row r="137" spans="1:24" x14ac:dyDescent="0.2">
      <c r="A137" s="544">
        <v>125</v>
      </c>
      <c r="B137" s="547" t="s">
        <v>262</v>
      </c>
      <c r="C137" s="113" t="s">
        <v>263</v>
      </c>
      <c r="D137" s="797">
        <f t="shared" si="10"/>
        <v>90000</v>
      </c>
      <c r="E137" s="797">
        <f t="shared" si="12"/>
        <v>0</v>
      </c>
      <c r="F137" s="798">
        <v>0</v>
      </c>
      <c r="G137" s="798">
        <v>0</v>
      </c>
      <c r="H137" s="787">
        <f t="shared" si="13"/>
        <v>0</v>
      </c>
      <c r="I137" s="798">
        <v>0</v>
      </c>
      <c r="J137" s="798">
        <v>0</v>
      </c>
      <c r="K137" s="797">
        <f t="shared" si="8"/>
        <v>90000</v>
      </c>
      <c r="L137" s="798">
        <v>0</v>
      </c>
      <c r="M137" s="798">
        <v>0</v>
      </c>
      <c r="N137" s="798">
        <v>0</v>
      </c>
      <c r="O137" s="798">
        <v>90000</v>
      </c>
      <c r="P137" s="798">
        <v>0</v>
      </c>
      <c r="Q137" s="798">
        <v>0</v>
      </c>
      <c r="R137" s="798">
        <v>0</v>
      </c>
      <c r="S137" s="798">
        <v>0</v>
      </c>
      <c r="T137" s="793"/>
      <c r="U137" s="789"/>
      <c r="V137" s="794"/>
      <c r="W137" s="795"/>
      <c r="X137" s="799"/>
    </row>
    <row r="138" spans="1:24" x14ac:dyDescent="0.2">
      <c r="A138" s="544">
        <v>126</v>
      </c>
      <c r="B138" s="112" t="s">
        <v>264</v>
      </c>
      <c r="C138" s="545" t="s">
        <v>265</v>
      </c>
      <c r="D138" s="797">
        <f t="shared" si="10"/>
        <v>108366</v>
      </c>
      <c r="E138" s="797">
        <f t="shared" si="12"/>
        <v>0</v>
      </c>
      <c r="F138" s="798">
        <v>0</v>
      </c>
      <c r="G138" s="798">
        <v>0</v>
      </c>
      <c r="H138" s="787">
        <f t="shared" si="13"/>
        <v>0</v>
      </c>
      <c r="I138" s="798">
        <v>0</v>
      </c>
      <c r="J138" s="798">
        <v>0</v>
      </c>
      <c r="K138" s="797">
        <f t="shared" si="8"/>
        <v>108366</v>
      </c>
      <c r="L138" s="798">
        <v>0</v>
      </c>
      <c r="M138" s="798">
        <v>0</v>
      </c>
      <c r="N138" s="798">
        <v>0</v>
      </c>
      <c r="O138" s="798">
        <v>108165</v>
      </c>
      <c r="P138" s="798">
        <v>0</v>
      </c>
      <c r="Q138" s="798">
        <v>0</v>
      </c>
      <c r="R138" s="798">
        <v>201</v>
      </c>
      <c r="S138" s="798">
        <v>0</v>
      </c>
      <c r="T138" s="793"/>
      <c r="U138" s="789"/>
      <c r="V138" s="794"/>
      <c r="W138" s="795"/>
      <c r="X138" s="799"/>
    </row>
    <row r="139" spans="1:24" x14ac:dyDescent="0.2">
      <c r="A139" s="544">
        <v>127</v>
      </c>
      <c r="B139" s="112" t="s">
        <v>266</v>
      </c>
      <c r="C139" s="113" t="s">
        <v>267</v>
      </c>
      <c r="D139" s="797">
        <f t="shared" si="10"/>
        <v>87522</v>
      </c>
      <c r="E139" s="797">
        <f t="shared" si="12"/>
        <v>0</v>
      </c>
      <c r="F139" s="798">
        <v>0</v>
      </c>
      <c r="G139" s="798">
        <v>0</v>
      </c>
      <c r="H139" s="787">
        <f t="shared" si="13"/>
        <v>0</v>
      </c>
      <c r="I139" s="798">
        <v>0</v>
      </c>
      <c r="J139" s="798">
        <v>0</v>
      </c>
      <c r="K139" s="797">
        <f t="shared" ref="K139:K152" si="14">SUM(L139:R139)</f>
        <v>87522</v>
      </c>
      <c r="L139" s="798">
        <v>0</v>
      </c>
      <c r="M139" s="798">
        <v>0</v>
      </c>
      <c r="N139" s="798">
        <v>0</v>
      </c>
      <c r="O139" s="798">
        <v>75721</v>
      </c>
      <c r="P139" s="798">
        <v>0</v>
      </c>
      <c r="Q139" s="798">
        <v>11801</v>
      </c>
      <c r="R139" s="798">
        <v>0</v>
      </c>
      <c r="S139" s="798">
        <v>0</v>
      </c>
      <c r="T139" s="793"/>
      <c r="U139" s="789"/>
      <c r="V139" s="794"/>
      <c r="W139" s="795"/>
      <c r="X139" s="799"/>
    </row>
    <row r="140" spans="1:24" x14ac:dyDescent="0.2">
      <c r="A140" s="544">
        <v>128</v>
      </c>
      <c r="B140" s="548" t="s">
        <v>268</v>
      </c>
      <c r="C140" s="120" t="s">
        <v>269</v>
      </c>
      <c r="D140" s="797">
        <f t="shared" si="10"/>
        <v>60775</v>
      </c>
      <c r="E140" s="797">
        <f t="shared" si="12"/>
        <v>0</v>
      </c>
      <c r="F140" s="798">
        <v>0</v>
      </c>
      <c r="G140" s="798">
        <v>0</v>
      </c>
      <c r="H140" s="787">
        <f t="shared" si="13"/>
        <v>0</v>
      </c>
      <c r="I140" s="798">
        <v>0</v>
      </c>
      <c r="J140" s="798">
        <v>0</v>
      </c>
      <c r="K140" s="797">
        <f t="shared" si="14"/>
        <v>60775</v>
      </c>
      <c r="L140" s="798">
        <v>0</v>
      </c>
      <c r="M140" s="798">
        <v>0</v>
      </c>
      <c r="N140" s="798">
        <v>0</v>
      </c>
      <c r="O140" s="798">
        <v>36644</v>
      </c>
      <c r="P140" s="798">
        <v>0</v>
      </c>
      <c r="Q140" s="798">
        <v>24131</v>
      </c>
      <c r="R140" s="798">
        <v>0</v>
      </c>
      <c r="S140" s="798">
        <v>0</v>
      </c>
      <c r="T140" s="793"/>
      <c r="U140" s="789"/>
      <c r="V140" s="794"/>
      <c r="W140" s="795"/>
      <c r="X140" s="799"/>
    </row>
    <row r="141" spans="1:24" x14ac:dyDescent="0.2">
      <c r="A141" s="544">
        <v>129</v>
      </c>
      <c r="B141" s="547" t="s">
        <v>270</v>
      </c>
      <c r="C141" s="113" t="s">
        <v>271</v>
      </c>
      <c r="D141" s="797">
        <f t="shared" si="10"/>
        <v>78000</v>
      </c>
      <c r="E141" s="797">
        <f t="shared" si="12"/>
        <v>0</v>
      </c>
      <c r="F141" s="798">
        <v>0</v>
      </c>
      <c r="G141" s="798">
        <v>0</v>
      </c>
      <c r="H141" s="787">
        <f t="shared" si="13"/>
        <v>0</v>
      </c>
      <c r="I141" s="798">
        <v>0</v>
      </c>
      <c r="J141" s="798">
        <v>0</v>
      </c>
      <c r="K141" s="797">
        <f t="shared" si="14"/>
        <v>78000</v>
      </c>
      <c r="L141" s="798">
        <v>0</v>
      </c>
      <c r="M141" s="798">
        <v>0</v>
      </c>
      <c r="N141" s="798">
        <v>0</v>
      </c>
      <c r="O141" s="798">
        <v>78000</v>
      </c>
      <c r="P141" s="798">
        <v>0</v>
      </c>
      <c r="Q141" s="798">
        <v>0</v>
      </c>
      <c r="R141" s="798">
        <v>0</v>
      </c>
      <c r="S141" s="798">
        <v>0</v>
      </c>
      <c r="T141" s="793"/>
      <c r="U141" s="789"/>
      <c r="V141" s="794"/>
      <c r="W141" s="795"/>
      <c r="X141" s="799"/>
    </row>
    <row r="142" spans="1:24" x14ac:dyDescent="0.2">
      <c r="A142" s="544">
        <v>130</v>
      </c>
      <c r="B142" s="547" t="s">
        <v>272</v>
      </c>
      <c r="C142" s="113" t="s">
        <v>273</v>
      </c>
      <c r="D142" s="797">
        <f t="shared" si="10"/>
        <v>12669</v>
      </c>
      <c r="E142" s="797">
        <f t="shared" si="12"/>
        <v>0</v>
      </c>
      <c r="F142" s="798">
        <v>0</v>
      </c>
      <c r="G142" s="798">
        <v>0</v>
      </c>
      <c r="H142" s="787">
        <f t="shared" si="13"/>
        <v>0</v>
      </c>
      <c r="I142" s="798">
        <v>0</v>
      </c>
      <c r="J142" s="798">
        <v>0</v>
      </c>
      <c r="K142" s="797">
        <f t="shared" si="14"/>
        <v>12669</v>
      </c>
      <c r="L142" s="798">
        <v>0</v>
      </c>
      <c r="M142" s="798">
        <v>0</v>
      </c>
      <c r="N142" s="798">
        <v>0</v>
      </c>
      <c r="O142" s="798">
        <v>182</v>
      </c>
      <c r="P142" s="798">
        <v>0</v>
      </c>
      <c r="Q142" s="798">
        <v>12487</v>
      </c>
      <c r="R142" s="798">
        <v>0</v>
      </c>
      <c r="S142" s="798">
        <v>0</v>
      </c>
      <c r="T142" s="793"/>
      <c r="U142" s="789"/>
      <c r="V142" s="794"/>
      <c r="W142" s="795"/>
      <c r="X142" s="799"/>
    </row>
    <row r="143" spans="1:24" x14ac:dyDescent="0.2">
      <c r="A143" s="544">
        <v>131</v>
      </c>
      <c r="B143" s="547" t="s">
        <v>274</v>
      </c>
      <c r="C143" s="113" t="s">
        <v>275</v>
      </c>
      <c r="D143" s="797">
        <f t="shared" si="10"/>
        <v>57269</v>
      </c>
      <c r="E143" s="797">
        <f t="shared" si="12"/>
        <v>0</v>
      </c>
      <c r="F143" s="798">
        <v>0</v>
      </c>
      <c r="G143" s="798">
        <v>0</v>
      </c>
      <c r="H143" s="787">
        <f t="shared" si="13"/>
        <v>0</v>
      </c>
      <c r="I143" s="798">
        <v>0</v>
      </c>
      <c r="J143" s="798">
        <v>0</v>
      </c>
      <c r="K143" s="797">
        <f t="shared" si="14"/>
        <v>57269</v>
      </c>
      <c r="L143" s="798">
        <v>0</v>
      </c>
      <c r="M143" s="798">
        <v>0</v>
      </c>
      <c r="N143" s="798">
        <v>0</v>
      </c>
      <c r="O143" s="798">
        <v>57269</v>
      </c>
      <c r="P143" s="798">
        <v>0</v>
      </c>
      <c r="Q143" s="798">
        <v>0</v>
      </c>
      <c r="R143" s="798">
        <v>0</v>
      </c>
      <c r="S143" s="798">
        <v>0</v>
      </c>
      <c r="T143" s="793"/>
      <c r="U143" s="789"/>
      <c r="V143" s="794"/>
      <c r="W143" s="795"/>
      <c r="X143" s="799"/>
    </row>
    <row r="144" spans="1:24" x14ac:dyDescent="0.2">
      <c r="A144" s="544">
        <v>132</v>
      </c>
      <c r="B144" s="548" t="s">
        <v>276</v>
      </c>
      <c r="C144" s="120" t="s">
        <v>277</v>
      </c>
      <c r="D144" s="797">
        <f t="shared" si="10"/>
        <v>89406</v>
      </c>
      <c r="E144" s="797">
        <f t="shared" si="12"/>
        <v>4023</v>
      </c>
      <c r="F144" s="798">
        <v>4023</v>
      </c>
      <c r="G144" s="798">
        <v>0</v>
      </c>
      <c r="H144" s="787">
        <f t="shared" si="13"/>
        <v>26251</v>
      </c>
      <c r="I144" s="798">
        <v>26251</v>
      </c>
      <c r="J144" s="798">
        <v>0</v>
      </c>
      <c r="K144" s="797">
        <f t="shared" si="14"/>
        <v>59132</v>
      </c>
      <c r="L144" s="798">
        <v>6642</v>
      </c>
      <c r="M144" s="798">
        <v>906</v>
      </c>
      <c r="N144" s="798">
        <v>27389</v>
      </c>
      <c r="O144" s="798">
        <v>15221</v>
      </c>
      <c r="P144" s="798">
        <v>0</v>
      </c>
      <c r="Q144" s="798">
        <v>7770</v>
      </c>
      <c r="R144" s="798">
        <v>1204</v>
      </c>
      <c r="S144" s="798">
        <v>18823</v>
      </c>
      <c r="T144" s="793"/>
      <c r="U144" s="789"/>
      <c r="V144" s="794"/>
      <c r="W144" s="795"/>
      <c r="X144" s="799"/>
    </row>
    <row r="145" spans="1:24" x14ac:dyDescent="0.2">
      <c r="A145" s="544">
        <v>133</v>
      </c>
      <c r="B145" s="546" t="s">
        <v>278</v>
      </c>
      <c r="C145" s="120" t="s">
        <v>279</v>
      </c>
      <c r="D145" s="797">
        <f t="shared" si="10"/>
        <v>228202</v>
      </c>
      <c r="E145" s="797">
        <f t="shared" si="12"/>
        <v>27037</v>
      </c>
      <c r="F145" s="798">
        <v>5500</v>
      </c>
      <c r="G145" s="798">
        <v>21537</v>
      </c>
      <c r="H145" s="787">
        <f t="shared" si="13"/>
        <v>35662</v>
      </c>
      <c r="I145" s="798">
        <v>35547</v>
      </c>
      <c r="J145" s="798">
        <v>115</v>
      </c>
      <c r="K145" s="797">
        <f t="shared" si="14"/>
        <v>165503</v>
      </c>
      <c r="L145" s="798">
        <v>8859</v>
      </c>
      <c r="M145" s="798">
        <v>1095</v>
      </c>
      <c r="N145" s="798">
        <v>27104</v>
      </c>
      <c r="O145" s="798">
        <v>61518</v>
      </c>
      <c r="P145" s="798">
        <v>2770</v>
      </c>
      <c r="Q145" s="798">
        <v>61848</v>
      </c>
      <c r="R145" s="798">
        <v>2309</v>
      </c>
      <c r="S145" s="798">
        <v>23564</v>
      </c>
      <c r="T145" s="793"/>
      <c r="U145" s="789"/>
      <c r="V145" s="794"/>
      <c r="W145" s="795"/>
      <c r="X145" s="799"/>
    </row>
    <row r="146" spans="1:24" x14ac:dyDescent="0.2">
      <c r="A146" s="544">
        <v>134</v>
      </c>
      <c r="B146" s="547" t="s">
        <v>280</v>
      </c>
      <c r="C146" s="113" t="s">
        <v>281</v>
      </c>
      <c r="D146" s="797">
        <f t="shared" si="10"/>
        <v>3003</v>
      </c>
      <c r="E146" s="797">
        <f t="shared" si="12"/>
        <v>0</v>
      </c>
      <c r="F146" s="798">
        <v>0</v>
      </c>
      <c r="G146" s="798">
        <v>0</v>
      </c>
      <c r="H146" s="787">
        <f t="shared" si="13"/>
        <v>0</v>
      </c>
      <c r="I146" s="798">
        <v>0</v>
      </c>
      <c r="J146" s="798">
        <v>0</v>
      </c>
      <c r="K146" s="797">
        <f t="shared" si="14"/>
        <v>3003</v>
      </c>
      <c r="L146" s="798">
        <v>0</v>
      </c>
      <c r="M146" s="798">
        <v>0</v>
      </c>
      <c r="N146" s="798">
        <v>0</v>
      </c>
      <c r="O146" s="798">
        <v>3003</v>
      </c>
      <c r="P146" s="798">
        <v>0</v>
      </c>
      <c r="Q146" s="798">
        <v>0</v>
      </c>
      <c r="R146" s="798">
        <v>0</v>
      </c>
      <c r="S146" s="798">
        <v>0</v>
      </c>
      <c r="T146" s="793"/>
      <c r="U146" s="789"/>
      <c r="V146" s="794"/>
      <c r="W146" s="795"/>
      <c r="X146" s="799"/>
    </row>
    <row r="147" spans="1:24" x14ac:dyDescent="0.2">
      <c r="A147" s="544">
        <v>135</v>
      </c>
      <c r="B147" s="112" t="s">
        <v>282</v>
      </c>
      <c r="C147" s="545" t="s">
        <v>283</v>
      </c>
      <c r="D147" s="797">
        <f t="shared" si="10"/>
        <v>15234</v>
      </c>
      <c r="E147" s="797">
        <f t="shared" si="12"/>
        <v>0</v>
      </c>
      <c r="F147" s="798">
        <v>0</v>
      </c>
      <c r="G147" s="798">
        <v>0</v>
      </c>
      <c r="H147" s="787">
        <f t="shared" si="13"/>
        <v>0</v>
      </c>
      <c r="I147" s="798">
        <v>0</v>
      </c>
      <c r="J147" s="798">
        <v>0</v>
      </c>
      <c r="K147" s="797">
        <f t="shared" si="14"/>
        <v>15234</v>
      </c>
      <c r="L147" s="798">
        <v>0</v>
      </c>
      <c r="M147" s="798">
        <v>0</v>
      </c>
      <c r="N147" s="798">
        <v>0</v>
      </c>
      <c r="O147" s="798">
        <v>15234</v>
      </c>
      <c r="P147" s="798">
        <v>0</v>
      </c>
      <c r="Q147" s="798">
        <v>0</v>
      </c>
      <c r="R147" s="798">
        <v>0</v>
      </c>
      <c r="S147" s="798">
        <v>0</v>
      </c>
      <c r="T147" s="793"/>
      <c r="U147" s="789"/>
      <c r="V147" s="794"/>
      <c r="W147" s="795"/>
      <c r="X147" s="799"/>
    </row>
    <row r="148" spans="1:24" ht="24" x14ac:dyDescent="0.2">
      <c r="A148" s="544">
        <v>136</v>
      </c>
      <c r="B148" s="547" t="s">
        <v>284</v>
      </c>
      <c r="C148" s="113" t="s">
        <v>285</v>
      </c>
      <c r="D148" s="797">
        <f t="shared" si="10"/>
        <v>0</v>
      </c>
      <c r="E148" s="797">
        <f t="shared" si="12"/>
        <v>0</v>
      </c>
      <c r="F148" s="798">
        <v>0</v>
      </c>
      <c r="G148" s="798">
        <v>0</v>
      </c>
      <c r="H148" s="787">
        <f t="shared" si="13"/>
        <v>0</v>
      </c>
      <c r="I148" s="798">
        <v>0</v>
      </c>
      <c r="J148" s="798">
        <v>0</v>
      </c>
      <c r="K148" s="797">
        <f t="shared" si="14"/>
        <v>0</v>
      </c>
      <c r="L148" s="798">
        <v>0</v>
      </c>
      <c r="M148" s="798">
        <v>0</v>
      </c>
      <c r="N148" s="798">
        <v>0</v>
      </c>
      <c r="O148" s="798">
        <v>0</v>
      </c>
      <c r="P148" s="798">
        <v>0</v>
      </c>
      <c r="Q148" s="798">
        <v>0</v>
      </c>
      <c r="R148" s="798">
        <v>0</v>
      </c>
      <c r="S148" s="798">
        <v>0</v>
      </c>
      <c r="T148" s="793"/>
      <c r="U148" s="789"/>
      <c r="V148" s="794"/>
      <c r="W148" s="795"/>
      <c r="X148" s="799"/>
    </row>
    <row r="149" spans="1:24" x14ac:dyDescent="0.2">
      <c r="A149" s="544">
        <v>137</v>
      </c>
      <c r="B149" s="556" t="s">
        <v>387</v>
      </c>
      <c r="C149" s="557" t="s">
        <v>388</v>
      </c>
      <c r="D149" s="797">
        <f t="shared" si="10"/>
        <v>0</v>
      </c>
      <c r="E149" s="797">
        <f t="shared" si="12"/>
        <v>0</v>
      </c>
      <c r="F149" s="801">
        <v>0</v>
      </c>
      <c r="G149" s="801">
        <v>0</v>
      </c>
      <c r="H149" s="787">
        <f t="shared" si="13"/>
        <v>0</v>
      </c>
      <c r="I149" s="801">
        <v>0</v>
      </c>
      <c r="J149" s="801">
        <v>0</v>
      </c>
      <c r="K149" s="797">
        <f t="shared" si="14"/>
        <v>0</v>
      </c>
      <c r="L149" s="801">
        <v>0</v>
      </c>
      <c r="M149" s="801"/>
      <c r="N149" s="798">
        <v>0</v>
      </c>
      <c r="O149" s="798">
        <v>0</v>
      </c>
      <c r="P149" s="798">
        <v>0</v>
      </c>
      <c r="Q149" s="798">
        <v>0</v>
      </c>
      <c r="R149" s="798">
        <v>0</v>
      </c>
      <c r="S149" s="798">
        <v>0</v>
      </c>
      <c r="T149" s="793"/>
      <c r="U149" s="789"/>
      <c r="V149" s="794"/>
      <c r="W149" s="795"/>
      <c r="X149" s="799"/>
    </row>
    <row r="150" spans="1:24" x14ac:dyDescent="0.2">
      <c r="A150" s="544">
        <v>138</v>
      </c>
      <c r="B150" s="558" t="s">
        <v>389</v>
      </c>
      <c r="C150" s="559" t="s">
        <v>390</v>
      </c>
      <c r="D150" s="797">
        <f t="shared" ref="D150:D152" si="15">E150+H150+K150</f>
        <v>0</v>
      </c>
      <c r="E150" s="797">
        <f t="shared" si="12"/>
        <v>0</v>
      </c>
      <c r="F150" s="801">
        <v>0</v>
      </c>
      <c r="G150" s="801">
        <v>0</v>
      </c>
      <c r="H150" s="787">
        <f t="shared" si="13"/>
        <v>0</v>
      </c>
      <c r="I150" s="801">
        <v>0</v>
      </c>
      <c r="J150" s="801">
        <v>0</v>
      </c>
      <c r="K150" s="797">
        <f t="shared" si="14"/>
        <v>0</v>
      </c>
      <c r="L150" s="801">
        <v>0</v>
      </c>
      <c r="M150" s="801"/>
      <c r="N150" s="798">
        <v>0</v>
      </c>
      <c r="O150" s="798">
        <v>0</v>
      </c>
      <c r="P150" s="798">
        <v>0</v>
      </c>
      <c r="Q150" s="798">
        <v>0</v>
      </c>
      <c r="R150" s="798">
        <v>0</v>
      </c>
      <c r="S150" s="798">
        <v>0</v>
      </c>
      <c r="T150" s="793"/>
      <c r="U150" s="789"/>
      <c r="V150" s="794"/>
      <c r="W150" s="795"/>
      <c r="X150" s="799"/>
    </row>
    <row r="151" spans="1:24" x14ac:dyDescent="0.2">
      <c r="A151" s="544">
        <v>139</v>
      </c>
      <c r="B151" s="560" t="s">
        <v>391</v>
      </c>
      <c r="C151" s="561" t="s">
        <v>392</v>
      </c>
      <c r="D151" s="797">
        <f t="shared" si="15"/>
        <v>0</v>
      </c>
      <c r="E151" s="797">
        <f t="shared" si="12"/>
        <v>0</v>
      </c>
      <c r="F151" s="801">
        <v>0</v>
      </c>
      <c r="G151" s="801">
        <v>0</v>
      </c>
      <c r="H151" s="787">
        <f t="shared" si="13"/>
        <v>0</v>
      </c>
      <c r="I151" s="801">
        <v>0</v>
      </c>
      <c r="J151" s="801">
        <v>0</v>
      </c>
      <c r="K151" s="797">
        <f t="shared" si="14"/>
        <v>0</v>
      </c>
      <c r="L151" s="801">
        <v>0</v>
      </c>
      <c r="M151" s="801"/>
      <c r="N151" s="798">
        <v>0</v>
      </c>
      <c r="O151" s="798">
        <v>0</v>
      </c>
      <c r="P151" s="798">
        <v>0</v>
      </c>
      <c r="Q151" s="798">
        <v>0</v>
      </c>
      <c r="R151" s="798">
        <v>0</v>
      </c>
      <c r="S151" s="798">
        <v>0</v>
      </c>
      <c r="T151" s="793"/>
      <c r="U151" s="789"/>
      <c r="V151" s="794"/>
      <c r="W151" s="795"/>
      <c r="X151" s="799"/>
    </row>
    <row r="152" spans="1:24" x14ac:dyDescent="0.2">
      <c r="A152" s="544">
        <v>140</v>
      </c>
      <c r="B152" s="544" t="s">
        <v>393</v>
      </c>
      <c r="C152" s="562" t="s">
        <v>394</v>
      </c>
      <c r="D152" s="797">
        <f t="shared" si="15"/>
        <v>0</v>
      </c>
      <c r="E152" s="797">
        <f t="shared" si="12"/>
        <v>0</v>
      </c>
      <c r="F152" s="801">
        <v>0</v>
      </c>
      <c r="G152" s="801">
        <v>0</v>
      </c>
      <c r="H152" s="787">
        <f t="shared" si="13"/>
        <v>0</v>
      </c>
      <c r="I152" s="801">
        <v>0</v>
      </c>
      <c r="J152" s="801">
        <v>0</v>
      </c>
      <c r="K152" s="797">
        <f t="shared" si="14"/>
        <v>0</v>
      </c>
      <c r="L152" s="801">
        <v>0</v>
      </c>
      <c r="M152" s="801"/>
      <c r="N152" s="798">
        <v>0</v>
      </c>
      <c r="O152" s="798">
        <v>0</v>
      </c>
      <c r="P152" s="798">
        <v>0</v>
      </c>
      <c r="Q152" s="798">
        <v>0</v>
      </c>
      <c r="R152" s="798">
        <v>0</v>
      </c>
      <c r="S152" s="798">
        <v>0</v>
      </c>
      <c r="T152" s="793"/>
      <c r="U152" s="789"/>
      <c r="V152" s="794"/>
      <c r="W152" s="795"/>
      <c r="X152" s="799"/>
    </row>
    <row r="157" spans="1:24" x14ac:dyDescent="0.2">
      <c r="D157" s="799"/>
      <c r="E157" s="799"/>
      <c r="F157" s="799"/>
      <c r="G157" s="799"/>
      <c r="H157" s="799"/>
      <c r="I157" s="799"/>
      <c r="J157" s="799"/>
      <c r="K157" s="799"/>
      <c r="L157" s="799"/>
      <c r="M157" s="799"/>
      <c r="N157" s="799"/>
      <c r="O157" s="799"/>
      <c r="P157" s="799"/>
      <c r="Q157" s="799"/>
      <c r="R157" s="799"/>
      <c r="S157" s="799"/>
    </row>
  </sheetData>
  <mergeCells count="22"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  <mergeCell ref="L5:R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58"/>
  <sheetViews>
    <sheetView zoomScale="80" zoomScaleNormal="80" workbookViewId="0">
      <pane xSplit="3" ySplit="11" topLeftCell="D135" activePane="bottomRight" state="frozen"/>
      <selection pane="topRight" activeCell="D1" sqref="D1"/>
      <selection pane="bottomLeft" activeCell="A12" sqref="A12"/>
      <selection pane="bottomRight" activeCell="D157" sqref="D157:M159"/>
    </sheetView>
  </sheetViews>
  <sheetFormatPr defaultRowHeight="15" x14ac:dyDescent="0.25"/>
  <cols>
    <col min="1" max="2" width="9.140625" style="802"/>
    <col min="3" max="3" width="28.28515625" style="802" customWidth="1"/>
    <col min="4" max="4" width="16" style="802" customWidth="1"/>
    <col min="5" max="5" width="15.5703125" style="802" customWidth="1"/>
    <col min="6" max="6" width="16" style="802" customWidth="1"/>
    <col min="7" max="7" width="13.42578125" style="802" customWidth="1"/>
    <col min="8" max="8" width="16.42578125" style="802" customWidth="1"/>
    <col min="9" max="9" width="13" style="802" customWidth="1"/>
    <col min="10" max="10" width="15" style="802" customWidth="1"/>
    <col min="11" max="11" width="13.140625" style="802" customWidth="1"/>
    <col min="12" max="12" width="19.140625" style="802" customWidth="1"/>
    <col min="13" max="13" width="9.140625" style="802"/>
    <col min="14" max="14" width="13.42578125" style="802" customWidth="1"/>
    <col min="15" max="16384" width="9.140625" style="802"/>
  </cols>
  <sheetData>
    <row r="1" spans="1:15" ht="21.75" customHeight="1" x14ac:dyDescent="0.25">
      <c r="A1" s="1081" t="s">
        <v>757</v>
      </c>
      <c r="B1" s="1081"/>
      <c r="C1" s="1081"/>
      <c r="D1" s="1081"/>
      <c r="E1" s="1081"/>
      <c r="F1" s="1081"/>
      <c r="G1" s="1081"/>
      <c r="H1" s="1081"/>
      <c r="I1" s="1081"/>
      <c r="J1" s="1081"/>
      <c r="K1" s="1081"/>
      <c r="L1" s="1081"/>
    </row>
    <row r="2" spans="1:15" x14ac:dyDescent="0.25">
      <c r="J2" s="803"/>
    </row>
    <row r="3" spans="1:15" ht="24.75" customHeight="1" x14ac:dyDescent="0.25">
      <c r="A3" s="1082" t="s">
        <v>0</v>
      </c>
      <c r="B3" s="1083" t="s">
        <v>1</v>
      </c>
      <c r="C3" s="1082" t="s">
        <v>2</v>
      </c>
      <c r="D3" s="1086" t="s">
        <v>758</v>
      </c>
      <c r="E3" s="1086"/>
      <c r="F3" s="1086"/>
      <c r="G3" s="1086"/>
      <c r="H3" s="1086"/>
      <c r="I3" s="1086"/>
      <c r="J3" s="1086"/>
      <c r="K3" s="1086"/>
      <c r="L3" s="1087" t="s">
        <v>754</v>
      </c>
    </row>
    <row r="4" spans="1:15" ht="15" customHeight="1" x14ac:dyDescent="0.25">
      <c r="A4" s="1082"/>
      <c r="B4" s="1084"/>
      <c r="C4" s="1082"/>
      <c r="D4" s="1086" t="s">
        <v>3</v>
      </c>
      <c r="E4" s="1086" t="s">
        <v>4</v>
      </c>
      <c r="F4" s="1086"/>
      <c r="G4" s="1086"/>
      <c r="H4" s="1086"/>
      <c r="I4" s="1086"/>
      <c r="J4" s="1086"/>
      <c r="K4" s="1086"/>
      <c r="L4" s="1087"/>
    </row>
    <row r="5" spans="1:15" ht="44.25" customHeight="1" x14ac:dyDescent="0.25">
      <c r="A5" s="1082"/>
      <c r="B5" s="1084"/>
      <c r="C5" s="1082"/>
      <c r="D5" s="1086"/>
      <c r="E5" s="1088" t="s">
        <v>759</v>
      </c>
      <c r="F5" s="1088"/>
      <c r="G5" s="1088"/>
      <c r="H5" s="1088"/>
      <c r="I5" s="1087" t="s">
        <v>760</v>
      </c>
      <c r="J5" s="1089"/>
      <c r="K5" s="1089"/>
      <c r="L5" s="1087"/>
    </row>
    <row r="6" spans="1:15" ht="35.25" customHeight="1" x14ac:dyDescent="0.25">
      <c r="A6" s="1082"/>
      <c r="B6" s="1084"/>
      <c r="C6" s="1082"/>
      <c r="D6" s="1086"/>
      <c r="E6" s="1076" t="s">
        <v>340</v>
      </c>
      <c r="F6" s="1076" t="s">
        <v>341</v>
      </c>
      <c r="G6" s="1076"/>
      <c r="H6" s="1076"/>
      <c r="I6" s="1076" t="s">
        <v>341</v>
      </c>
      <c r="J6" s="1076"/>
      <c r="K6" s="1076"/>
      <c r="L6" s="1087"/>
    </row>
    <row r="7" spans="1:15" ht="42.75" customHeight="1" x14ac:dyDescent="0.25">
      <c r="A7" s="1082"/>
      <c r="B7" s="1085"/>
      <c r="C7" s="1082"/>
      <c r="D7" s="1086"/>
      <c r="E7" s="1076"/>
      <c r="F7" s="804" t="s">
        <v>297</v>
      </c>
      <c r="G7" s="804" t="s">
        <v>345</v>
      </c>
      <c r="H7" s="805" t="s">
        <v>346</v>
      </c>
      <c r="I7" s="804" t="s">
        <v>297</v>
      </c>
      <c r="J7" s="804" t="s">
        <v>345</v>
      </c>
      <c r="K7" s="805" t="s">
        <v>346</v>
      </c>
      <c r="L7" s="1087"/>
    </row>
    <row r="8" spans="1:15" x14ac:dyDescent="0.25">
      <c r="A8" s="806">
        <v>1</v>
      </c>
      <c r="B8" s="806">
        <v>2</v>
      </c>
      <c r="C8" s="806">
        <v>3</v>
      </c>
      <c r="D8" s="807"/>
      <c r="E8" s="807"/>
      <c r="F8" s="807"/>
      <c r="G8" s="807"/>
      <c r="H8" s="807"/>
      <c r="I8" s="807"/>
      <c r="J8" s="807"/>
      <c r="K8" s="807"/>
      <c r="L8" s="807"/>
    </row>
    <row r="9" spans="1:15" s="809" customFormat="1" x14ac:dyDescent="0.25">
      <c r="A9" s="1077" t="s">
        <v>6</v>
      </c>
      <c r="B9" s="1077"/>
      <c r="C9" s="1077"/>
      <c r="D9" s="808">
        <f>D10+D11</f>
        <v>1314558</v>
      </c>
      <c r="E9" s="808">
        <f t="shared" ref="E9:L9" si="0">E10+E11</f>
        <v>654</v>
      </c>
      <c r="F9" s="808">
        <f t="shared" si="0"/>
        <v>994192</v>
      </c>
      <c r="G9" s="808">
        <f t="shared" si="0"/>
        <v>172015</v>
      </c>
      <c r="H9" s="808">
        <f t="shared" si="0"/>
        <v>822177</v>
      </c>
      <c r="I9" s="808">
        <f t="shared" si="0"/>
        <v>319712</v>
      </c>
      <c r="J9" s="808">
        <f t="shared" si="0"/>
        <v>15080</v>
      </c>
      <c r="K9" s="808">
        <f t="shared" si="0"/>
        <v>304632</v>
      </c>
      <c r="L9" s="808">
        <f t="shared" si="0"/>
        <v>1025004</v>
      </c>
      <c r="N9" s="810"/>
      <c r="O9" s="811"/>
    </row>
    <row r="10" spans="1:15" x14ac:dyDescent="0.25">
      <c r="A10" s="1044" t="s">
        <v>14</v>
      </c>
      <c r="B10" s="1045"/>
      <c r="C10" s="1046"/>
      <c r="D10" s="807"/>
      <c r="E10" s="807"/>
      <c r="F10" s="807"/>
      <c r="G10" s="807"/>
      <c r="H10" s="807"/>
      <c r="I10" s="807"/>
      <c r="J10" s="807"/>
      <c r="K10" s="807"/>
      <c r="L10" s="807">
        <v>8</v>
      </c>
      <c r="N10" s="810"/>
      <c r="O10" s="811"/>
    </row>
    <row r="11" spans="1:15" s="809" customFormat="1" x14ac:dyDescent="0.25">
      <c r="A11" s="1078" t="s">
        <v>15</v>
      </c>
      <c r="B11" s="1079"/>
      <c r="C11" s="1080"/>
      <c r="D11" s="808">
        <f>E11+F11+I11</f>
        <v>1314558</v>
      </c>
      <c r="E11" s="808">
        <f>SUM(E12:E153)</f>
        <v>654</v>
      </c>
      <c r="F11" s="808">
        <f>G11+H11</f>
        <v>994192</v>
      </c>
      <c r="G11" s="808">
        <f>SUM(G12:G153)</f>
        <v>172015</v>
      </c>
      <c r="H11" s="808">
        <f>SUM(H12:H153)</f>
        <v>822177</v>
      </c>
      <c r="I11" s="808">
        <f>J11+K11</f>
        <v>319712</v>
      </c>
      <c r="J11" s="808">
        <f>SUM(J12:J153)</f>
        <v>15080</v>
      </c>
      <c r="K11" s="808">
        <f>SUM(K12:K153)</f>
        <v>304632</v>
      </c>
      <c r="L11" s="808">
        <f>SUM(L12:L153)</f>
        <v>1024996</v>
      </c>
      <c r="N11" s="810"/>
      <c r="O11" s="811"/>
    </row>
    <row r="12" spans="1:15" x14ac:dyDescent="0.25">
      <c r="A12" s="632">
        <v>1</v>
      </c>
      <c r="B12" s="633" t="s">
        <v>16</v>
      </c>
      <c r="C12" s="634" t="s">
        <v>17</v>
      </c>
      <c r="D12" s="807">
        <f t="shared" ref="D12:D75" si="1">E12+F12+I12</f>
        <v>12703</v>
      </c>
      <c r="E12" s="807">
        <f>'[9]Дисп. наблюдение Свод Пр.19-23'!E12+'[9]Отклонение Пр.1-24-Пр.19-23'!E12</f>
        <v>0</v>
      </c>
      <c r="F12" s="807">
        <f t="shared" ref="F12:F75" si="2">G12+H12</f>
        <v>10885</v>
      </c>
      <c r="G12" s="807">
        <f>'[9]Дисп. наблюдение Свод Пр.19-23'!G12+'[9]Отклонение Пр.1-24-Пр.19-23'!G12</f>
        <v>1692</v>
      </c>
      <c r="H12" s="807">
        <f>'[9]Дисп. наблюдение Свод Пр.19-23'!H12+'[9]Отклонение Пр.1-24-Пр.19-23'!H12</f>
        <v>9193</v>
      </c>
      <c r="I12" s="807">
        <f t="shared" ref="I12:I75" si="3">J12+K12</f>
        <v>1818</v>
      </c>
      <c r="J12" s="807">
        <f>'[9]Дисп. наблюдение Свод Пр.19-23'!J12+'[9]Отклонение Пр.1-24-Пр.19-23'!J12</f>
        <v>498</v>
      </c>
      <c r="K12" s="807">
        <f>'[9]Дисп. наблюдение Свод Пр.19-23'!K12+'[9]Отклонение Пр.1-24-Пр.19-23'!K12</f>
        <v>1320</v>
      </c>
      <c r="L12" s="807">
        <f>'[9]Дисп. наблюдение Свод Пр.19-23'!L12+'[9]Отклонение Пр.1-24-Пр.19-23'!L12</f>
        <v>8935</v>
      </c>
      <c r="N12" s="810"/>
      <c r="O12" s="811"/>
    </row>
    <row r="13" spans="1:15" x14ac:dyDescent="0.25">
      <c r="A13" s="632">
        <v>2</v>
      </c>
      <c r="B13" s="635" t="s">
        <v>18</v>
      </c>
      <c r="C13" s="634" t="s">
        <v>19</v>
      </c>
      <c r="D13" s="807">
        <f t="shared" si="1"/>
        <v>9564</v>
      </c>
      <c r="E13" s="807">
        <f>'[9]Дисп. наблюдение Свод Пр.19-23'!E13+'[9]Отклонение Пр.1-24-Пр.19-23'!E13</f>
        <v>0</v>
      </c>
      <c r="F13" s="807">
        <f t="shared" si="2"/>
        <v>7670</v>
      </c>
      <c r="G13" s="807">
        <f>'[9]Дисп. наблюдение Свод Пр.19-23'!G13+'[9]Отклонение Пр.1-24-Пр.19-23'!G13</f>
        <v>1233</v>
      </c>
      <c r="H13" s="807">
        <f>'[9]Дисп. наблюдение Свод Пр.19-23'!H13+'[9]Отклонение Пр.1-24-Пр.19-23'!H13</f>
        <v>6437</v>
      </c>
      <c r="I13" s="807">
        <f t="shared" si="3"/>
        <v>1894</v>
      </c>
      <c r="J13" s="807">
        <f>'[9]Дисп. наблюдение Свод Пр.19-23'!J13+'[9]Отклонение Пр.1-24-Пр.19-23'!J13</f>
        <v>40</v>
      </c>
      <c r="K13" s="807">
        <f>'[9]Дисп. наблюдение Свод Пр.19-23'!K13+'[9]Отклонение Пр.1-24-Пр.19-23'!K13</f>
        <v>1854</v>
      </c>
      <c r="L13" s="807">
        <f>'[9]Дисп. наблюдение Свод Пр.19-23'!L13+'[9]Отклонение Пр.1-24-Пр.19-23'!L13</f>
        <v>5618</v>
      </c>
      <c r="N13" s="810"/>
      <c r="O13" s="811"/>
    </row>
    <row r="14" spans="1:15" x14ac:dyDescent="0.25">
      <c r="A14" s="632">
        <v>3</v>
      </c>
      <c r="B14" s="636" t="s">
        <v>20</v>
      </c>
      <c r="C14" s="637" t="s">
        <v>21</v>
      </c>
      <c r="D14" s="807">
        <f t="shared" si="1"/>
        <v>20795</v>
      </c>
      <c r="E14" s="807">
        <f>'[9]Дисп. наблюдение Свод Пр.19-23'!E14+'[9]Отклонение Пр.1-24-Пр.19-23'!E14</f>
        <v>0</v>
      </c>
      <c r="F14" s="807">
        <f t="shared" si="2"/>
        <v>17258</v>
      </c>
      <c r="G14" s="807">
        <f>'[9]Дисп. наблюдение Свод Пр.19-23'!G14+'[9]Отклонение Пр.1-24-Пр.19-23'!G14</f>
        <v>2344</v>
      </c>
      <c r="H14" s="807">
        <f>'[9]Дисп. наблюдение Свод Пр.19-23'!H14+'[9]Отклонение Пр.1-24-Пр.19-23'!H14</f>
        <v>14914</v>
      </c>
      <c r="I14" s="807">
        <f t="shared" si="3"/>
        <v>3537</v>
      </c>
      <c r="J14" s="807">
        <f>'[9]Дисп. наблюдение Свод Пр.19-23'!J14+'[9]Отклонение Пр.1-24-Пр.19-23'!J14</f>
        <v>570</v>
      </c>
      <c r="K14" s="807">
        <f>'[9]Дисп. наблюдение Свод Пр.19-23'!K14+'[9]Отклонение Пр.1-24-Пр.19-23'!K14</f>
        <v>2967</v>
      </c>
      <c r="L14" s="807">
        <f>'[9]Дисп. наблюдение Свод Пр.19-23'!L14+'[9]Отклонение Пр.1-24-Пр.19-23'!L14</f>
        <v>13758</v>
      </c>
      <c r="N14" s="810"/>
      <c r="O14" s="811"/>
    </row>
    <row r="15" spans="1:15" x14ac:dyDescent="0.25">
      <c r="A15" s="632">
        <v>4</v>
      </c>
      <c r="B15" s="633" t="s">
        <v>22</v>
      </c>
      <c r="C15" s="634" t="s">
        <v>23</v>
      </c>
      <c r="D15" s="807">
        <f t="shared" si="1"/>
        <v>4605</v>
      </c>
      <c r="E15" s="807">
        <f>'[9]Дисп. наблюдение Свод Пр.19-23'!E15+'[9]Отклонение Пр.1-24-Пр.19-23'!E15</f>
        <v>0</v>
      </c>
      <c r="F15" s="807">
        <f t="shared" si="2"/>
        <v>3276</v>
      </c>
      <c r="G15" s="807">
        <f>'[9]Дисп. наблюдение Свод Пр.19-23'!G15+'[9]Отклонение Пр.1-24-Пр.19-23'!G15</f>
        <v>506</v>
      </c>
      <c r="H15" s="807">
        <f>'[9]Дисп. наблюдение Свод Пр.19-23'!H15+'[9]Отклонение Пр.1-24-Пр.19-23'!H15</f>
        <v>2770</v>
      </c>
      <c r="I15" s="807">
        <f t="shared" si="3"/>
        <v>1329</v>
      </c>
      <c r="J15" s="807">
        <f>'[9]Дисп. наблюдение Свод Пр.19-23'!J15+'[9]Отклонение Пр.1-24-Пр.19-23'!J15</f>
        <v>0</v>
      </c>
      <c r="K15" s="807">
        <f>'[9]Дисп. наблюдение Свод Пр.19-23'!K15+'[9]Отклонение Пр.1-24-Пр.19-23'!K15</f>
        <v>1329</v>
      </c>
      <c r="L15" s="807">
        <f>'[9]Дисп. наблюдение Свод Пр.19-23'!L15+'[9]Отклонение Пр.1-24-Пр.19-23'!L15</f>
        <v>5064</v>
      </c>
      <c r="N15" s="810"/>
      <c r="O15" s="811"/>
    </row>
    <row r="16" spans="1:15" ht="24" x14ac:dyDescent="0.25">
      <c r="A16" s="632">
        <v>5</v>
      </c>
      <c r="B16" s="633" t="s">
        <v>24</v>
      </c>
      <c r="C16" s="634" t="s">
        <v>25</v>
      </c>
      <c r="D16" s="807">
        <f t="shared" si="1"/>
        <v>13209</v>
      </c>
      <c r="E16" s="807">
        <f>'[9]Дисп. наблюдение Свод Пр.19-23'!E16+'[9]Отклонение Пр.1-24-Пр.19-23'!E16</f>
        <v>0</v>
      </c>
      <c r="F16" s="807">
        <f t="shared" si="2"/>
        <v>11200</v>
      </c>
      <c r="G16" s="807">
        <f>'[9]Дисп. наблюдение Свод Пр.19-23'!G16+'[9]Отклонение Пр.1-24-Пр.19-23'!G16</f>
        <v>1166</v>
      </c>
      <c r="H16" s="807">
        <f>'[9]Дисп. наблюдение Свод Пр.19-23'!H16+'[9]Отклонение Пр.1-24-Пр.19-23'!H16</f>
        <v>10034</v>
      </c>
      <c r="I16" s="807">
        <f t="shared" si="3"/>
        <v>2009</v>
      </c>
      <c r="J16" s="807">
        <f>'[9]Дисп. наблюдение Свод Пр.19-23'!J16+'[9]Отклонение Пр.1-24-Пр.19-23'!J16</f>
        <v>9</v>
      </c>
      <c r="K16" s="807">
        <f>'[9]Дисп. наблюдение Свод Пр.19-23'!K16+'[9]Отклонение Пр.1-24-Пр.19-23'!K16</f>
        <v>2000</v>
      </c>
      <c r="L16" s="807">
        <f>'[9]Дисп. наблюдение Свод Пр.19-23'!L16+'[9]Отклонение Пр.1-24-Пр.19-23'!L16</f>
        <v>8499</v>
      </c>
      <c r="N16" s="810"/>
      <c r="O16" s="811"/>
    </row>
    <row r="17" spans="1:15" x14ac:dyDescent="0.25">
      <c r="A17" s="632">
        <v>6</v>
      </c>
      <c r="B17" s="636" t="s">
        <v>26</v>
      </c>
      <c r="C17" s="637" t="s">
        <v>27</v>
      </c>
      <c r="D17" s="807">
        <f t="shared" si="1"/>
        <v>56249</v>
      </c>
      <c r="E17" s="807">
        <f>'[9]Дисп. наблюдение Свод Пр.19-23'!E17+'[9]Отклонение Пр.1-24-Пр.19-23'!E17</f>
        <v>0</v>
      </c>
      <c r="F17" s="807">
        <f t="shared" si="2"/>
        <v>40748</v>
      </c>
      <c r="G17" s="807">
        <f>'[9]Дисп. наблюдение Свод Пр.19-23'!G17+'[9]Отклонение Пр.1-24-Пр.19-23'!G17</f>
        <v>6376</v>
      </c>
      <c r="H17" s="807">
        <f>'[9]Дисп. наблюдение Свод Пр.19-23'!H17+'[9]Отклонение Пр.1-24-Пр.19-23'!H17</f>
        <v>34372</v>
      </c>
      <c r="I17" s="807">
        <f t="shared" si="3"/>
        <v>15501</v>
      </c>
      <c r="J17" s="807">
        <f>'[9]Дисп. наблюдение Свод Пр.19-23'!J17+'[9]Отклонение Пр.1-24-Пр.19-23'!J17</f>
        <v>628</v>
      </c>
      <c r="K17" s="807">
        <f>'[9]Дисп. наблюдение Свод Пр.19-23'!K17+'[9]Отклонение Пр.1-24-Пр.19-23'!K17</f>
        <v>14873</v>
      </c>
      <c r="L17" s="807">
        <f>'[9]Дисп. наблюдение Свод Пр.19-23'!L17+'[9]Отклонение Пр.1-24-Пр.19-23'!L17</f>
        <v>45013</v>
      </c>
      <c r="N17" s="810"/>
      <c r="O17" s="811"/>
    </row>
    <row r="18" spans="1:15" x14ac:dyDescent="0.25">
      <c r="A18" s="632">
        <v>7</v>
      </c>
      <c r="B18" s="638" t="s">
        <v>28</v>
      </c>
      <c r="C18" s="32" t="s">
        <v>29</v>
      </c>
      <c r="D18" s="807">
        <f t="shared" si="1"/>
        <v>22150</v>
      </c>
      <c r="E18" s="807">
        <f>'[9]Дисп. наблюдение Свод Пр.19-23'!E18+'[9]Отклонение Пр.1-24-Пр.19-23'!E18</f>
        <v>0</v>
      </c>
      <c r="F18" s="807">
        <f t="shared" si="2"/>
        <v>18758</v>
      </c>
      <c r="G18" s="807">
        <f>'[9]Дисп. наблюдение Свод Пр.19-23'!G18+'[9]Отклонение Пр.1-24-Пр.19-23'!G18</f>
        <v>2231</v>
      </c>
      <c r="H18" s="807">
        <f>'[9]Дисп. наблюдение Свод Пр.19-23'!H18+'[9]Отклонение Пр.1-24-Пр.19-23'!H18</f>
        <v>16527</v>
      </c>
      <c r="I18" s="807">
        <f t="shared" si="3"/>
        <v>3392</v>
      </c>
      <c r="J18" s="807">
        <f>'[9]Дисп. наблюдение Свод Пр.19-23'!J18+'[9]Отклонение Пр.1-24-Пр.19-23'!J18</f>
        <v>537</v>
      </c>
      <c r="K18" s="807">
        <f>'[9]Дисп. наблюдение Свод Пр.19-23'!K18+'[9]Отклонение Пр.1-24-Пр.19-23'!K18</f>
        <v>2855</v>
      </c>
      <c r="L18" s="807">
        <f>'[9]Дисп. наблюдение Свод Пр.19-23'!L18+'[9]Отклонение Пр.1-24-Пр.19-23'!L18</f>
        <v>16330</v>
      </c>
      <c r="N18" s="810"/>
      <c r="O18" s="811"/>
    </row>
    <row r="19" spans="1:15" x14ac:dyDescent="0.25">
      <c r="A19" s="632">
        <v>8</v>
      </c>
      <c r="B19" s="636" t="s">
        <v>30</v>
      </c>
      <c r="C19" s="637" t="s">
        <v>31</v>
      </c>
      <c r="D19" s="807">
        <f t="shared" si="1"/>
        <v>6715</v>
      </c>
      <c r="E19" s="807">
        <f>'[9]Дисп. наблюдение Свод Пр.19-23'!E19+'[9]Отклонение Пр.1-24-Пр.19-23'!E19</f>
        <v>0</v>
      </c>
      <c r="F19" s="807">
        <f t="shared" si="2"/>
        <v>3163</v>
      </c>
      <c r="G19" s="807">
        <f>'[9]Дисп. наблюдение Свод Пр.19-23'!G19+'[9]Отклонение Пр.1-24-Пр.19-23'!G19</f>
        <v>1108</v>
      </c>
      <c r="H19" s="807">
        <f>'[9]Дисп. наблюдение Свод Пр.19-23'!H19+'[9]Отклонение Пр.1-24-Пр.19-23'!H19</f>
        <v>2055</v>
      </c>
      <c r="I19" s="807">
        <f t="shared" si="3"/>
        <v>3552</v>
      </c>
      <c r="J19" s="807">
        <f>'[9]Дисп. наблюдение Свод Пр.19-23'!J19+'[9]Отклонение Пр.1-24-Пр.19-23'!J19</f>
        <v>0</v>
      </c>
      <c r="K19" s="807">
        <f>'[9]Дисп. наблюдение Свод Пр.19-23'!K19+'[9]Отклонение Пр.1-24-Пр.19-23'!K19</f>
        <v>3552</v>
      </c>
      <c r="L19" s="807">
        <f>'[9]Дисп. наблюдение Свод Пр.19-23'!L19+'[9]Отклонение Пр.1-24-Пр.19-23'!L19</f>
        <v>6227</v>
      </c>
      <c r="N19" s="810"/>
      <c r="O19" s="811"/>
    </row>
    <row r="20" spans="1:15" x14ac:dyDescent="0.25">
      <c r="A20" s="632">
        <v>9</v>
      </c>
      <c r="B20" s="636" t="s">
        <v>32</v>
      </c>
      <c r="C20" s="637" t="s">
        <v>33</v>
      </c>
      <c r="D20" s="807">
        <f t="shared" si="1"/>
        <v>2556</v>
      </c>
      <c r="E20" s="807">
        <f>'[9]Дисп. наблюдение Свод Пр.19-23'!E20+'[9]Отклонение Пр.1-24-Пр.19-23'!E20</f>
        <v>0</v>
      </c>
      <c r="F20" s="807">
        <f t="shared" si="2"/>
        <v>1986</v>
      </c>
      <c r="G20" s="807">
        <f>'[9]Дисп. наблюдение Свод Пр.19-23'!G20+'[9]Отклонение Пр.1-24-Пр.19-23'!G20</f>
        <v>587</v>
      </c>
      <c r="H20" s="807">
        <f>'[9]Дисп. наблюдение Свод Пр.19-23'!H20+'[9]Отклонение Пр.1-24-Пр.19-23'!H20</f>
        <v>1399</v>
      </c>
      <c r="I20" s="807">
        <f t="shared" si="3"/>
        <v>570</v>
      </c>
      <c r="J20" s="807">
        <f>'[9]Дисп. наблюдение Свод Пр.19-23'!J20+'[9]Отклонение Пр.1-24-Пр.19-23'!J20</f>
        <v>33</v>
      </c>
      <c r="K20" s="807">
        <f>'[9]Дисп. наблюдение Свод Пр.19-23'!K20+'[9]Отклонение Пр.1-24-Пр.19-23'!K20</f>
        <v>537</v>
      </c>
      <c r="L20" s="807">
        <f>'[9]Дисп. наблюдение Свод Пр.19-23'!L20+'[9]Отклонение Пр.1-24-Пр.19-23'!L20</f>
        <v>7386</v>
      </c>
      <c r="N20" s="810"/>
      <c r="O20" s="811"/>
    </row>
    <row r="21" spans="1:15" x14ac:dyDescent="0.25">
      <c r="A21" s="632">
        <v>10</v>
      </c>
      <c r="B21" s="636" t="s">
        <v>34</v>
      </c>
      <c r="C21" s="637" t="s">
        <v>35</v>
      </c>
      <c r="D21" s="807">
        <f t="shared" si="1"/>
        <v>6828</v>
      </c>
      <c r="E21" s="807">
        <f>'[9]Дисп. наблюдение Свод Пр.19-23'!E21+'[9]Отклонение Пр.1-24-Пр.19-23'!E21</f>
        <v>0</v>
      </c>
      <c r="F21" s="807">
        <f t="shared" si="2"/>
        <v>4709</v>
      </c>
      <c r="G21" s="807">
        <f>'[9]Дисп. наблюдение Свод Пр.19-23'!G21+'[9]Отклонение Пр.1-24-Пр.19-23'!G21</f>
        <v>876</v>
      </c>
      <c r="H21" s="807">
        <f>'[9]Дисп. наблюдение Свод Пр.19-23'!H21+'[9]Отклонение Пр.1-24-Пр.19-23'!H21</f>
        <v>3833</v>
      </c>
      <c r="I21" s="807">
        <f t="shared" si="3"/>
        <v>2119</v>
      </c>
      <c r="J21" s="807">
        <f>'[9]Дисп. наблюдение Свод Пр.19-23'!J21+'[9]Отклонение Пр.1-24-Пр.19-23'!J21</f>
        <v>22</v>
      </c>
      <c r="K21" s="807">
        <f>'[9]Дисп. наблюдение Свод Пр.19-23'!K21+'[9]Отклонение Пр.1-24-Пр.19-23'!K21</f>
        <v>2097</v>
      </c>
      <c r="L21" s="807">
        <f>'[9]Дисп. наблюдение Свод Пр.19-23'!L21+'[9]Отклонение Пр.1-24-Пр.19-23'!L21</f>
        <v>9374</v>
      </c>
      <c r="N21" s="810"/>
      <c r="O21" s="811"/>
    </row>
    <row r="22" spans="1:15" x14ac:dyDescent="0.25">
      <c r="A22" s="632">
        <v>11</v>
      </c>
      <c r="B22" s="636" t="s">
        <v>36</v>
      </c>
      <c r="C22" s="637" t="s">
        <v>37</v>
      </c>
      <c r="D22" s="807">
        <f t="shared" si="1"/>
        <v>10221</v>
      </c>
      <c r="E22" s="807">
        <f>'[9]Дисп. наблюдение Свод Пр.19-23'!E22+'[9]Отклонение Пр.1-24-Пр.19-23'!E22</f>
        <v>0</v>
      </c>
      <c r="F22" s="807">
        <f t="shared" si="2"/>
        <v>7846</v>
      </c>
      <c r="G22" s="807">
        <f>'[9]Дисп. наблюдение Свод Пр.19-23'!G22+'[9]Отклонение Пр.1-24-Пр.19-23'!G22</f>
        <v>375</v>
      </c>
      <c r="H22" s="807">
        <f>'[9]Дисп. наблюдение Свод Пр.19-23'!H22+'[9]Отклонение Пр.1-24-Пр.19-23'!H22</f>
        <v>7471</v>
      </c>
      <c r="I22" s="807">
        <f t="shared" si="3"/>
        <v>2375</v>
      </c>
      <c r="J22" s="807">
        <f>'[9]Дисп. наблюдение Свод Пр.19-23'!J22+'[9]Отклонение Пр.1-24-Пр.19-23'!J22</f>
        <v>24</v>
      </c>
      <c r="K22" s="807">
        <f>'[9]Дисп. наблюдение Свод Пр.19-23'!K22+'[9]Отклонение Пр.1-24-Пр.19-23'!K22</f>
        <v>2351</v>
      </c>
      <c r="L22" s="807">
        <f>'[9]Дисп. наблюдение Свод Пр.19-23'!L22+'[9]Отклонение Пр.1-24-Пр.19-23'!L22</f>
        <v>8641</v>
      </c>
      <c r="N22" s="810"/>
      <c r="O22" s="811"/>
    </row>
    <row r="23" spans="1:15" x14ac:dyDescent="0.25">
      <c r="A23" s="632">
        <v>12</v>
      </c>
      <c r="B23" s="636" t="s">
        <v>38</v>
      </c>
      <c r="C23" s="637" t="s">
        <v>39</v>
      </c>
      <c r="D23" s="807">
        <f t="shared" si="1"/>
        <v>12159</v>
      </c>
      <c r="E23" s="807">
        <f>'[9]Дисп. наблюдение Свод Пр.19-23'!E23+'[9]Отклонение Пр.1-24-Пр.19-23'!E23</f>
        <v>0</v>
      </c>
      <c r="F23" s="807">
        <f t="shared" si="2"/>
        <v>6641</v>
      </c>
      <c r="G23" s="807">
        <f>'[9]Дисп. наблюдение Свод Пр.19-23'!G23+'[9]Отклонение Пр.1-24-Пр.19-23'!G23</f>
        <v>1300</v>
      </c>
      <c r="H23" s="807">
        <f>'[9]Дисп. наблюдение Свод Пр.19-23'!H23+'[9]Отклонение Пр.1-24-Пр.19-23'!H23</f>
        <v>5341</v>
      </c>
      <c r="I23" s="807">
        <f t="shared" si="3"/>
        <v>5518</v>
      </c>
      <c r="J23" s="807">
        <f>'[9]Дисп. наблюдение Свод Пр.19-23'!J23+'[9]Отклонение Пр.1-24-Пр.19-23'!J23</f>
        <v>1</v>
      </c>
      <c r="K23" s="807">
        <f>'[9]Дисп. наблюдение Свод Пр.19-23'!K23+'[9]Отклонение Пр.1-24-Пр.19-23'!K23</f>
        <v>5517</v>
      </c>
      <c r="L23" s="807">
        <f>'[9]Дисп. наблюдение Свод Пр.19-23'!L23+'[9]Отклонение Пр.1-24-Пр.19-23'!L23</f>
        <v>13969</v>
      </c>
      <c r="N23" s="810"/>
      <c r="O23" s="811"/>
    </row>
    <row r="24" spans="1:15" x14ac:dyDescent="0.25">
      <c r="A24" s="639">
        <v>13</v>
      </c>
      <c r="B24" s="636" t="s">
        <v>40</v>
      </c>
      <c r="C24" s="637" t="s">
        <v>41</v>
      </c>
      <c r="D24" s="807">
        <f t="shared" si="1"/>
        <v>0</v>
      </c>
      <c r="E24" s="807">
        <f>'[9]Дисп. наблюдение Свод Пр.19-23'!E24+'[9]Отклонение Пр.1-24-Пр.19-23'!E24</f>
        <v>0</v>
      </c>
      <c r="F24" s="807">
        <f t="shared" si="2"/>
        <v>0</v>
      </c>
      <c r="G24" s="807">
        <f>'[9]Дисп. наблюдение Свод Пр.19-23'!G24+'[9]Отклонение Пр.1-24-Пр.19-23'!G24</f>
        <v>0</v>
      </c>
      <c r="H24" s="807">
        <f>'[9]Дисп. наблюдение Свод Пр.19-23'!H24+'[9]Отклонение Пр.1-24-Пр.19-23'!H24</f>
        <v>0</v>
      </c>
      <c r="I24" s="807">
        <f t="shared" si="3"/>
        <v>0</v>
      </c>
      <c r="J24" s="807">
        <f>'[9]Дисп. наблюдение Свод Пр.19-23'!J24+'[9]Отклонение Пр.1-24-Пр.19-23'!J24</f>
        <v>0</v>
      </c>
      <c r="K24" s="807">
        <f>'[9]Дисп. наблюдение Свод Пр.19-23'!K24+'[9]Отклонение Пр.1-24-Пр.19-23'!K24</f>
        <v>0</v>
      </c>
      <c r="L24" s="807">
        <f>'[9]Дисп. наблюдение Свод Пр.19-23'!L24+'[9]Отклонение Пр.1-24-Пр.19-23'!L24</f>
        <v>0</v>
      </c>
      <c r="N24" s="810"/>
      <c r="O24" s="811"/>
    </row>
    <row r="25" spans="1:15" ht="24" x14ac:dyDescent="0.25">
      <c r="A25" s="632">
        <v>14</v>
      </c>
      <c r="B25" s="633" t="s">
        <v>42</v>
      </c>
      <c r="C25" s="637" t="s">
        <v>43</v>
      </c>
      <c r="D25" s="807">
        <f t="shared" si="1"/>
        <v>0</v>
      </c>
      <c r="E25" s="807">
        <f>'[9]Дисп. наблюдение Свод Пр.19-23'!E25+'[9]Отклонение Пр.1-24-Пр.19-23'!E25</f>
        <v>0</v>
      </c>
      <c r="F25" s="807">
        <f t="shared" si="2"/>
        <v>0</v>
      </c>
      <c r="G25" s="807">
        <f>'[9]Дисп. наблюдение Свод Пр.19-23'!G25+'[9]Отклонение Пр.1-24-Пр.19-23'!G25</f>
        <v>0</v>
      </c>
      <c r="H25" s="807">
        <f>'[9]Дисп. наблюдение Свод Пр.19-23'!H25+'[9]Отклонение Пр.1-24-Пр.19-23'!H25</f>
        <v>0</v>
      </c>
      <c r="I25" s="807">
        <f t="shared" si="3"/>
        <v>0</v>
      </c>
      <c r="J25" s="807">
        <f>'[9]Дисп. наблюдение Свод Пр.19-23'!J25+'[9]Отклонение Пр.1-24-Пр.19-23'!J25</f>
        <v>0</v>
      </c>
      <c r="K25" s="807">
        <f>'[9]Дисп. наблюдение Свод Пр.19-23'!K25+'[9]Отклонение Пр.1-24-Пр.19-23'!K25</f>
        <v>0</v>
      </c>
      <c r="L25" s="807">
        <f>'[9]Дисп. наблюдение Свод Пр.19-23'!L25+'[9]Отклонение Пр.1-24-Пр.19-23'!L25</f>
        <v>0</v>
      </c>
      <c r="N25" s="810"/>
      <c r="O25" s="811"/>
    </row>
    <row r="26" spans="1:15" x14ac:dyDescent="0.25">
      <c r="A26" s="639">
        <v>15</v>
      </c>
      <c r="B26" s="636" t="s">
        <v>44</v>
      </c>
      <c r="C26" s="637" t="s">
        <v>45</v>
      </c>
      <c r="D26" s="807">
        <f t="shared" si="1"/>
        <v>6805</v>
      </c>
      <c r="E26" s="807">
        <f>'[9]Дисп. наблюдение Свод Пр.19-23'!E26+'[9]Отклонение Пр.1-24-Пр.19-23'!E26</f>
        <v>0</v>
      </c>
      <c r="F26" s="807">
        <f t="shared" si="2"/>
        <v>5951</v>
      </c>
      <c r="G26" s="807">
        <f>'[9]Дисп. наблюдение Свод Пр.19-23'!G26+'[9]Отклонение Пр.1-24-Пр.19-23'!G26</f>
        <v>733</v>
      </c>
      <c r="H26" s="807">
        <f>'[9]Дисп. наблюдение Свод Пр.19-23'!H26+'[9]Отклонение Пр.1-24-Пр.19-23'!H26</f>
        <v>5218</v>
      </c>
      <c r="I26" s="807">
        <f t="shared" si="3"/>
        <v>854</v>
      </c>
      <c r="J26" s="807">
        <f>'[9]Дисп. наблюдение Свод Пр.19-23'!J26+'[9]Отклонение Пр.1-24-Пр.19-23'!J26</f>
        <v>2</v>
      </c>
      <c r="K26" s="807">
        <f>'[9]Дисп. наблюдение Свод Пр.19-23'!K26+'[9]Отклонение Пр.1-24-Пр.19-23'!K26</f>
        <v>852</v>
      </c>
      <c r="L26" s="807">
        <f>'[9]Дисп. наблюдение Свод Пр.19-23'!L26+'[9]Отклонение Пр.1-24-Пр.19-23'!L26</f>
        <v>6505</v>
      </c>
      <c r="N26" s="810"/>
      <c r="O26" s="811"/>
    </row>
    <row r="27" spans="1:15" x14ac:dyDescent="0.25">
      <c r="A27" s="632">
        <v>16</v>
      </c>
      <c r="B27" s="636" t="s">
        <v>46</v>
      </c>
      <c r="C27" s="637" t="s">
        <v>47</v>
      </c>
      <c r="D27" s="807">
        <f t="shared" si="1"/>
        <v>8909</v>
      </c>
      <c r="E27" s="807">
        <f>'[9]Дисп. наблюдение Свод Пр.19-23'!E27+'[9]Отклонение Пр.1-24-Пр.19-23'!E27</f>
        <v>0</v>
      </c>
      <c r="F27" s="807">
        <f t="shared" si="2"/>
        <v>6382</v>
      </c>
      <c r="G27" s="807">
        <f>'[9]Дисп. наблюдение Свод Пр.19-23'!G27+'[9]Отклонение Пр.1-24-Пр.19-23'!G27</f>
        <v>977</v>
      </c>
      <c r="H27" s="807">
        <f>'[9]Дисп. наблюдение Свод Пр.19-23'!H27+'[9]Отклонение Пр.1-24-Пр.19-23'!H27</f>
        <v>5405</v>
      </c>
      <c r="I27" s="807">
        <f t="shared" si="3"/>
        <v>2527</v>
      </c>
      <c r="J27" s="807">
        <f>'[9]Дисп. наблюдение Свод Пр.19-23'!J27+'[9]Отклонение Пр.1-24-Пр.19-23'!J27</f>
        <v>14</v>
      </c>
      <c r="K27" s="807">
        <f>'[9]Дисп. наблюдение Свод Пр.19-23'!K27+'[9]Отклонение Пр.1-24-Пр.19-23'!K27</f>
        <v>2513</v>
      </c>
      <c r="L27" s="807">
        <f>'[9]Дисп. наблюдение Свод Пр.19-23'!L27+'[9]Отклонение Пр.1-24-Пр.19-23'!L27</f>
        <v>5347</v>
      </c>
      <c r="N27" s="810"/>
      <c r="O27" s="811"/>
    </row>
    <row r="28" spans="1:15" x14ac:dyDescent="0.25">
      <c r="A28" s="639">
        <v>17</v>
      </c>
      <c r="B28" s="636" t="s">
        <v>48</v>
      </c>
      <c r="C28" s="637" t="s">
        <v>49</v>
      </c>
      <c r="D28" s="807">
        <f t="shared" si="1"/>
        <v>11858</v>
      </c>
      <c r="E28" s="807">
        <f>'[9]Дисп. наблюдение Свод Пр.19-23'!E28+'[9]Отклонение Пр.1-24-Пр.19-23'!E28</f>
        <v>0</v>
      </c>
      <c r="F28" s="807">
        <f t="shared" si="2"/>
        <v>9536</v>
      </c>
      <c r="G28" s="807">
        <f>'[9]Дисп. наблюдение Свод Пр.19-23'!G28+'[9]Отклонение Пр.1-24-Пр.19-23'!G28</f>
        <v>1399</v>
      </c>
      <c r="H28" s="807">
        <f>'[9]Дисп. наблюдение Свод Пр.19-23'!H28+'[9]Отклонение Пр.1-24-Пр.19-23'!H28</f>
        <v>8137</v>
      </c>
      <c r="I28" s="807">
        <f t="shared" si="3"/>
        <v>2322</v>
      </c>
      <c r="J28" s="807">
        <f>'[9]Дисп. наблюдение Свод Пр.19-23'!J28+'[9]Отклонение Пр.1-24-Пр.19-23'!J28</f>
        <v>0</v>
      </c>
      <c r="K28" s="807">
        <f>'[9]Дисп. наблюдение Свод Пр.19-23'!K28+'[9]Отклонение Пр.1-24-Пр.19-23'!K28</f>
        <v>2322</v>
      </c>
      <c r="L28" s="807">
        <f>'[9]Дисп. наблюдение Свод Пр.19-23'!L28+'[9]Отклонение Пр.1-24-Пр.19-23'!L28</f>
        <v>8386</v>
      </c>
      <c r="N28" s="810"/>
      <c r="O28" s="811"/>
    </row>
    <row r="29" spans="1:15" x14ac:dyDescent="0.25">
      <c r="A29" s="632">
        <v>18</v>
      </c>
      <c r="B29" s="636" t="s">
        <v>50</v>
      </c>
      <c r="C29" s="637" t="s">
        <v>51</v>
      </c>
      <c r="D29" s="807">
        <f t="shared" si="1"/>
        <v>15894</v>
      </c>
      <c r="E29" s="807">
        <f>'[9]Дисп. наблюдение Свод Пр.19-23'!E29+'[9]Отклонение Пр.1-24-Пр.19-23'!E29</f>
        <v>0</v>
      </c>
      <c r="F29" s="807">
        <f t="shared" si="2"/>
        <v>10502</v>
      </c>
      <c r="G29" s="807">
        <f>'[9]Дисп. наблюдение Свод Пр.19-23'!G29+'[9]Отклонение Пр.1-24-Пр.19-23'!G29</f>
        <v>2362</v>
      </c>
      <c r="H29" s="807">
        <f>'[9]Дисп. наблюдение Свод Пр.19-23'!H29+'[9]Отклонение Пр.1-24-Пр.19-23'!H29</f>
        <v>8140</v>
      </c>
      <c r="I29" s="807">
        <f t="shared" si="3"/>
        <v>5392</v>
      </c>
      <c r="J29" s="807">
        <f>'[9]Дисп. наблюдение Свод Пр.19-23'!J29+'[9]Отклонение Пр.1-24-Пр.19-23'!J29</f>
        <v>268</v>
      </c>
      <c r="K29" s="807">
        <f>'[9]Дисп. наблюдение Свод Пр.19-23'!K29+'[9]Отклонение Пр.1-24-Пр.19-23'!K29</f>
        <v>5124</v>
      </c>
      <c r="L29" s="807">
        <f>'[9]Дисп. наблюдение Свод Пр.19-23'!L29+'[9]Отклонение Пр.1-24-Пр.19-23'!L29</f>
        <v>17575</v>
      </c>
      <c r="N29" s="810"/>
      <c r="O29" s="811"/>
    </row>
    <row r="30" spans="1:15" x14ac:dyDescent="0.25">
      <c r="A30" s="639">
        <v>19</v>
      </c>
      <c r="B30" s="633" t="s">
        <v>52</v>
      </c>
      <c r="C30" s="634" t="s">
        <v>53</v>
      </c>
      <c r="D30" s="807">
        <f t="shared" si="1"/>
        <v>6793</v>
      </c>
      <c r="E30" s="807">
        <f>'[9]Дисп. наблюдение Свод Пр.19-23'!E30+'[9]Отклонение Пр.1-24-Пр.19-23'!E30</f>
        <v>0</v>
      </c>
      <c r="F30" s="807">
        <f t="shared" si="2"/>
        <v>2909</v>
      </c>
      <c r="G30" s="807">
        <f>'[9]Дисп. наблюдение Свод Пр.19-23'!G30+'[9]Отклонение Пр.1-24-Пр.19-23'!G30</f>
        <v>884</v>
      </c>
      <c r="H30" s="807">
        <f>'[9]Дисп. наблюдение Свод Пр.19-23'!H30+'[9]Отклонение Пр.1-24-Пр.19-23'!H30</f>
        <v>2025</v>
      </c>
      <c r="I30" s="807">
        <f t="shared" si="3"/>
        <v>3884</v>
      </c>
      <c r="J30" s="807">
        <f>'[9]Дисп. наблюдение Свод Пр.19-23'!J30+'[9]Отклонение Пр.1-24-Пр.19-23'!J30</f>
        <v>100</v>
      </c>
      <c r="K30" s="807">
        <f>'[9]Дисп. наблюдение Свод Пр.19-23'!K30+'[9]Отклонение Пр.1-24-Пр.19-23'!K30</f>
        <v>3784</v>
      </c>
      <c r="L30" s="807">
        <f>'[9]Дисп. наблюдение Свод Пр.19-23'!L30+'[9]Отклонение Пр.1-24-Пр.19-23'!L30</f>
        <v>3295</v>
      </c>
      <c r="N30" s="810"/>
      <c r="O30" s="811"/>
    </row>
    <row r="31" spans="1:15" x14ac:dyDescent="0.25">
      <c r="A31" s="632">
        <v>20</v>
      </c>
      <c r="B31" s="633" t="s">
        <v>54</v>
      </c>
      <c r="C31" s="634" t="s">
        <v>55</v>
      </c>
      <c r="D31" s="807">
        <f t="shared" si="1"/>
        <v>5596</v>
      </c>
      <c r="E31" s="807">
        <f>'[9]Дисп. наблюдение Свод Пр.19-23'!E31+'[9]Отклонение Пр.1-24-Пр.19-23'!E31</f>
        <v>0</v>
      </c>
      <c r="F31" s="807">
        <f t="shared" si="2"/>
        <v>4988</v>
      </c>
      <c r="G31" s="807">
        <f>'[9]Дисп. наблюдение Свод Пр.19-23'!G31+'[9]Отклонение Пр.1-24-Пр.19-23'!G31</f>
        <v>1079</v>
      </c>
      <c r="H31" s="807">
        <f>'[9]Дисп. наблюдение Свод Пр.19-23'!H31+'[9]Отклонение Пр.1-24-Пр.19-23'!H31</f>
        <v>3909</v>
      </c>
      <c r="I31" s="807">
        <f t="shared" si="3"/>
        <v>608</v>
      </c>
      <c r="J31" s="807">
        <f>'[9]Дисп. наблюдение Свод Пр.19-23'!J31+'[9]Отклонение Пр.1-24-Пр.19-23'!J31</f>
        <v>125</v>
      </c>
      <c r="K31" s="807">
        <f>'[9]Дисп. наблюдение Свод Пр.19-23'!K31+'[9]Отклонение Пр.1-24-Пр.19-23'!K31</f>
        <v>483</v>
      </c>
      <c r="L31" s="807">
        <f>'[9]Дисп. наблюдение Свод Пр.19-23'!L31+'[9]Отклонение Пр.1-24-Пр.19-23'!L31</f>
        <v>4550</v>
      </c>
      <c r="N31" s="810"/>
      <c r="O31" s="811"/>
    </row>
    <row r="32" spans="1:15" x14ac:dyDescent="0.25">
      <c r="A32" s="639">
        <v>21</v>
      </c>
      <c r="B32" s="633" t="s">
        <v>56</v>
      </c>
      <c r="C32" s="634" t="s">
        <v>57</v>
      </c>
      <c r="D32" s="807">
        <f t="shared" si="1"/>
        <v>26547</v>
      </c>
      <c r="E32" s="807">
        <f>'[9]Дисп. наблюдение Свод Пр.19-23'!E32+'[9]Отклонение Пр.1-24-Пр.19-23'!E32</f>
        <v>0</v>
      </c>
      <c r="F32" s="807">
        <f t="shared" si="2"/>
        <v>17486</v>
      </c>
      <c r="G32" s="807">
        <f>'[9]Дисп. наблюдение Свод Пр.19-23'!G32+'[9]Отклонение Пр.1-24-Пр.19-23'!G32</f>
        <v>3686</v>
      </c>
      <c r="H32" s="807">
        <f>'[9]Дисп. наблюдение Свод Пр.19-23'!H32+'[9]Отклонение Пр.1-24-Пр.19-23'!H32</f>
        <v>13800</v>
      </c>
      <c r="I32" s="807">
        <f t="shared" si="3"/>
        <v>9061</v>
      </c>
      <c r="J32" s="807">
        <f>'[9]Дисп. наблюдение Свод Пр.19-23'!J32+'[9]Отклонение Пр.1-24-Пр.19-23'!J32</f>
        <v>910</v>
      </c>
      <c r="K32" s="807">
        <f>'[9]Дисп. наблюдение Свод Пр.19-23'!K32+'[9]Отклонение Пр.1-24-Пр.19-23'!K32</f>
        <v>8151</v>
      </c>
      <c r="L32" s="807">
        <f>'[9]Дисп. наблюдение Свод Пр.19-23'!L32+'[9]Отклонение Пр.1-24-Пр.19-23'!L32</f>
        <v>16760</v>
      </c>
      <c r="N32" s="810"/>
      <c r="O32" s="811"/>
    </row>
    <row r="33" spans="1:15" x14ac:dyDescent="0.25">
      <c r="A33" s="632">
        <v>22</v>
      </c>
      <c r="B33" s="633" t="s">
        <v>58</v>
      </c>
      <c r="C33" s="634" t="s">
        <v>59</v>
      </c>
      <c r="D33" s="807">
        <f t="shared" si="1"/>
        <v>15970</v>
      </c>
      <c r="E33" s="807">
        <f>'[9]Дисп. наблюдение Свод Пр.19-23'!E33+'[9]Отклонение Пр.1-24-Пр.19-23'!E33</f>
        <v>0</v>
      </c>
      <c r="F33" s="807">
        <f t="shared" si="2"/>
        <v>11539</v>
      </c>
      <c r="G33" s="807">
        <f>'[9]Дисп. наблюдение Свод Пр.19-23'!G33+'[9]Отклонение Пр.1-24-Пр.19-23'!G33</f>
        <v>1616</v>
      </c>
      <c r="H33" s="807">
        <f>'[9]Дисп. наблюдение Свод Пр.19-23'!H33+'[9]Отклонение Пр.1-24-Пр.19-23'!H33</f>
        <v>9923</v>
      </c>
      <c r="I33" s="807">
        <f t="shared" si="3"/>
        <v>4431</v>
      </c>
      <c r="J33" s="807">
        <f>'[9]Дисп. наблюдение Свод Пр.19-23'!J33+'[9]Отклонение Пр.1-24-Пр.19-23'!J33</f>
        <v>306</v>
      </c>
      <c r="K33" s="807">
        <f>'[9]Дисп. наблюдение Свод Пр.19-23'!K33+'[9]Отклонение Пр.1-24-Пр.19-23'!K33</f>
        <v>4125</v>
      </c>
      <c r="L33" s="807">
        <f>'[9]Дисп. наблюдение Свод Пр.19-23'!L33+'[9]Отклонение Пр.1-24-Пр.19-23'!L33</f>
        <v>17702</v>
      </c>
      <c r="N33" s="810"/>
      <c r="O33" s="811"/>
    </row>
    <row r="34" spans="1:15" x14ac:dyDescent="0.25">
      <c r="A34" s="639">
        <v>23</v>
      </c>
      <c r="B34" s="636" t="s">
        <v>60</v>
      </c>
      <c r="C34" s="637" t="s">
        <v>61</v>
      </c>
      <c r="D34" s="807">
        <f t="shared" si="1"/>
        <v>4236</v>
      </c>
      <c r="E34" s="807">
        <f>'[9]Дисп. наблюдение Свод Пр.19-23'!E34+'[9]Отклонение Пр.1-24-Пр.19-23'!E34</f>
        <v>0</v>
      </c>
      <c r="F34" s="807">
        <f t="shared" si="2"/>
        <v>3123</v>
      </c>
      <c r="G34" s="807">
        <f>'[9]Дисп. наблюдение Свод Пр.19-23'!G34+'[9]Отклонение Пр.1-24-Пр.19-23'!G34</f>
        <v>464</v>
      </c>
      <c r="H34" s="807">
        <f>'[9]Дисп. наблюдение Свод Пр.19-23'!H34+'[9]Отклонение Пр.1-24-Пр.19-23'!H34</f>
        <v>2659</v>
      </c>
      <c r="I34" s="807">
        <f t="shared" si="3"/>
        <v>1113</v>
      </c>
      <c r="J34" s="807">
        <f>'[9]Дисп. наблюдение Свод Пр.19-23'!J34+'[9]Отклонение Пр.1-24-Пр.19-23'!J34</f>
        <v>36</v>
      </c>
      <c r="K34" s="807">
        <f>'[9]Дисп. наблюдение Свод Пр.19-23'!K34+'[9]Отклонение Пр.1-24-Пр.19-23'!K34</f>
        <v>1077</v>
      </c>
      <c r="L34" s="807">
        <f>'[9]Дисп. наблюдение Свод Пр.19-23'!L34+'[9]Отклонение Пр.1-24-Пр.19-23'!L34</f>
        <v>2442</v>
      </c>
      <c r="N34" s="810"/>
      <c r="O34" s="811"/>
    </row>
    <row r="35" spans="1:15" x14ac:dyDescent="0.25">
      <c r="A35" s="632">
        <v>24</v>
      </c>
      <c r="B35" s="636" t="s">
        <v>62</v>
      </c>
      <c r="C35" s="637" t="s">
        <v>63</v>
      </c>
      <c r="D35" s="807">
        <f t="shared" si="1"/>
        <v>0</v>
      </c>
      <c r="E35" s="807">
        <f>'[9]Дисп. наблюдение Свод Пр.19-23'!E35+'[9]Отклонение Пр.1-24-Пр.19-23'!E35</f>
        <v>0</v>
      </c>
      <c r="F35" s="807">
        <f t="shared" si="2"/>
        <v>0</v>
      </c>
      <c r="G35" s="807">
        <f>'[9]Дисп. наблюдение Свод Пр.19-23'!G35+'[9]Отклонение Пр.1-24-Пр.19-23'!G35</f>
        <v>0</v>
      </c>
      <c r="H35" s="807">
        <f>'[9]Дисп. наблюдение Свод Пр.19-23'!H35+'[9]Отклонение Пр.1-24-Пр.19-23'!H35</f>
        <v>0</v>
      </c>
      <c r="I35" s="807">
        <f t="shared" si="3"/>
        <v>0</v>
      </c>
      <c r="J35" s="807">
        <f>'[9]Дисп. наблюдение Свод Пр.19-23'!J35+'[9]Отклонение Пр.1-24-Пр.19-23'!J35</f>
        <v>0</v>
      </c>
      <c r="K35" s="807">
        <f>'[9]Дисп. наблюдение Свод Пр.19-23'!K35+'[9]Отклонение Пр.1-24-Пр.19-23'!K35</f>
        <v>0</v>
      </c>
      <c r="L35" s="807">
        <f>'[9]Дисп. наблюдение Свод Пр.19-23'!L35+'[9]Отклонение Пр.1-24-Пр.19-23'!L35</f>
        <v>0</v>
      </c>
      <c r="N35" s="810"/>
      <c r="O35" s="811"/>
    </row>
    <row r="36" spans="1:15" ht="24" x14ac:dyDescent="0.25">
      <c r="A36" s="639">
        <v>25</v>
      </c>
      <c r="B36" s="636" t="s">
        <v>64</v>
      </c>
      <c r="C36" s="637" t="s">
        <v>65</v>
      </c>
      <c r="D36" s="807">
        <f t="shared" si="1"/>
        <v>0</v>
      </c>
      <c r="E36" s="807">
        <f>'[9]Дисп. наблюдение Свод Пр.19-23'!E36+'[9]Отклонение Пр.1-24-Пр.19-23'!E36</f>
        <v>0</v>
      </c>
      <c r="F36" s="807">
        <f t="shared" si="2"/>
        <v>0</v>
      </c>
      <c r="G36" s="807">
        <f>'[9]Дисп. наблюдение Свод Пр.19-23'!G36+'[9]Отклонение Пр.1-24-Пр.19-23'!G36</f>
        <v>0</v>
      </c>
      <c r="H36" s="807">
        <f>'[9]Дисп. наблюдение Свод Пр.19-23'!H36+'[9]Отклонение Пр.1-24-Пр.19-23'!H36</f>
        <v>0</v>
      </c>
      <c r="I36" s="807">
        <f t="shared" si="3"/>
        <v>0</v>
      </c>
      <c r="J36" s="807">
        <f>'[9]Дисп. наблюдение Свод Пр.19-23'!J36+'[9]Отклонение Пр.1-24-Пр.19-23'!J36</f>
        <v>0</v>
      </c>
      <c r="K36" s="807">
        <f>'[9]Дисп. наблюдение Свод Пр.19-23'!K36+'[9]Отклонение Пр.1-24-Пр.19-23'!K36</f>
        <v>0</v>
      </c>
      <c r="L36" s="807">
        <f>'[9]Дисп. наблюдение Свод Пр.19-23'!L36+'[9]Отклонение Пр.1-24-Пр.19-23'!L36</f>
        <v>0</v>
      </c>
      <c r="N36" s="810"/>
      <c r="O36" s="811"/>
    </row>
    <row r="37" spans="1:15" x14ac:dyDescent="0.25">
      <c r="A37" s="632">
        <v>26</v>
      </c>
      <c r="B37" s="633" t="s">
        <v>66</v>
      </c>
      <c r="C37" s="32" t="s">
        <v>67</v>
      </c>
      <c r="D37" s="807">
        <f t="shared" si="1"/>
        <v>85958</v>
      </c>
      <c r="E37" s="807">
        <f>'[9]Дисп. наблюдение Свод Пр.19-23'!E37+'[9]Отклонение Пр.1-24-Пр.19-23'!E37</f>
        <v>0</v>
      </c>
      <c r="F37" s="807">
        <f t="shared" si="2"/>
        <v>82094</v>
      </c>
      <c r="G37" s="807">
        <f>'[9]Дисп. наблюдение Свод Пр.19-23'!G37+'[9]Отклонение Пр.1-24-Пр.19-23'!G37</f>
        <v>8121</v>
      </c>
      <c r="H37" s="807">
        <f>'[9]Дисп. наблюдение Свод Пр.19-23'!H37+'[9]Отклонение Пр.1-24-Пр.19-23'!H37</f>
        <v>73973</v>
      </c>
      <c r="I37" s="807">
        <f t="shared" si="3"/>
        <v>3864</v>
      </c>
      <c r="J37" s="807">
        <f>'[9]Дисп. наблюдение Свод Пр.19-23'!J37+'[9]Отклонение Пр.1-24-Пр.19-23'!J37</f>
        <v>139</v>
      </c>
      <c r="K37" s="807">
        <f>'[9]Дисп. наблюдение Свод Пр.19-23'!K37+'[9]Отклонение Пр.1-24-Пр.19-23'!K37</f>
        <v>3725</v>
      </c>
      <c r="L37" s="807">
        <f>'[9]Дисп. наблюдение Свод Пр.19-23'!L37+'[9]Отклонение Пр.1-24-Пр.19-23'!L37</f>
        <v>43160</v>
      </c>
      <c r="N37" s="810"/>
      <c r="O37" s="811"/>
    </row>
    <row r="38" spans="1:15" x14ac:dyDescent="0.25">
      <c r="A38" s="639">
        <v>27</v>
      </c>
      <c r="B38" s="636" t="s">
        <v>68</v>
      </c>
      <c r="C38" s="637" t="s">
        <v>69</v>
      </c>
      <c r="D38" s="807">
        <f t="shared" si="1"/>
        <v>7867</v>
      </c>
      <c r="E38" s="807">
        <f>'[9]Дисп. наблюдение Свод Пр.19-23'!E38+'[9]Отклонение Пр.1-24-Пр.19-23'!E38</f>
        <v>0</v>
      </c>
      <c r="F38" s="807">
        <f t="shared" si="2"/>
        <v>4606</v>
      </c>
      <c r="G38" s="807">
        <f>'[9]Дисп. наблюдение Свод Пр.19-23'!G38+'[9]Отклонение Пр.1-24-Пр.19-23'!G38</f>
        <v>1174</v>
      </c>
      <c r="H38" s="807">
        <f>'[9]Дисп. наблюдение Свод Пр.19-23'!H38+'[9]Отклонение Пр.1-24-Пр.19-23'!H38</f>
        <v>3432</v>
      </c>
      <c r="I38" s="807">
        <f t="shared" si="3"/>
        <v>3261</v>
      </c>
      <c r="J38" s="807">
        <f>'[9]Дисп. наблюдение Свод Пр.19-23'!J38+'[9]Отклонение Пр.1-24-Пр.19-23'!J38</f>
        <v>42</v>
      </c>
      <c r="K38" s="807">
        <f>'[9]Дисп. наблюдение Свод Пр.19-23'!K38+'[9]Отклонение Пр.1-24-Пр.19-23'!K38</f>
        <v>3219</v>
      </c>
      <c r="L38" s="807">
        <f>'[9]Дисп. наблюдение Свод Пр.19-23'!L38+'[9]Отклонение Пр.1-24-Пр.19-23'!L38</f>
        <v>11557</v>
      </c>
      <c r="N38" s="810"/>
      <c r="O38" s="811"/>
    </row>
    <row r="39" spans="1:15" x14ac:dyDescent="0.25">
      <c r="A39" s="632">
        <v>28</v>
      </c>
      <c r="B39" s="636" t="s">
        <v>70</v>
      </c>
      <c r="C39" s="637" t="s">
        <v>71</v>
      </c>
      <c r="D39" s="807">
        <f t="shared" si="1"/>
        <v>5633</v>
      </c>
      <c r="E39" s="807">
        <f>'[9]Дисп. наблюдение Свод Пр.19-23'!E39+'[9]Отклонение Пр.1-24-Пр.19-23'!E39</f>
        <v>0</v>
      </c>
      <c r="F39" s="807">
        <f t="shared" si="2"/>
        <v>0</v>
      </c>
      <c r="G39" s="807">
        <f>'[9]Дисп. наблюдение Свод Пр.19-23'!G39+'[9]Отклонение Пр.1-24-Пр.19-23'!G39</f>
        <v>0</v>
      </c>
      <c r="H39" s="807">
        <f>'[9]Дисп. наблюдение Свод Пр.19-23'!H39+'[9]Отклонение Пр.1-24-Пр.19-23'!H39</f>
        <v>0</v>
      </c>
      <c r="I39" s="807">
        <f t="shared" si="3"/>
        <v>5633</v>
      </c>
      <c r="J39" s="807">
        <f>'[9]Дисп. наблюдение Свод Пр.19-23'!J39+'[9]Отклонение Пр.1-24-Пр.19-23'!J39</f>
        <v>170</v>
      </c>
      <c r="K39" s="807">
        <f>'[9]Дисп. наблюдение Свод Пр.19-23'!K39+'[9]Отклонение Пр.1-24-Пр.19-23'!K39</f>
        <v>5463</v>
      </c>
      <c r="L39" s="807">
        <f>'[9]Дисп. наблюдение Свод Пр.19-23'!L39+'[9]Отклонение Пр.1-24-Пр.19-23'!L39</f>
        <v>0</v>
      </c>
      <c r="N39" s="810"/>
      <c r="O39" s="811"/>
    </row>
    <row r="40" spans="1:15" x14ac:dyDescent="0.25">
      <c r="A40" s="639">
        <v>29</v>
      </c>
      <c r="B40" s="635" t="s">
        <v>72</v>
      </c>
      <c r="C40" s="32" t="s">
        <v>73</v>
      </c>
      <c r="D40" s="807">
        <f t="shared" si="1"/>
        <v>0</v>
      </c>
      <c r="E40" s="807">
        <f>'[9]Дисп. наблюдение Свод Пр.19-23'!E40+'[9]Отклонение Пр.1-24-Пр.19-23'!E40</f>
        <v>0</v>
      </c>
      <c r="F40" s="807">
        <f t="shared" si="2"/>
        <v>0</v>
      </c>
      <c r="G40" s="807">
        <f>'[9]Дисп. наблюдение Свод Пр.19-23'!G40+'[9]Отклонение Пр.1-24-Пр.19-23'!G40</f>
        <v>0</v>
      </c>
      <c r="H40" s="807">
        <f>'[9]Дисп. наблюдение Свод Пр.19-23'!H40+'[9]Отклонение Пр.1-24-Пр.19-23'!H40</f>
        <v>0</v>
      </c>
      <c r="I40" s="807">
        <f t="shared" si="3"/>
        <v>0</v>
      </c>
      <c r="J40" s="807">
        <f>'[9]Дисп. наблюдение Свод Пр.19-23'!J40+'[9]Отклонение Пр.1-24-Пр.19-23'!J40</f>
        <v>0</v>
      </c>
      <c r="K40" s="807">
        <f>'[9]Дисп. наблюдение Свод Пр.19-23'!K40+'[9]Отклонение Пр.1-24-Пр.19-23'!K40</f>
        <v>0</v>
      </c>
      <c r="L40" s="807">
        <f>'[9]Дисп. наблюдение Свод Пр.19-23'!L40+'[9]Отклонение Пр.1-24-Пр.19-23'!L40</f>
        <v>0</v>
      </c>
      <c r="N40" s="810"/>
      <c r="O40" s="811"/>
    </row>
    <row r="41" spans="1:15" x14ac:dyDescent="0.25">
      <c r="A41" s="632">
        <v>30</v>
      </c>
      <c r="B41" s="633" t="s">
        <v>74</v>
      </c>
      <c r="C41" s="634" t="s">
        <v>357</v>
      </c>
      <c r="D41" s="807">
        <f t="shared" si="1"/>
        <v>0</v>
      </c>
      <c r="E41" s="807">
        <f>'[9]Дисп. наблюдение Свод Пр.19-23'!E41+'[9]Отклонение Пр.1-24-Пр.19-23'!E41</f>
        <v>0</v>
      </c>
      <c r="F41" s="807">
        <f t="shared" si="2"/>
        <v>0</v>
      </c>
      <c r="G41" s="807">
        <f>'[9]Дисп. наблюдение Свод Пр.19-23'!G41+'[9]Отклонение Пр.1-24-Пр.19-23'!G41</f>
        <v>0</v>
      </c>
      <c r="H41" s="807">
        <f>'[9]Дисп. наблюдение Свод Пр.19-23'!H41+'[9]Отклонение Пр.1-24-Пр.19-23'!H41</f>
        <v>0</v>
      </c>
      <c r="I41" s="807">
        <f t="shared" si="3"/>
        <v>0</v>
      </c>
      <c r="J41" s="807">
        <f>'[9]Дисп. наблюдение Свод Пр.19-23'!J41+'[9]Отклонение Пр.1-24-Пр.19-23'!J41</f>
        <v>0</v>
      </c>
      <c r="K41" s="807">
        <f>'[9]Дисп. наблюдение Свод Пр.19-23'!K41+'[9]Отклонение Пр.1-24-Пр.19-23'!K41</f>
        <v>0</v>
      </c>
      <c r="L41" s="807">
        <f>'[9]Дисп. наблюдение Свод Пр.19-23'!L41+'[9]Отклонение Пр.1-24-Пр.19-23'!L41</f>
        <v>0</v>
      </c>
      <c r="N41" s="810"/>
      <c r="O41" s="811"/>
    </row>
    <row r="42" spans="1:15" ht="24" x14ac:dyDescent="0.25">
      <c r="A42" s="639">
        <v>31</v>
      </c>
      <c r="B42" s="636" t="s">
        <v>75</v>
      </c>
      <c r="C42" s="637" t="s">
        <v>76</v>
      </c>
      <c r="D42" s="807">
        <f t="shared" si="1"/>
        <v>1065</v>
      </c>
      <c r="E42" s="807">
        <f>'[9]Дисп. наблюдение Свод Пр.19-23'!E42+'[9]Отклонение Пр.1-24-Пр.19-23'!E42</f>
        <v>0</v>
      </c>
      <c r="F42" s="807">
        <f t="shared" si="2"/>
        <v>1065</v>
      </c>
      <c r="G42" s="807">
        <f>'[9]Дисп. наблюдение Свод Пр.19-23'!G42+'[9]Отклонение Пр.1-24-Пр.19-23'!G42</f>
        <v>72</v>
      </c>
      <c r="H42" s="807">
        <f>'[9]Дисп. наблюдение Свод Пр.19-23'!H42+'[9]Отклонение Пр.1-24-Пр.19-23'!H42</f>
        <v>993</v>
      </c>
      <c r="I42" s="807">
        <f t="shared" si="3"/>
        <v>0</v>
      </c>
      <c r="J42" s="807">
        <f>'[9]Дисп. наблюдение Свод Пр.19-23'!J42+'[9]Отклонение Пр.1-24-Пр.19-23'!J42</f>
        <v>0</v>
      </c>
      <c r="K42" s="807">
        <f>'[9]Дисп. наблюдение Свод Пр.19-23'!K42+'[9]Отклонение Пр.1-24-Пр.19-23'!K42</f>
        <v>0</v>
      </c>
      <c r="L42" s="807">
        <f>'[9]Дисп. наблюдение Свод Пр.19-23'!L42+'[9]Отклонение Пр.1-24-Пр.19-23'!L42</f>
        <v>587</v>
      </c>
      <c r="N42" s="810"/>
      <c r="O42" s="811"/>
    </row>
    <row r="43" spans="1:15" x14ac:dyDescent="0.25">
      <c r="A43" s="632">
        <v>32</v>
      </c>
      <c r="B43" s="635" t="s">
        <v>77</v>
      </c>
      <c r="C43" s="634" t="s">
        <v>78</v>
      </c>
      <c r="D43" s="807">
        <f t="shared" si="1"/>
        <v>6830</v>
      </c>
      <c r="E43" s="807">
        <f>'[9]Дисп. наблюдение Свод Пр.19-23'!E43+'[9]Отклонение Пр.1-24-Пр.19-23'!E43</f>
        <v>0</v>
      </c>
      <c r="F43" s="807">
        <f t="shared" si="2"/>
        <v>5168</v>
      </c>
      <c r="G43" s="807">
        <f>'[9]Дисп. наблюдение Свод Пр.19-23'!G43+'[9]Отклонение Пр.1-24-Пр.19-23'!G43</f>
        <v>1685</v>
      </c>
      <c r="H43" s="807">
        <f>'[9]Дисп. наблюдение Свод Пр.19-23'!H43+'[9]Отклонение Пр.1-24-Пр.19-23'!H43</f>
        <v>3483</v>
      </c>
      <c r="I43" s="807">
        <f t="shared" si="3"/>
        <v>1662</v>
      </c>
      <c r="J43" s="807">
        <f>'[9]Дисп. наблюдение Свод Пр.19-23'!J43+'[9]Отклонение Пр.1-24-Пр.19-23'!J43</f>
        <v>63</v>
      </c>
      <c r="K43" s="807">
        <f>'[9]Дисп. наблюдение Свод Пр.19-23'!K43+'[9]Отклонение Пр.1-24-Пр.19-23'!K43</f>
        <v>1599</v>
      </c>
      <c r="L43" s="807">
        <f>'[9]Дисп. наблюдение Свод Пр.19-23'!L43+'[9]Отклонение Пр.1-24-Пр.19-23'!L43</f>
        <v>14876</v>
      </c>
      <c r="N43" s="810"/>
      <c r="O43" s="811"/>
    </row>
    <row r="44" spans="1:15" x14ac:dyDescent="0.25">
      <c r="A44" s="639">
        <v>33</v>
      </c>
      <c r="B44" s="638" t="s">
        <v>79</v>
      </c>
      <c r="C44" s="32" t="s">
        <v>80</v>
      </c>
      <c r="D44" s="807">
        <f t="shared" si="1"/>
        <v>42474</v>
      </c>
      <c r="E44" s="807">
        <f>'[9]Дисп. наблюдение Свод Пр.19-23'!E44+'[9]Отклонение Пр.1-24-Пр.19-23'!E44</f>
        <v>0</v>
      </c>
      <c r="F44" s="807">
        <f t="shared" si="2"/>
        <v>31148</v>
      </c>
      <c r="G44" s="807">
        <f>'[9]Дисп. наблюдение Свод Пр.19-23'!G44+'[9]Отклонение Пр.1-24-Пр.19-23'!G44</f>
        <v>5803</v>
      </c>
      <c r="H44" s="807">
        <f>'[9]Дисп. наблюдение Свод Пр.19-23'!H44+'[9]Отклонение Пр.1-24-Пр.19-23'!H44</f>
        <v>25345</v>
      </c>
      <c r="I44" s="807">
        <f t="shared" si="3"/>
        <v>11326</v>
      </c>
      <c r="J44" s="807">
        <f>'[9]Дисп. наблюдение Свод Пр.19-23'!J44+'[9]Отклонение Пр.1-24-Пр.19-23'!J44</f>
        <v>469</v>
      </c>
      <c r="K44" s="807">
        <f>'[9]Дисп. наблюдение Свод Пр.19-23'!K44+'[9]Отклонение Пр.1-24-Пр.19-23'!K44</f>
        <v>10857</v>
      </c>
      <c r="L44" s="807">
        <f>'[9]Дисп. наблюдение Свод Пр.19-23'!L44+'[9]Отклонение Пр.1-24-Пр.19-23'!L44</f>
        <v>29502</v>
      </c>
      <c r="N44" s="810"/>
      <c r="O44" s="811"/>
    </row>
    <row r="45" spans="1:15" x14ac:dyDescent="0.25">
      <c r="A45" s="632">
        <v>34</v>
      </c>
      <c r="B45" s="635" t="s">
        <v>81</v>
      </c>
      <c r="C45" s="634" t="s">
        <v>82</v>
      </c>
      <c r="D45" s="807">
        <f t="shared" si="1"/>
        <v>6770</v>
      </c>
      <c r="E45" s="807">
        <f>'[9]Дисп. наблюдение Свод Пр.19-23'!E45+'[9]Отклонение Пр.1-24-Пр.19-23'!E45</f>
        <v>0</v>
      </c>
      <c r="F45" s="807">
        <f t="shared" si="2"/>
        <v>5658</v>
      </c>
      <c r="G45" s="807">
        <f>'[9]Дисп. наблюдение Свод Пр.19-23'!G45+'[9]Отклонение Пр.1-24-Пр.19-23'!G45</f>
        <v>597</v>
      </c>
      <c r="H45" s="807">
        <f>'[9]Дисп. наблюдение Свод Пр.19-23'!H45+'[9]Отклонение Пр.1-24-Пр.19-23'!H45</f>
        <v>5061</v>
      </c>
      <c r="I45" s="807">
        <f t="shared" si="3"/>
        <v>1112</v>
      </c>
      <c r="J45" s="807">
        <f>'[9]Дисп. наблюдение Свод Пр.19-23'!J45+'[9]Отклонение Пр.1-24-Пр.19-23'!J45</f>
        <v>0</v>
      </c>
      <c r="K45" s="807">
        <f>'[9]Дисп. наблюдение Свод Пр.19-23'!K45+'[9]Отклонение Пр.1-24-Пр.19-23'!K45</f>
        <v>1112</v>
      </c>
      <c r="L45" s="807">
        <f>'[9]Дисп. наблюдение Свод Пр.19-23'!L45+'[9]Отклонение Пр.1-24-Пр.19-23'!L45</f>
        <v>4592</v>
      </c>
      <c r="N45" s="810"/>
      <c r="O45" s="811"/>
    </row>
    <row r="46" spans="1:15" x14ac:dyDescent="0.25">
      <c r="A46" s="639">
        <v>35</v>
      </c>
      <c r="B46" s="636" t="s">
        <v>83</v>
      </c>
      <c r="C46" s="637" t="s">
        <v>84</v>
      </c>
      <c r="D46" s="807">
        <f t="shared" si="1"/>
        <v>27785</v>
      </c>
      <c r="E46" s="807">
        <f>'[9]Дисп. наблюдение Свод Пр.19-23'!E46+'[9]Отклонение Пр.1-24-Пр.19-23'!E46</f>
        <v>0</v>
      </c>
      <c r="F46" s="807">
        <f t="shared" si="2"/>
        <v>19389</v>
      </c>
      <c r="G46" s="807">
        <f>'[9]Дисп. наблюдение Свод Пр.19-23'!G46+'[9]Отклонение Пр.1-24-Пр.19-23'!G46</f>
        <v>4100</v>
      </c>
      <c r="H46" s="807">
        <f>'[9]Дисп. наблюдение Свод Пр.19-23'!H46+'[9]Отклонение Пр.1-24-Пр.19-23'!H46</f>
        <v>15289</v>
      </c>
      <c r="I46" s="807">
        <f t="shared" si="3"/>
        <v>8396</v>
      </c>
      <c r="J46" s="807">
        <f>'[9]Дисп. наблюдение Свод Пр.19-23'!J46+'[9]Отклонение Пр.1-24-Пр.19-23'!J46</f>
        <v>386</v>
      </c>
      <c r="K46" s="807">
        <f>'[9]Дисп. наблюдение Свод Пр.19-23'!K46+'[9]Отклонение Пр.1-24-Пр.19-23'!K46</f>
        <v>8010</v>
      </c>
      <c r="L46" s="807">
        <f>'[9]Дисп. наблюдение Свод Пр.19-23'!L46+'[9]Отклонение Пр.1-24-Пр.19-23'!L46</f>
        <v>19087</v>
      </c>
      <c r="N46" s="810"/>
      <c r="O46" s="811"/>
    </row>
    <row r="47" spans="1:15" x14ac:dyDescent="0.25">
      <c r="A47" s="632">
        <v>36</v>
      </c>
      <c r="B47" s="635" t="s">
        <v>85</v>
      </c>
      <c r="C47" s="634" t="s">
        <v>86</v>
      </c>
      <c r="D47" s="807">
        <f t="shared" si="1"/>
        <v>9820</v>
      </c>
      <c r="E47" s="807">
        <f>'[9]Дисп. наблюдение Свод Пр.19-23'!E47+'[9]Отклонение Пр.1-24-Пр.19-23'!E47</f>
        <v>0</v>
      </c>
      <c r="F47" s="807">
        <f t="shared" si="2"/>
        <v>7174</v>
      </c>
      <c r="G47" s="807">
        <f>'[9]Дисп. наблюдение Свод Пр.19-23'!G47+'[9]Отклонение Пр.1-24-Пр.19-23'!G47</f>
        <v>1018</v>
      </c>
      <c r="H47" s="807">
        <f>'[9]Дисп. наблюдение Свод Пр.19-23'!H47+'[9]Отклонение Пр.1-24-Пр.19-23'!H47</f>
        <v>6156</v>
      </c>
      <c r="I47" s="807">
        <f t="shared" si="3"/>
        <v>2646</v>
      </c>
      <c r="J47" s="807">
        <f>'[9]Дисп. наблюдение Свод Пр.19-23'!J47+'[9]Отклонение Пр.1-24-Пр.19-23'!J47</f>
        <v>53</v>
      </c>
      <c r="K47" s="807">
        <f>'[9]Дисп. наблюдение Свод Пр.19-23'!K47+'[9]Отклонение Пр.1-24-Пр.19-23'!K47</f>
        <v>2593</v>
      </c>
      <c r="L47" s="807">
        <f>'[9]Дисп. наблюдение Свод Пр.19-23'!L47+'[9]Отклонение Пр.1-24-Пр.19-23'!L47</f>
        <v>7267</v>
      </c>
      <c r="N47" s="810"/>
      <c r="O47" s="811"/>
    </row>
    <row r="48" spans="1:15" x14ac:dyDescent="0.25">
      <c r="A48" s="639">
        <v>37</v>
      </c>
      <c r="B48" s="633" t="s">
        <v>87</v>
      </c>
      <c r="C48" s="634" t="s">
        <v>88</v>
      </c>
      <c r="D48" s="807">
        <f t="shared" si="1"/>
        <v>19131</v>
      </c>
      <c r="E48" s="807">
        <f>'[9]Дисп. наблюдение Свод Пр.19-23'!E48+'[9]Отклонение Пр.1-24-Пр.19-23'!E48</f>
        <v>0</v>
      </c>
      <c r="F48" s="807">
        <f t="shared" si="2"/>
        <v>11020</v>
      </c>
      <c r="G48" s="807">
        <f>'[9]Дисп. наблюдение Свод Пр.19-23'!G48+'[9]Отклонение Пр.1-24-Пр.19-23'!G48</f>
        <v>2993</v>
      </c>
      <c r="H48" s="807">
        <f>'[9]Дисп. наблюдение Свод Пр.19-23'!H48+'[9]Отклонение Пр.1-24-Пр.19-23'!H48</f>
        <v>8027</v>
      </c>
      <c r="I48" s="807">
        <f t="shared" si="3"/>
        <v>8111</v>
      </c>
      <c r="J48" s="807">
        <f>'[9]Дисп. наблюдение Свод Пр.19-23'!J48+'[9]Отклонение Пр.1-24-Пр.19-23'!J48</f>
        <v>605</v>
      </c>
      <c r="K48" s="807">
        <f>'[9]Дисп. наблюдение Свод Пр.19-23'!K48+'[9]Отклонение Пр.1-24-Пр.19-23'!K48</f>
        <v>7506</v>
      </c>
      <c r="L48" s="807">
        <f>'[9]Дисп. наблюдение Свод Пр.19-23'!L48+'[9]Отклонение Пр.1-24-Пр.19-23'!L48</f>
        <v>28055</v>
      </c>
      <c r="N48" s="810"/>
      <c r="O48" s="811"/>
    </row>
    <row r="49" spans="1:15" x14ac:dyDescent="0.25">
      <c r="A49" s="632">
        <v>38</v>
      </c>
      <c r="B49" s="640" t="s">
        <v>89</v>
      </c>
      <c r="C49" s="641" t="s">
        <v>90</v>
      </c>
      <c r="D49" s="807">
        <f t="shared" si="1"/>
        <v>6729</v>
      </c>
      <c r="E49" s="807">
        <f>'[9]Дисп. наблюдение Свод Пр.19-23'!E49+'[9]Отклонение Пр.1-24-Пр.19-23'!E49</f>
        <v>0</v>
      </c>
      <c r="F49" s="807">
        <f t="shared" si="2"/>
        <v>5011</v>
      </c>
      <c r="G49" s="807">
        <f>'[9]Дисп. наблюдение Свод Пр.19-23'!G49+'[9]Отклонение Пр.1-24-Пр.19-23'!G49</f>
        <v>1341</v>
      </c>
      <c r="H49" s="807">
        <f>'[9]Дисп. наблюдение Свод Пр.19-23'!H49+'[9]Отклонение Пр.1-24-Пр.19-23'!H49</f>
        <v>3670</v>
      </c>
      <c r="I49" s="807">
        <f t="shared" si="3"/>
        <v>1718</v>
      </c>
      <c r="J49" s="807">
        <f>'[9]Дисп. наблюдение Свод Пр.19-23'!J49+'[9]Отклонение Пр.1-24-Пр.19-23'!J49</f>
        <v>149</v>
      </c>
      <c r="K49" s="807">
        <f>'[9]Дисп. наблюдение Свод Пр.19-23'!K49+'[9]Отклонение Пр.1-24-Пр.19-23'!K49</f>
        <v>1569</v>
      </c>
      <c r="L49" s="807">
        <f>'[9]Дисп. наблюдение Свод Пр.19-23'!L49+'[9]Отклонение Пр.1-24-Пр.19-23'!L49</f>
        <v>6892</v>
      </c>
      <c r="N49" s="810"/>
      <c r="O49" s="811"/>
    </row>
    <row r="50" spans="1:15" x14ac:dyDescent="0.25">
      <c r="A50" s="639">
        <v>39</v>
      </c>
      <c r="B50" s="633" t="s">
        <v>91</v>
      </c>
      <c r="C50" s="634" t="s">
        <v>92</v>
      </c>
      <c r="D50" s="807">
        <f t="shared" si="1"/>
        <v>4672</v>
      </c>
      <c r="E50" s="807">
        <f>'[9]Дисп. наблюдение Свод Пр.19-23'!E50+'[9]Отклонение Пр.1-24-Пр.19-23'!E50</f>
        <v>0</v>
      </c>
      <c r="F50" s="807">
        <f t="shared" si="2"/>
        <v>3194</v>
      </c>
      <c r="G50" s="807">
        <f>'[9]Дисп. наблюдение Свод Пр.19-23'!G50+'[9]Отклонение Пр.1-24-Пр.19-23'!G50</f>
        <v>500</v>
      </c>
      <c r="H50" s="807">
        <f>'[9]Дисп. наблюдение Свод Пр.19-23'!H50+'[9]Отклонение Пр.1-24-Пр.19-23'!H50</f>
        <v>2694</v>
      </c>
      <c r="I50" s="807">
        <f t="shared" si="3"/>
        <v>1478</v>
      </c>
      <c r="J50" s="807">
        <f>'[9]Дисп. наблюдение Свод Пр.19-23'!J50+'[9]Отклонение Пр.1-24-Пр.19-23'!J50</f>
        <v>63</v>
      </c>
      <c r="K50" s="807">
        <f>'[9]Дисп. наблюдение Свод Пр.19-23'!K50+'[9]Отклонение Пр.1-24-Пр.19-23'!K50</f>
        <v>1415</v>
      </c>
      <c r="L50" s="807">
        <f>'[9]Дисп. наблюдение Свод Пр.19-23'!L50+'[9]Отклонение Пр.1-24-Пр.19-23'!L50</f>
        <v>7134</v>
      </c>
      <c r="N50" s="810"/>
      <c r="O50" s="811"/>
    </row>
    <row r="51" spans="1:15" x14ac:dyDescent="0.25">
      <c r="A51" s="632">
        <v>40</v>
      </c>
      <c r="B51" s="638" t="s">
        <v>93</v>
      </c>
      <c r="C51" s="32" t="s">
        <v>94</v>
      </c>
      <c r="D51" s="807">
        <f t="shared" si="1"/>
        <v>12079</v>
      </c>
      <c r="E51" s="807">
        <f>'[9]Дисп. наблюдение Свод Пр.19-23'!E51+'[9]Отклонение Пр.1-24-Пр.19-23'!E51</f>
        <v>0</v>
      </c>
      <c r="F51" s="807">
        <f t="shared" si="2"/>
        <v>7197</v>
      </c>
      <c r="G51" s="807">
        <f>'[9]Дисп. наблюдение Свод Пр.19-23'!G51+'[9]Отклонение Пр.1-24-Пр.19-23'!G51</f>
        <v>1325</v>
      </c>
      <c r="H51" s="807">
        <f>'[9]Дисп. наблюдение Свод Пр.19-23'!H51+'[9]Отклонение Пр.1-24-Пр.19-23'!H51</f>
        <v>5872</v>
      </c>
      <c r="I51" s="807">
        <f t="shared" si="3"/>
        <v>4882</v>
      </c>
      <c r="J51" s="807">
        <f>'[9]Дисп. наблюдение Свод Пр.19-23'!J51+'[9]Отклонение Пр.1-24-Пр.19-23'!J51</f>
        <v>6</v>
      </c>
      <c r="K51" s="807">
        <f>'[9]Дисп. наблюдение Свод Пр.19-23'!K51+'[9]Отклонение Пр.1-24-Пр.19-23'!K51</f>
        <v>4876</v>
      </c>
      <c r="L51" s="807">
        <f>'[9]Дисп. наблюдение Свод Пр.19-23'!L51+'[9]Отклонение Пр.1-24-Пр.19-23'!L51</f>
        <v>10179</v>
      </c>
      <c r="N51" s="810"/>
      <c r="O51" s="811"/>
    </row>
    <row r="52" spans="1:15" x14ac:dyDescent="0.25">
      <c r="A52" s="639">
        <v>41</v>
      </c>
      <c r="B52" s="636" t="s">
        <v>95</v>
      </c>
      <c r="C52" s="637" t="s">
        <v>96</v>
      </c>
      <c r="D52" s="807">
        <f t="shared" si="1"/>
        <v>5423</v>
      </c>
      <c r="E52" s="807">
        <f>'[9]Дисп. наблюдение Свод Пр.19-23'!E52+'[9]Отклонение Пр.1-24-Пр.19-23'!E52</f>
        <v>0</v>
      </c>
      <c r="F52" s="807">
        <f t="shared" si="2"/>
        <v>3942</v>
      </c>
      <c r="G52" s="807">
        <f>'[9]Дисп. наблюдение Свод Пр.19-23'!G52+'[9]Отклонение Пр.1-24-Пр.19-23'!G52</f>
        <v>749</v>
      </c>
      <c r="H52" s="807">
        <f>'[9]Дисп. наблюдение Свод Пр.19-23'!H52+'[9]Отклонение Пр.1-24-Пр.19-23'!H52</f>
        <v>3193</v>
      </c>
      <c r="I52" s="807">
        <f t="shared" si="3"/>
        <v>1481</v>
      </c>
      <c r="J52" s="807">
        <f>'[9]Дисп. наблюдение Свод Пр.19-23'!J52+'[9]Отклонение Пр.1-24-Пр.19-23'!J52</f>
        <v>276</v>
      </c>
      <c r="K52" s="807">
        <f>'[9]Дисп. наблюдение Свод Пр.19-23'!K52+'[9]Отклонение Пр.1-24-Пр.19-23'!K52</f>
        <v>1205</v>
      </c>
      <c r="L52" s="807">
        <f>'[9]Дисп. наблюдение Свод Пр.19-23'!L52+'[9]Отклонение Пр.1-24-Пр.19-23'!L52</f>
        <v>4778</v>
      </c>
      <c r="N52" s="810"/>
      <c r="O52" s="811"/>
    </row>
    <row r="53" spans="1:15" x14ac:dyDescent="0.25">
      <c r="A53" s="632">
        <v>42</v>
      </c>
      <c r="B53" s="635" t="s">
        <v>97</v>
      </c>
      <c r="C53" s="634" t="s">
        <v>98</v>
      </c>
      <c r="D53" s="807">
        <f t="shared" si="1"/>
        <v>2239</v>
      </c>
      <c r="E53" s="807">
        <f>'[9]Дисп. наблюдение Свод Пр.19-23'!E53+'[9]Отклонение Пр.1-24-Пр.19-23'!E53</f>
        <v>0</v>
      </c>
      <c r="F53" s="807">
        <f t="shared" si="2"/>
        <v>2239</v>
      </c>
      <c r="G53" s="807">
        <f>'[9]Дисп. наблюдение Свод Пр.19-23'!G53+'[9]Отклонение Пр.1-24-Пр.19-23'!G53</f>
        <v>627</v>
      </c>
      <c r="H53" s="807">
        <f>'[9]Дисп. наблюдение Свод Пр.19-23'!H53+'[9]Отклонение Пр.1-24-Пр.19-23'!H53</f>
        <v>1612</v>
      </c>
      <c r="I53" s="807">
        <f t="shared" si="3"/>
        <v>0</v>
      </c>
      <c r="J53" s="807">
        <f>'[9]Дисп. наблюдение Свод Пр.19-23'!J53+'[9]Отклонение Пр.1-24-Пр.19-23'!J53</f>
        <v>0</v>
      </c>
      <c r="K53" s="807">
        <f>'[9]Дисп. наблюдение Свод Пр.19-23'!K53+'[9]Отклонение Пр.1-24-Пр.19-23'!K53</f>
        <v>0</v>
      </c>
      <c r="L53" s="807">
        <f>'[9]Дисп. наблюдение Свод Пр.19-23'!L53+'[9]Отклонение Пр.1-24-Пр.19-23'!L53</f>
        <v>2382</v>
      </c>
      <c r="N53" s="810"/>
      <c r="O53" s="811"/>
    </row>
    <row r="54" spans="1:15" x14ac:dyDescent="0.25">
      <c r="A54" s="639">
        <v>43</v>
      </c>
      <c r="B54" s="636" t="s">
        <v>99</v>
      </c>
      <c r="C54" s="637" t="s">
        <v>100</v>
      </c>
      <c r="D54" s="807">
        <f t="shared" si="1"/>
        <v>27344</v>
      </c>
      <c r="E54" s="807">
        <f>'[9]Дисп. наблюдение Свод Пр.19-23'!E54+'[9]Отклонение Пр.1-24-Пр.19-23'!E54</f>
        <v>0</v>
      </c>
      <c r="F54" s="807">
        <f t="shared" si="2"/>
        <v>20756</v>
      </c>
      <c r="G54" s="807">
        <f>'[9]Дисп. наблюдение Свод Пр.19-23'!G54+'[9]Отклонение Пр.1-24-Пр.19-23'!G54</f>
        <v>2848</v>
      </c>
      <c r="H54" s="807">
        <f>'[9]Дисп. наблюдение Свод Пр.19-23'!H54+'[9]Отклонение Пр.1-24-Пр.19-23'!H54</f>
        <v>17908</v>
      </c>
      <c r="I54" s="807">
        <f t="shared" si="3"/>
        <v>6588</v>
      </c>
      <c r="J54" s="807">
        <f>'[9]Дисп. наблюдение Свод Пр.19-23'!J54+'[9]Отклонение Пр.1-24-Пр.19-23'!J54</f>
        <v>459</v>
      </c>
      <c r="K54" s="807">
        <f>'[9]Дисп. наблюдение Свод Пр.19-23'!K54+'[9]Отклонение Пр.1-24-Пр.19-23'!K54</f>
        <v>6129</v>
      </c>
      <c r="L54" s="807">
        <f>'[9]Дисп. наблюдение Свод Пр.19-23'!L54+'[9]Отклонение Пр.1-24-Пр.19-23'!L54</f>
        <v>27213</v>
      </c>
      <c r="N54" s="810"/>
      <c r="O54" s="811"/>
    </row>
    <row r="55" spans="1:15" x14ac:dyDescent="0.25">
      <c r="A55" s="632">
        <v>44</v>
      </c>
      <c r="B55" s="633" t="s">
        <v>101</v>
      </c>
      <c r="C55" s="634" t="s">
        <v>102</v>
      </c>
      <c r="D55" s="807">
        <f t="shared" si="1"/>
        <v>10684</v>
      </c>
      <c r="E55" s="807">
        <f>'[9]Дисп. наблюдение Свод Пр.19-23'!E55+'[9]Отклонение Пр.1-24-Пр.19-23'!E55</f>
        <v>0</v>
      </c>
      <c r="F55" s="807">
        <f t="shared" si="2"/>
        <v>8296</v>
      </c>
      <c r="G55" s="807">
        <f>'[9]Дисп. наблюдение Свод Пр.19-23'!G55+'[9]Отклонение Пр.1-24-Пр.19-23'!G55</f>
        <v>920</v>
      </c>
      <c r="H55" s="807">
        <f>'[9]Дисп. наблюдение Свод Пр.19-23'!H55+'[9]Отклонение Пр.1-24-Пр.19-23'!H55</f>
        <v>7376</v>
      </c>
      <c r="I55" s="807">
        <f t="shared" si="3"/>
        <v>2388</v>
      </c>
      <c r="J55" s="807">
        <f>'[9]Дисп. наблюдение Свод Пр.19-23'!J55+'[9]Отклонение Пр.1-24-Пр.19-23'!J55</f>
        <v>709</v>
      </c>
      <c r="K55" s="807">
        <f>'[9]Дисп. наблюдение Свод Пр.19-23'!K55+'[9]Отклонение Пр.1-24-Пр.19-23'!K55</f>
        <v>1679</v>
      </c>
      <c r="L55" s="807">
        <f>'[9]Дисп. наблюдение Свод Пр.19-23'!L55+'[9]Отклонение Пр.1-24-Пр.19-23'!L55</f>
        <v>7669</v>
      </c>
      <c r="N55" s="810"/>
      <c r="O55" s="811"/>
    </row>
    <row r="56" spans="1:15" x14ac:dyDescent="0.25">
      <c r="A56" s="639">
        <v>45</v>
      </c>
      <c r="B56" s="633" t="s">
        <v>103</v>
      </c>
      <c r="C56" s="634" t="s">
        <v>104</v>
      </c>
      <c r="D56" s="807">
        <f t="shared" si="1"/>
        <v>9310</v>
      </c>
      <c r="E56" s="807">
        <f>'[9]Дисп. наблюдение Свод Пр.19-23'!E56+'[9]Отклонение Пр.1-24-Пр.19-23'!E56</f>
        <v>0</v>
      </c>
      <c r="F56" s="807">
        <f t="shared" si="2"/>
        <v>7978</v>
      </c>
      <c r="G56" s="807">
        <f>'[9]Дисп. наблюдение Свод Пр.19-23'!G56+'[9]Отклонение Пр.1-24-Пр.19-23'!G56</f>
        <v>2236</v>
      </c>
      <c r="H56" s="807">
        <f>'[9]Дисп. наблюдение Свод Пр.19-23'!H56+'[9]Отклонение Пр.1-24-Пр.19-23'!H56</f>
        <v>5742</v>
      </c>
      <c r="I56" s="807">
        <f t="shared" si="3"/>
        <v>1332</v>
      </c>
      <c r="J56" s="807">
        <f>'[9]Дисп. наблюдение Свод Пр.19-23'!J56+'[9]Отклонение Пр.1-24-Пр.19-23'!J56</f>
        <v>32</v>
      </c>
      <c r="K56" s="807">
        <f>'[9]Дисп. наблюдение Свод Пр.19-23'!K56+'[9]Отклонение Пр.1-24-Пр.19-23'!K56</f>
        <v>1300</v>
      </c>
      <c r="L56" s="807">
        <f>'[9]Дисп. наблюдение Свод Пр.19-23'!L56+'[9]Отклонение Пр.1-24-Пр.19-23'!L56</f>
        <v>10858</v>
      </c>
      <c r="N56" s="810"/>
      <c r="O56" s="811"/>
    </row>
    <row r="57" spans="1:15" x14ac:dyDescent="0.25">
      <c r="A57" s="632">
        <v>46</v>
      </c>
      <c r="B57" s="636" t="s">
        <v>105</v>
      </c>
      <c r="C57" s="637" t="s">
        <v>106</v>
      </c>
      <c r="D57" s="807">
        <f t="shared" si="1"/>
        <v>4155</v>
      </c>
      <c r="E57" s="807">
        <f>'[9]Дисп. наблюдение Свод Пр.19-23'!E57+'[9]Отклонение Пр.1-24-Пр.19-23'!E57</f>
        <v>0</v>
      </c>
      <c r="F57" s="807">
        <f t="shared" si="2"/>
        <v>3133</v>
      </c>
      <c r="G57" s="807">
        <f>'[9]Дисп. наблюдение Свод Пр.19-23'!G57+'[9]Отклонение Пр.1-24-Пр.19-23'!G57</f>
        <v>756</v>
      </c>
      <c r="H57" s="807">
        <f>'[9]Дисп. наблюдение Свод Пр.19-23'!H57+'[9]Отклонение Пр.1-24-Пр.19-23'!H57</f>
        <v>2377</v>
      </c>
      <c r="I57" s="807">
        <f t="shared" si="3"/>
        <v>1022</v>
      </c>
      <c r="J57" s="807">
        <f>'[9]Дисп. наблюдение Свод Пр.19-23'!J57+'[9]Отклонение Пр.1-24-Пр.19-23'!J57</f>
        <v>198</v>
      </c>
      <c r="K57" s="807">
        <f>'[9]Дисп. наблюдение Свод Пр.19-23'!K57+'[9]Отклонение Пр.1-24-Пр.19-23'!K57</f>
        <v>824</v>
      </c>
      <c r="L57" s="807">
        <f>'[9]Дисп. наблюдение Свод Пр.19-23'!L57+'[9]Отклонение Пр.1-24-Пр.19-23'!L57</f>
        <v>6875</v>
      </c>
      <c r="N57" s="810"/>
      <c r="O57" s="811"/>
    </row>
    <row r="58" spans="1:15" x14ac:dyDescent="0.25">
      <c r="A58" s="639">
        <v>47</v>
      </c>
      <c r="B58" s="636" t="s">
        <v>107</v>
      </c>
      <c r="C58" s="637" t="s">
        <v>108</v>
      </c>
      <c r="D58" s="807">
        <f t="shared" si="1"/>
        <v>6997</v>
      </c>
      <c r="E58" s="807">
        <f>'[9]Дисп. наблюдение Свод Пр.19-23'!E58+'[9]Отклонение Пр.1-24-Пр.19-23'!E58</f>
        <v>0</v>
      </c>
      <c r="F58" s="807">
        <f t="shared" si="2"/>
        <v>5411</v>
      </c>
      <c r="G58" s="807">
        <f>'[9]Дисп. наблюдение Свод Пр.19-23'!G58+'[9]Отклонение Пр.1-24-Пр.19-23'!G58</f>
        <v>953</v>
      </c>
      <c r="H58" s="807">
        <f>'[9]Дисп. наблюдение Свод Пр.19-23'!H58+'[9]Отклонение Пр.1-24-Пр.19-23'!H58</f>
        <v>4458</v>
      </c>
      <c r="I58" s="807">
        <f t="shared" si="3"/>
        <v>1586</v>
      </c>
      <c r="J58" s="807">
        <f>'[9]Дисп. наблюдение Свод Пр.19-23'!J58+'[9]Отклонение Пр.1-24-Пр.19-23'!J58</f>
        <v>92</v>
      </c>
      <c r="K58" s="807">
        <f>'[9]Дисп. наблюдение Свод Пр.19-23'!K58+'[9]Отклонение Пр.1-24-Пр.19-23'!K58</f>
        <v>1494</v>
      </c>
      <c r="L58" s="807">
        <f>'[9]Дисп. наблюдение Свод Пр.19-23'!L58+'[9]Отклонение Пр.1-24-Пр.19-23'!L58</f>
        <v>9477</v>
      </c>
      <c r="N58" s="810"/>
      <c r="O58" s="811"/>
    </row>
    <row r="59" spans="1:15" x14ac:dyDescent="0.25">
      <c r="A59" s="632">
        <v>48</v>
      </c>
      <c r="B59" s="635" t="s">
        <v>109</v>
      </c>
      <c r="C59" s="634" t="s">
        <v>110</v>
      </c>
      <c r="D59" s="807">
        <f t="shared" si="1"/>
        <v>10175</v>
      </c>
      <c r="E59" s="807">
        <f>'[9]Дисп. наблюдение Свод Пр.19-23'!E59+'[9]Отклонение Пр.1-24-Пр.19-23'!E59</f>
        <v>0</v>
      </c>
      <c r="F59" s="807">
        <f t="shared" si="2"/>
        <v>4278</v>
      </c>
      <c r="G59" s="807">
        <f>'[9]Дисп. наблюдение Свод Пр.19-23'!G59+'[9]Отклонение Пр.1-24-Пр.19-23'!G59</f>
        <v>680</v>
      </c>
      <c r="H59" s="807">
        <f>'[9]Дисп. наблюдение Свод Пр.19-23'!H59+'[9]Отклонение Пр.1-24-Пр.19-23'!H59</f>
        <v>3598</v>
      </c>
      <c r="I59" s="807">
        <f t="shared" si="3"/>
        <v>5897</v>
      </c>
      <c r="J59" s="807">
        <f>'[9]Дисп. наблюдение Свод Пр.19-23'!J59+'[9]Отклонение Пр.1-24-Пр.19-23'!J59</f>
        <v>3</v>
      </c>
      <c r="K59" s="807">
        <f>'[9]Дисп. наблюдение Свод Пр.19-23'!K59+'[9]Отклонение Пр.1-24-Пр.19-23'!K59</f>
        <v>5894</v>
      </c>
      <c r="L59" s="807">
        <f>'[9]Дисп. наблюдение Свод Пр.19-23'!L59+'[9]Отклонение Пр.1-24-Пр.19-23'!L59</f>
        <v>10150</v>
      </c>
      <c r="N59" s="810"/>
      <c r="O59" s="811"/>
    </row>
    <row r="60" spans="1:15" x14ac:dyDescent="0.25">
      <c r="A60" s="639">
        <v>49</v>
      </c>
      <c r="B60" s="636" t="s">
        <v>111</v>
      </c>
      <c r="C60" s="637" t="s">
        <v>112</v>
      </c>
      <c r="D60" s="807">
        <f t="shared" si="1"/>
        <v>6856</v>
      </c>
      <c r="E60" s="807">
        <f>'[9]Дисп. наблюдение Свод Пр.19-23'!E60+'[9]Отклонение Пр.1-24-Пр.19-23'!E60</f>
        <v>0</v>
      </c>
      <c r="F60" s="807">
        <f t="shared" si="2"/>
        <v>5612</v>
      </c>
      <c r="G60" s="807">
        <f>'[9]Дисп. наблюдение Свод Пр.19-23'!G60+'[9]Отклонение Пр.1-24-Пр.19-23'!G60</f>
        <v>606</v>
      </c>
      <c r="H60" s="807">
        <f>'[9]Дисп. наблюдение Свод Пр.19-23'!H60+'[9]Отклонение Пр.1-24-Пр.19-23'!H60</f>
        <v>5006</v>
      </c>
      <c r="I60" s="807">
        <f t="shared" si="3"/>
        <v>1244</v>
      </c>
      <c r="J60" s="807">
        <f>'[9]Дисп. наблюдение Свод Пр.19-23'!J60+'[9]Отклонение Пр.1-24-Пр.19-23'!J60</f>
        <v>5</v>
      </c>
      <c r="K60" s="807">
        <f>'[9]Дисп. наблюдение Свод Пр.19-23'!K60+'[9]Отклонение Пр.1-24-Пр.19-23'!K60</f>
        <v>1239</v>
      </c>
      <c r="L60" s="807">
        <f>'[9]Дисп. наблюдение Свод Пр.19-23'!L60+'[9]Отклонение Пр.1-24-Пр.19-23'!L60</f>
        <v>4050</v>
      </c>
      <c r="N60" s="810"/>
      <c r="O60" s="811"/>
    </row>
    <row r="61" spans="1:15" x14ac:dyDescent="0.25">
      <c r="A61" s="632">
        <v>50</v>
      </c>
      <c r="B61" s="635" t="s">
        <v>113</v>
      </c>
      <c r="C61" s="634" t="s">
        <v>114</v>
      </c>
      <c r="D61" s="807">
        <f t="shared" si="1"/>
        <v>9057</v>
      </c>
      <c r="E61" s="807">
        <f>'[9]Дисп. наблюдение Свод Пр.19-23'!E61+'[9]Отклонение Пр.1-24-Пр.19-23'!E61</f>
        <v>0</v>
      </c>
      <c r="F61" s="807">
        <f t="shared" si="2"/>
        <v>6796</v>
      </c>
      <c r="G61" s="807">
        <f>'[9]Дисп. наблюдение Свод Пр.19-23'!G61+'[9]Отклонение Пр.1-24-Пр.19-23'!G61</f>
        <v>1182</v>
      </c>
      <c r="H61" s="807">
        <f>'[9]Дисп. наблюдение Свод Пр.19-23'!H61+'[9]Отклонение Пр.1-24-Пр.19-23'!H61</f>
        <v>5614</v>
      </c>
      <c r="I61" s="807">
        <f t="shared" si="3"/>
        <v>2261</v>
      </c>
      <c r="J61" s="807">
        <f>'[9]Дисп. наблюдение Свод Пр.19-23'!J61+'[9]Отклонение Пр.1-24-Пр.19-23'!J61</f>
        <v>68</v>
      </c>
      <c r="K61" s="807">
        <f>'[9]Дисп. наблюдение Свод Пр.19-23'!K61+'[9]Отклонение Пр.1-24-Пр.19-23'!K61</f>
        <v>2193</v>
      </c>
      <c r="L61" s="807">
        <f>'[9]Дисп. наблюдение Свод Пр.19-23'!L61+'[9]Отклонение Пр.1-24-Пр.19-23'!L61</f>
        <v>5429</v>
      </c>
      <c r="N61" s="810"/>
      <c r="O61" s="811"/>
    </row>
    <row r="62" spans="1:15" x14ac:dyDescent="0.25">
      <c r="A62" s="639">
        <v>51</v>
      </c>
      <c r="B62" s="636" t="s">
        <v>115</v>
      </c>
      <c r="C62" s="637" t="s">
        <v>116</v>
      </c>
      <c r="D62" s="807">
        <f t="shared" si="1"/>
        <v>20924</v>
      </c>
      <c r="E62" s="807">
        <f>'[9]Дисп. наблюдение Свод Пр.19-23'!E62+'[9]Отклонение Пр.1-24-Пр.19-23'!E62</f>
        <v>0</v>
      </c>
      <c r="F62" s="807">
        <f t="shared" si="2"/>
        <v>18838</v>
      </c>
      <c r="G62" s="807">
        <f>'[9]Дисп. наблюдение Свод Пр.19-23'!G62+'[9]Отклонение Пр.1-24-Пр.19-23'!G62</f>
        <v>1395</v>
      </c>
      <c r="H62" s="807">
        <f>'[9]Дисп. наблюдение Свод Пр.19-23'!H62+'[9]Отклонение Пр.1-24-Пр.19-23'!H62</f>
        <v>17443</v>
      </c>
      <c r="I62" s="807">
        <f t="shared" si="3"/>
        <v>2086</v>
      </c>
      <c r="J62" s="807">
        <f>'[9]Дисп. наблюдение Свод Пр.19-23'!J62+'[9]Отклонение Пр.1-24-Пр.19-23'!J62</f>
        <v>173</v>
      </c>
      <c r="K62" s="807">
        <f>'[9]Дисп. наблюдение Свод Пр.19-23'!K62+'[9]Отклонение Пр.1-24-Пр.19-23'!K62</f>
        <v>1913</v>
      </c>
      <c r="L62" s="807">
        <f>'[9]Дисп. наблюдение Свод Пр.19-23'!L62+'[9]Отклонение Пр.1-24-Пр.19-23'!L62</f>
        <v>20008</v>
      </c>
      <c r="N62" s="810"/>
      <c r="O62" s="811"/>
    </row>
    <row r="63" spans="1:15" x14ac:dyDescent="0.25">
      <c r="A63" s="632">
        <v>52</v>
      </c>
      <c r="B63" s="636" t="s">
        <v>117</v>
      </c>
      <c r="C63" s="637" t="s">
        <v>118</v>
      </c>
      <c r="D63" s="807">
        <f t="shared" si="1"/>
        <v>35898</v>
      </c>
      <c r="E63" s="807">
        <f>'[9]Дисп. наблюдение Свод Пр.19-23'!E63+'[9]Отклонение Пр.1-24-Пр.19-23'!E63</f>
        <v>0</v>
      </c>
      <c r="F63" s="807">
        <f t="shared" si="2"/>
        <v>28871</v>
      </c>
      <c r="G63" s="807">
        <f>'[9]Дисп. наблюдение Свод Пр.19-23'!G63+'[9]Отклонение Пр.1-24-Пр.19-23'!G63</f>
        <v>4158</v>
      </c>
      <c r="H63" s="807">
        <f>'[9]Дисп. наблюдение Свод Пр.19-23'!H63+'[9]Отклонение Пр.1-24-Пр.19-23'!H63</f>
        <v>24713</v>
      </c>
      <c r="I63" s="807">
        <f t="shared" si="3"/>
        <v>7027</v>
      </c>
      <c r="J63" s="807">
        <f>'[9]Дисп. наблюдение Свод Пр.19-23'!J63+'[9]Отклонение Пр.1-24-Пр.19-23'!J63</f>
        <v>74</v>
      </c>
      <c r="K63" s="807">
        <f>'[9]Дисп. наблюдение Свод Пр.19-23'!K63+'[9]Отклонение Пр.1-24-Пр.19-23'!K63</f>
        <v>6953</v>
      </c>
      <c r="L63" s="807">
        <f>'[9]Дисп. наблюдение Свод Пр.19-23'!L63+'[9]Отклонение Пр.1-24-Пр.19-23'!L63</f>
        <v>33915</v>
      </c>
      <c r="N63" s="810"/>
      <c r="O63" s="811"/>
    </row>
    <row r="64" spans="1:15" x14ac:dyDescent="0.25">
      <c r="A64" s="639">
        <v>53</v>
      </c>
      <c r="B64" s="636" t="s">
        <v>119</v>
      </c>
      <c r="C64" s="637" t="s">
        <v>120</v>
      </c>
      <c r="D64" s="807">
        <f t="shared" si="1"/>
        <v>5461</v>
      </c>
      <c r="E64" s="807">
        <f>'[9]Дисп. наблюдение Свод Пр.19-23'!E64+'[9]Отклонение Пр.1-24-Пр.19-23'!E64</f>
        <v>0</v>
      </c>
      <c r="F64" s="807">
        <f t="shared" si="2"/>
        <v>4470</v>
      </c>
      <c r="G64" s="807">
        <f>'[9]Дисп. наблюдение Свод Пр.19-23'!G64+'[9]Отклонение Пр.1-24-Пр.19-23'!G64</f>
        <v>435</v>
      </c>
      <c r="H64" s="807">
        <f>'[9]Дисп. наблюдение Свод Пр.19-23'!H64+'[9]Отклонение Пр.1-24-Пр.19-23'!H64</f>
        <v>4035</v>
      </c>
      <c r="I64" s="807">
        <f t="shared" si="3"/>
        <v>991</v>
      </c>
      <c r="J64" s="807">
        <f>'[9]Дисп. наблюдение Свод Пр.19-23'!J64+'[9]Отклонение Пр.1-24-Пр.19-23'!J64</f>
        <v>2</v>
      </c>
      <c r="K64" s="807">
        <f>'[9]Дисп. наблюдение Свод Пр.19-23'!K64+'[9]Отклонение Пр.1-24-Пр.19-23'!K64</f>
        <v>989</v>
      </c>
      <c r="L64" s="807">
        <f>'[9]Дисп. наблюдение Свод Пр.19-23'!L64+'[9]Отклонение Пр.1-24-Пр.19-23'!L64</f>
        <v>5899</v>
      </c>
      <c r="N64" s="810"/>
      <c r="O64" s="811"/>
    </row>
    <row r="65" spans="1:15" x14ac:dyDescent="0.25">
      <c r="A65" s="632">
        <v>54</v>
      </c>
      <c r="B65" s="636" t="s">
        <v>121</v>
      </c>
      <c r="C65" s="637" t="s">
        <v>122</v>
      </c>
      <c r="D65" s="807">
        <f t="shared" si="1"/>
        <v>0</v>
      </c>
      <c r="E65" s="807">
        <f>'[9]Дисп. наблюдение Свод Пр.19-23'!E65+'[9]Отклонение Пр.1-24-Пр.19-23'!E65</f>
        <v>0</v>
      </c>
      <c r="F65" s="807">
        <f t="shared" si="2"/>
        <v>0</v>
      </c>
      <c r="G65" s="807">
        <f>'[9]Дисп. наблюдение Свод Пр.19-23'!G65+'[9]Отклонение Пр.1-24-Пр.19-23'!G65</f>
        <v>0</v>
      </c>
      <c r="H65" s="807">
        <f>'[9]Дисп. наблюдение Свод Пр.19-23'!H65+'[9]Отклонение Пр.1-24-Пр.19-23'!H65</f>
        <v>0</v>
      </c>
      <c r="I65" s="807">
        <f t="shared" si="3"/>
        <v>0</v>
      </c>
      <c r="J65" s="807">
        <f>'[9]Дисп. наблюдение Свод Пр.19-23'!J65+'[9]Отклонение Пр.1-24-Пр.19-23'!J65</f>
        <v>0</v>
      </c>
      <c r="K65" s="807">
        <f>'[9]Дисп. наблюдение Свод Пр.19-23'!K65+'[9]Отклонение Пр.1-24-Пр.19-23'!K65</f>
        <v>0</v>
      </c>
      <c r="L65" s="807">
        <f>'[9]Дисп. наблюдение Свод Пр.19-23'!L65+'[9]Отклонение Пр.1-24-Пр.19-23'!L65</f>
        <v>0</v>
      </c>
      <c r="N65" s="810"/>
      <c r="O65" s="811"/>
    </row>
    <row r="66" spans="1:15" x14ac:dyDescent="0.25">
      <c r="A66" s="639">
        <v>55</v>
      </c>
      <c r="B66" s="636" t="s">
        <v>123</v>
      </c>
      <c r="C66" s="637" t="s">
        <v>124</v>
      </c>
      <c r="D66" s="807">
        <f t="shared" si="1"/>
        <v>0</v>
      </c>
      <c r="E66" s="807">
        <f>'[9]Дисп. наблюдение Свод Пр.19-23'!E66+'[9]Отклонение Пр.1-24-Пр.19-23'!E66</f>
        <v>0</v>
      </c>
      <c r="F66" s="807">
        <f t="shared" si="2"/>
        <v>0</v>
      </c>
      <c r="G66" s="807">
        <f>'[9]Дисп. наблюдение Свод Пр.19-23'!G66+'[9]Отклонение Пр.1-24-Пр.19-23'!G66</f>
        <v>0</v>
      </c>
      <c r="H66" s="807">
        <f>'[9]Дисп. наблюдение Свод Пр.19-23'!H66+'[9]Отклонение Пр.1-24-Пр.19-23'!H66</f>
        <v>0</v>
      </c>
      <c r="I66" s="807">
        <f t="shared" si="3"/>
        <v>0</v>
      </c>
      <c r="J66" s="807">
        <f>'[9]Дисп. наблюдение Свод Пр.19-23'!J66+'[9]Отклонение Пр.1-24-Пр.19-23'!J66</f>
        <v>0</v>
      </c>
      <c r="K66" s="807">
        <f>'[9]Дисп. наблюдение Свод Пр.19-23'!K66+'[9]Отклонение Пр.1-24-Пр.19-23'!K66</f>
        <v>0</v>
      </c>
      <c r="L66" s="807">
        <f>'[9]Дисп. наблюдение Свод Пр.19-23'!L66+'[9]Отклонение Пр.1-24-Пр.19-23'!L66</f>
        <v>0</v>
      </c>
      <c r="N66" s="810"/>
      <c r="O66" s="811"/>
    </row>
    <row r="67" spans="1:15" ht="24" x14ac:dyDescent="0.25">
      <c r="A67" s="632">
        <v>56</v>
      </c>
      <c r="B67" s="642" t="s">
        <v>125</v>
      </c>
      <c r="C67" s="32" t="s">
        <v>126</v>
      </c>
      <c r="D67" s="807">
        <f t="shared" si="1"/>
        <v>0</v>
      </c>
      <c r="E67" s="807">
        <f>'[9]Дисп. наблюдение Свод Пр.19-23'!E67+'[9]Отклонение Пр.1-24-Пр.19-23'!E67</f>
        <v>0</v>
      </c>
      <c r="F67" s="807">
        <f t="shared" si="2"/>
        <v>0</v>
      </c>
      <c r="G67" s="807">
        <f>'[9]Дисп. наблюдение Свод Пр.19-23'!G67+'[9]Отклонение Пр.1-24-Пр.19-23'!G67</f>
        <v>0</v>
      </c>
      <c r="H67" s="807">
        <f>'[9]Дисп. наблюдение Свод Пр.19-23'!H67+'[9]Отклонение Пр.1-24-Пр.19-23'!H67</f>
        <v>0</v>
      </c>
      <c r="I67" s="807">
        <f t="shared" si="3"/>
        <v>0</v>
      </c>
      <c r="J67" s="807">
        <f>'[9]Дисп. наблюдение Свод Пр.19-23'!J67+'[9]Отклонение Пр.1-24-Пр.19-23'!J67</f>
        <v>0</v>
      </c>
      <c r="K67" s="807">
        <f>'[9]Дисп. наблюдение Свод Пр.19-23'!K67+'[9]Отклонение Пр.1-24-Пр.19-23'!K67</f>
        <v>0</v>
      </c>
      <c r="L67" s="807">
        <f>'[9]Дисп. наблюдение Свод Пр.19-23'!L67+'[9]Отклонение Пр.1-24-Пр.19-23'!L67</f>
        <v>0</v>
      </c>
      <c r="N67" s="810"/>
      <c r="O67" s="811"/>
    </row>
    <row r="68" spans="1:15" ht="24" x14ac:dyDescent="0.25">
      <c r="A68" s="639">
        <v>57</v>
      </c>
      <c r="B68" s="636" t="s">
        <v>127</v>
      </c>
      <c r="C68" s="637" t="s">
        <v>128</v>
      </c>
      <c r="D68" s="807">
        <f t="shared" si="1"/>
        <v>12107</v>
      </c>
      <c r="E68" s="807">
        <f>'[9]Дисп. наблюдение Свод Пр.19-23'!E68+'[9]Отклонение Пр.1-24-Пр.19-23'!E68</f>
        <v>0</v>
      </c>
      <c r="F68" s="807">
        <f t="shared" si="2"/>
        <v>0</v>
      </c>
      <c r="G68" s="807">
        <f>'[9]Дисп. наблюдение Свод Пр.19-23'!G68+'[9]Отклонение Пр.1-24-Пр.19-23'!G68</f>
        <v>0</v>
      </c>
      <c r="H68" s="807">
        <f>'[9]Дисп. наблюдение Свод Пр.19-23'!H68+'[9]Отклонение Пр.1-24-Пр.19-23'!H68</f>
        <v>0</v>
      </c>
      <c r="I68" s="807">
        <f t="shared" si="3"/>
        <v>12107</v>
      </c>
      <c r="J68" s="807">
        <f>'[9]Дисп. наблюдение Свод Пр.19-23'!J68+'[9]Отклонение Пр.1-24-Пр.19-23'!J68</f>
        <v>360</v>
      </c>
      <c r="K68" s="807">
        <f>'[9]Дисп. наблюдение Свод Пр.19-23'!K68+'[9]Отклонение Пр.1-24-Пр.19-23'!K68</f>
        <v>11747</v>
      </c>
      <c r="L68" s="807">
        <f>'[9]Дисп. наблюдение Свод Пр.19-23'!L68+'[9]Отклонение Пр.1-24-Пр.19-23'!L68</f>
        <v>0</v>
      </c>
      <c r="N68" s="810"/>
      <c r="O68" s="811"/>
    </row>
    <row r="69" spans="1:15" ht="24" x14ac:dyDescent="0.25">
      <c r="A69" s="632">
        <v>58</v>
      </c>
      <c r="B69" s="635" t="s">
        <v>129</v>
      </c>
      <c r="C69" s="637" t="s">
        <v>130</v>
      </c>
      <c r="D69" s="807">
        <f t="shared" si="1"/>
        <v>11409</v>
      </c>
      <c r="E69" s="807">
        <f>'[9]Дисп. наблюдение Свод Пр.19-23'!E69+'[9]Отклонение Пр.1-24-Пр.19-23'!E69</f>
        <v>0</v>
      </c>
      <c r="F69" s="807">
        <f t="shared" si="2"/>
        <v>0</v>
      </c>
      <c r="G69" s="807">
        <f>'[9]Дисп. наблюдение Свод Пр.19-23'!G69+'[9]Отклонение Пр.1-24-Пр.19-23'!G69</f>
        <v>0</v>
      </c>
      <c r="H69" s="807">
        <f>'[9]Дисп. наблюдение Свод Пр.19-23'!H69+'[9]Отклонение Пр.1-24-Пр.19-23'!H69</f>
        <v>0</v>
      </c>
      <c r="I69" s="807">
        <f t="shared" si="3"/>
        <v>11409</v>
      </c>
      <c r="J69" s="807">
        <f>'[9]Дисп. наблюдение Свод Пр.19-23'!J69+'[9]Отклонение Пр.1-24-Пр.19-23'!J69</f>
        <v>577</v>
      </c>
      <c r="K69" s="807">
        <f>'[9]Дисп. наблюдение Свод Пр.19-23'!K69+'[9]Отклонение Пр.1-24-Пр.19-23'!K69</f>
        <v>10832</v>
      </c>
      <c r="L69" s="807">
        <f>'[9]Дисп. наблюдение Свод Пр.19-23'!L69+'[9]Отклонение Пр.1-24-Пр.19-23'!L69</f>
        <v>0</v>
      </c>
      <c r="N69" s="810"/>
      <c r="O69" s="811"/>
    </row>
    <row r="70" spans="1:15" ht="24" x14ac:dyDescent="0.25">
      <c r="A70" s="639">
        <v>59</v>
      </c>
      <c r="B70" s="638" t="s">
        <v>131</v>
      </c>
      <c r="C70" s="32" t="s">
        <v>132</v>
      </c>
      <c r="D70" s="807">
        <f t="shared" si="1"/>
        <v>27848</v>
      </c>
      <c r="E70" s="807">
        <f>'[9]Дисп. наблюдение Свод Пр.19-23'!E70+'[9]Отклонение Пр.1-24-Пр.19-23'!E70</f>
        <v>0</v>
      </c>
      <c r="F70" s="807">
        <f t="shared" si="2"/>
        <v>0</v>
      </c>
      <c r="G70" s="807">
        <f>'[9]Дисп. наблюдение Свод Пр.19-23'!G70+'[9]Отклонение Пр.1-24-Пр.19-23'!G70</f>
        <v>0</v>
      </c>
      <c r="H70" s="807">
        <f>'[9]Дисп. наблюдение Свод Пр.19-23'!H70+'[9]Отклонение Пр.1-24-Пр.19-23'!H70</f>
        <v>0</v>
      </c>
      <c r="I70" s="807">
        <f t="shared" si="3"/>
        <v>27848</v>
      </c>
      <c r="J70" s="807">
        <f>'[9]Дисп. наблюдение Свод Пр.19-23'!J70+'[9]Отклонение Пр.1-24-Пр.19-23'!J70</f>
        <v>726</v>
      </c>
      <c r="K70" s="807">
        <f>'[9]Дисп. наблюдение Свод Пр.19-23'!K70+'[9]Отклонение Пр.1-24-Пр.19-23'!K70</f>
        <v>27122</v>
      </c>
      <c r="L70" s="807">
        <f>'[9]Дисп. наблюдение Свод Пр.19-23'!L70+'[9]Отклонение Пр.1-24-Пр.19-23'!L70</f>
        <v>0</v>
      </c>
      <c r="N70" s="810"/>
      <c r="O70" s="811"/>
    </row>
    <row r="71" spans="1:15" ht="24" x14ac:dyDescent="0.25">
      <c r="A71" s="632">
        <v>60</v>
      </c>
      <c r="B71" s="635" t="s">
        <v>133</v>
      </c>
      <c r="C71" s="637" t="s">
        <v>134</v>
      </c>
      <c r="D71" s="807">
        <f t="shared" si="1"/>
        <v>23699</v>
      </c>
      <c r="E71" s="807">
        <f>'[9]Дисп. наблюдение Свод Пр.19-23'!E71+'[9]Отклонение Пр.1-24-Пр.19-23'!E71</f>
        <v>0</v>
      </c>
      <c r="F71" s="807">
        <f t="shared" si="2"/>
        <v>0</v>
      </c>
      <c r="G71" s="807">
        <f>'[9]Дисп. наблюдение Свод Пр.19-23'!G71+'[9]Отклонение Пр.1-24-Пр.19-23'!G71</f>
        <v>0</v>
      </c>
      <c r="H71" s="807">
        <f>'[9]Дисп. наблюдение Свод Пр.19-23'!H71+'[9]Отклонение Пр.1-24-Пр.19-23'!H71</f>
        <v>0</v>
      </c>
      <c r="I71" s="807">
        <f t="shared" si="3"/>
        <v>23699</v>
      </c>
      <c r="J71" s="807">
        <f>'[9]Дисп. наблюдение Свод Пр.19-23'!J71+'[9]Отклонение Пр.1-24-Пр.19-23'!J71</f>
        <v>5</v>
      </c>
      <c r="K71" s="807">
        <f>'[9]Дисп. наблюдение Свод Пр.19-23'!K71+'[9]Отклонение Пр.1-24-Пр.19-23'!K71</f>
        <v>23694</v>
      </c>
      <c r="L71" s="807">
        <f>'[9]Дисп. наблюдение Свод Пр.19-23'!L71+'[9]Отклонение Пр.1-24-Пр.19-23'!L71</f>
        <v>0</v>
      </c>
      <c r="N71" s="810"/>
      <c r="O71" s="811"/>
    </row>
    <row r="72" spans="1:15" ht="24" x14ac:dyDescent="0.25">
      <c r="A72" s="639">
        <v>61</v>
      </c>
      <c r="B72" s="636" t="s">
        <v>135</v>
      </c>
      <c r="C72" s="637" t="s">
        <v>136</v>
      </c>
      <c r="D72" s="807">
        <f t="shared" si="1"/>
        <v>12431</v>
      </c>
      <c r="E72" s="807">
        <f>'[9]Дисп. наблюдение Свод Пр.19-23'!E72+'[9]Отклонение Пр.1-24-Пр.19-23'!E72</f>
        <v>0</v>
      </c>
      <c r="F72" s="807">
        <f t="shared" si="2"/>
        <v>0</v>
      </c>
      <c r="G72" s="807">
        <f>'[9]Дисп. наблюдение Свод Пр.19-23'!G72+'[9]Отклонение Пр.1-24-Пр.19-23'!G72</f>
        <v>0</v>
      </c>
      <c r="H72" s="807">
        <f>'[9]Дисп. наблюдение Свод Пр.19-23'!H72+'[9]Отклонение Пр.1-24-Пр.19-23'!H72</f>
        <v>0</v>
      </c>
      <c r="I72" s="807">
        <f t="shared" si="3"/>
        <v>12431</v>
      </c>
      <c r="J72" s="807">
        <f>'[9]Дисп. наблюдение Свод Пр.19-23'!J72+'[9]Отклонение Пр.1-24-Пр.19-23'!J72</f>
        <v>1141</v>
      </c>
      <c r="K72" s="807">
        <f>'[9]Дисп. наблюдение Свод Пр.19-23'!K72+'[9]Отклонение Пр.1-24-Пр.19-23'!K72</f>
        <v>11290</v>
      </c>
      <c r="L72" s="807">
        <f>'[9]Дисп. наблюдение Свод Пр.19-23'!L72+'[9]Отклонение Пр.1-24-Пр.19-23'!L72</f>
        <v>0</v>
      </c>
      <c r="N72" s="810"/>
      <c r="O72" s="811"/>
    </row>
    <row r="73" spans="1:15" ht="36" x14ac:dyDescent="0.25">
      <c r="A73" s="632">
        <v>62</v>
      </c>
      <c r="B73" s="633" t="s">
        <v>137</v>
      </c>
      <c r="C73" s="637" t="s">
        <v>138</v>
      </c>
      <c r="D73" s="807">
        <f t="shared" si="1"/>
        <v>0</v>
      </c>
      <c r="E73" s="807">
        <f>'[9]Дисп. наблюдение Свод Пр.19-23'!E73+'[9]Отклонение Пр.1-24-Пр.19-23'!E73</f>
        <v>0</v>
      </c>
      <c r="F73" s="807">
        <f t="shared" si="2"/>
        <v>0</v>
      </c>
      <c r="G73" s="807">
        <f>'[9]Дисп. наблюдение Свод Пр.19-23'!G73+'[9]Отклонение Пр.1-24-Пр.19-23'!G73</f>
        <v>0</v>
      </c>
      <c r="H73" s="807">
        <f>'[9]Дисп. наблюдение Свод Пр.19-23'!H73+'[9]Отклонение Пр.1-24-Пр.19-23'!H73</f>
        <v>0</v>
      </c>
      <c r="I73" s="807">
        <f t="shared" si="3"/>
        <v>0</v>
      </c>
      <c r="J73" s="807">
        <f>'[9]Дисп. наблюдение Свод Пр.19-23'!J73+'[9]Отклонение Пр.1-24-Пр.19-23'!J73</f>
        <v>0</v>
      </c>
      <c r="K73" s="807">
        <f>'[9]Дисп. наблюдение Свод Пр.19-23'!K73+'[9]Отклонение Пр.1-24-Пр.19-23'!K73</f>
        <v>0</v>
      </c>
      <c r="L73" s="807">
        <f>'[9]Дисп. наблюдение Свод Пр.19-23'!L73+'[9]Отклонение Пр.1-24-Пр.19-23'!L73</f>
        <v>0</v>
      </c>
      <c r="N73" s="810"/>
      <c r="O73" s="811"/>
    </row>
    <row r="74" spans="1:15" ht="36" x14ac:dyDescent="0.25">
      <c r="A74" s="639">
        <v>63</v>
      </c>
      <c r="B74" s="633" t="s">
        <v>139</v>
      </c>
      <c r="C74" s="637" t="s">
        <v>140</v>
      </c>
      <c r="D74" s="807">
        <f t="shared" si="1"/>
        <v>0</v>
      </c>
      <c r="E74" s="807">
        <f>'[9]Дисп. наблюдение Свод Пр.19-23'!E74+'[9]Отклонение Пр.1-24-Пр.19-23'!E74</f>
        <v>0</v>
      </c>
      <c r="F74" s="807">
        <f t="shared" si="2"/>
        <v>0</v>
      </c>
      <c r="G74" s="807">
        <f>'[9]Дисп. наблюдение Свод Пр.19-23'!G74+'[9]Отклонение Пр.1-24-Пр.19-23'!G74</f>
        <v>0</v>
      </c>
      <c r="H74" s="807">
        <f>'[9]Дисп. наблюдение Свод Пр.19-23'!H74+'[9]Отклонение Пр.1-24-Пр.19-23'!H74</f>
        <v>0</v>
      </c>
      <c r="I74" s="807">
        <f t="shared" si="3"/>
        <v>0</v>
      </c>
      <c r="J74" s="807">
        <f>'[9]Дисп. наблюдение Свод Пр.19-23'!J74+'[9]Отклонение Пр.1-24-Пр.19-23'!J74</f>
        <v>0</v>
      </c>
      <c r="K74" s="807">
        <f>'[9]Дисп. наблюдение Свод Пр.19-23'!K74+'[9]Отклонение Пр.1-24-Пр.19-23'!K74</f>
        <v>0</v>
      </c>
      <c r="L74" s="807">
        <f>'[9]Дисп. наблюдение Свод Пр.19-23'!L74+'[9]Отклонение Пр.1-24-Пр.19-23'!L74</f>
        <v>0</v>
      </c>
      <c r="N74" s="810"/>
      <c r="O74" s="811"/>
    </row>
    <row r="75" spans="1:15" x14ac:dyDescent="0.25">
      <c r="A75" s="632">
        <v>64</v>
      </c>
      <c r="B75" s="635" t="s">
        <v>141</v>
      </c>
      <c r="C75" s="637" t="s">
        <v>142</v>
      </c>
      <c r="D75" s="807">
        <f t="shared" si="1"/>
        <v>22513</v>
      </c>
      <c r="E75" s="807">
        <f>'[9]Дисп. наблюдение Свод Пр.19-23'!E75+'[9]Отклонение Пр.1-24-Пр.19-23'!E75</f>
        <v>0</v>
      </c>
      <c r="F75" s="807">
        <f t="shared" si="2"/>
        <v>22511</v>
      </c>
      <c r="G75" s="807">
        <f>'[9]Дисп. наблюдение Свод Пр.19-23'!G75+'[9]Отклонение Пр.1-24-Пр.19-23'!G75</f>
        <v>4930</v>
      </c>
      <c r="H75" s="807">
        <f>'[9]Дисп. наблюдение Свод Пр.19-23'!H75+'[9]Отклонение Пр.1-24-Пр.19-23'!H75</f>
        <v>17581</v>
      </c>
      <c r="I75" s="807">
        <f t="shared" si="3"/>
        <v>2</v>
      </c>
      <c r="J75" s="807">
        <f>'[9]Дисп. наблюдение Свод Пр.19-23'!J75+'[9]Отклонение Пр.1-24-Пр.19-23'!J75</f>
        <v>2</v>
      </c>
      <c r="K75" s="807">
        <f>'[9]Дисп. наблюдение Свод Пр.19-23'!K75+'[9]Отклонение Пр.1-24-Пр.19-23'!K75</f>
        <v>0</v>
      </c>
      <c r="L75" s="807">
        <f>'[9]Дисп. наблюдение Свод Пр.19-23'!L75+'[9]Отклонение Пр.1-24-Пр.19-23'!L75</f>
        <v>22884</v>
      </c>
      <c r="N75" s="810"/>
      <c r="O75" s="811"/>
    </row>
    <row r="76" spans="1:15" x14ac:dyDescent="0.25">
      <c r="A76" s="639">
        <v>65</v>
      </c>
      <c r="B76" s="635" t="s">
        <v>143</v>
      </c>
      <c r="C76" s="634" t="s">
        <v>144</v>
      </c>
      <c r="D76" s="807">
        <f t="shared" ref="D76:D139" si="4">E76+F76+I76</f>
        <v>42872</v>
      </c>
      <c r="E76" s="807">
        <f>'[9]Дисп. наблюдение Свод Пр.19-23'!E76+'[9]Отклонение Пр.1-24-Пр.19-23'!E76</f>
        <v>0</v>
      </c>
      <c r="F76" s="807">
        <f t="shared" ref="F76:F139" si="5">G76+H76</f>
        <v>42872</v>
      </c>
      <c r="G76" s="807">
        <f>'[9]Дисп. наблюдение Свод Пр.19-23'!G76+'[9]Отклонение Пр.1-24-Пр.19-23'!G76</f>
        <v>4816</v>
      </c>
      <c r="H76" s="807">
        <f>'[9]Дисп. наблюдение Свод Пр.19-23'!H76+'[9]Отклонение Пр.1-24-Пр.19-23'!H76</f>
        <v>38056</v>
      </c>
      <c r="I76" s="807">
        <f t="shared" ref="I76:I139" si="6">J76+K76</f>
        <v>0</v>
      </c>
      <c r="J76" s="807">
        <f>'[9]Дисп. наблюдение Свод Пр.19-23'!J76+'[9]Отклонение Пр.1-24-Пр.19-23'!J76</f>
        <v>0</v>
      </c>
      <c r="K76" s="807">
        <f>'[9]Дисп. наблюдение Свод Пр.19-23'!K76+'[9]Отклонение Пр.1-24-Пр.19-23'!K76</f>
        <v>0</v>
      </c>
      <c r="L76" s="807">
        <f>'[9]Дисп. наблюдение Свод Пр.19-23'!L76+'[9]Отклонение Пр.1-24-Пр.19-23'!L76</f>
        <v>27005</v>
      </c>
      <c r="N76" s="810"/>
      <c r="O76" s="811"/>
    </row>
    <row r="77" spans="1:15" x14ac:dyDescent="0.25">
      <c r="A77" s="632">
        <v>66</v>
      </c>
      <c r="B77" s="635" t="s">
        <v>145</v>
      </c>
      <c r="C77" s="637" t="s">
        <v>146</v>
      </c>
      <c r="D77" s="807">
        <f t="shared" si="4"/>
        <v>57288</v>
      </c>
      <c r="E77" s="807">
        <f>'[9]Дисп. наблюдение Свод Пр.19-23'!E77+'[9]Отклонение Пр.1-24-Пр.19-23'!E77</f>
        <v>0</v>
      </c>
      <c r="F77" s="807">
        <f t="shared" si="5"/>
        <v>57288</v>
      </c>
      <c r="G77" s="807">
        <f>'[9]Дисп. наблюдение Свод Пр.19-23'!G77+'[9]Отклонение Пр.1-24-Пр.19-23'!G77</f>
        <v>9683</v>
      </c>
      <c r="H77" s="807">
        <f>'[9]Дисп. наблюдение Свод Пр.19-23'!H77+'[9]Отклонение Пр.1-24-Пр.19-23'!H77</f>
        <v>47605</v>
      </c>
      <c r="I77" s="807">
        <f t="shared" si="6"/>
        <v>0</v>
      </c>
      <c r="J77" s="807">
        <f>'[9]Дисп. наблюдение Свод Пр.19-23'!J77+'[9]Отклонение Пр.1-24-Пр.19-23'!J77</f>
        <v>0</v>
      </c>
      <c r="K77" s="807">
        <f>'[9]Дисп. наблюдение Свод Пр.19-23'!K77+'[9]Отклонение Пр.1-24-Пр.19-23'!K77</f>
        <v>0</v>
      </c>
      <c r="L77" s="807">
        <f>'[9]Дисп. наблюдение Свод Пр.19-23'!L77+'[9]Отклонение Пр.1-24-Пр.19-23'!L77</f>
        <v>45485</v>
      </c>
      <c r="N77" s="810"/>
      <c r="O77" s="811"/>
    </row>
    <row r="78" spans="1:15" ht="24" x14ac:dyDescent="0.25">
      <c r="A78" s="639">
        <v>67</v>
      </c>
      <c r="B78" s="635" t="s">
        <v>147</v>
      </c>
      <c r="C78" s="637" t="s">
        <v>148</v>
      </c>
      <c r="D78" s="807">
        <f t="shared" si="4"/>
        <v>0</v>
      </c>
      <c r="E78" s="807">
        <f>'[9]Дисп. наблюдение Свод Пр.19-23'!E78+'[9]Отклонение Пр.1-24-Пр.19-23'!E78</f>
        <v>0</v>
      </c>
      <c r="F78" s="807">
        <f t="shared" si="5"/>
        <v>0</v>
      </c>
      <c r="G78" s="807">
        <f>'[9]Дисп. наблюдение Свод Пр.19-23'!G78+'[9]Отклонение Пр.1-24-Пр.19-23'!G78</f>
        <v>0</v>
      </c>
      <c r="H78" s="807">
        <f>'[9]Дисп. наблюдение Свод Пр.19-23'!H78+'[9]Отклонение Пр.1-24-Пр.19-23'!H78</f>
        <v>0</v>
      </c>
      <c r="I78" s="807">
        <f t="shared" si="6"/>
        <v>0</v>
      </c>
      <c r="J78" s="807">
        <f>'[9]Дисп. наблюдение Свод Пр.19-23'!J78+'[9]Отклонение Пр.1-24-Пр.19-23'!J78</f>
        <v>0</v>
      </c>
      <c r="K78" s="807">
        <f>'[9]Дисп. наблюдение Свод Пр.19-23'!K78+'[9]Отклонение Пр.1-24-Пр.19-23'!K78</f>
        <v>0</v>
      </c>
      <c r="L78" s="807">
        <f>'[9]Дисп. наблюдение Свод Пр.19-23'!L78+'[9]Отклонение Пр.1-24-Пр.19-23'!L78</f>
        <v>13</v>
      </c>
      <c r="N78" s="810"/>
      <c r="O78" s="811"/>
    </row>
    <row r="79" spans="1:15" ht="24" x14ac:dyDescent="0.25">
      <c r="A79" s="632">
        <v>68</v>
      </c>
      <c r="B79" s="633" t="s">
        <v>149</v>
      </c>
      <c r="C79" s="637" t="s">
        <v>150</v>
      </c>
      <c r="D79" s="807">
        <f t="shared" si="4"/>
        <v>2</v>
      </c>
      <c r="E79" s="807">
        <f>'[9]Дисп. наблюдение Свод Пр.19-23'!E79+'[9]Отклонение Пр.1-24-Пр.19-23'!E79</f>
        <v>2</v>
      </c>
      <c r="F79" s="807">
        <f t="shared" si="5"/>
        <v>0</v>
      </c>
      <c r="G79" s="807">
        <f>'[9]Дисп. наблюдение Свод Пр.19-23'!G79+'[9]Отклонение Пр.1-24-Пр.19-23'!G79</f>
        <v>0</v>
      </c>
      <c r="H79" s="807">
        <f>'[9]Дисп. наблюдение Свод Пр.19-23'!H79+'[9]Отклонение Пр.1-24-Пр.19-23'!H79</f>
        <v>0</v>
      </c>
      <c r="I79" s="807">
        <f t="shared" si="6"/>
        <v>0</v>
      </c>
      <c r="J79" s="807">
        <f>'[9]Дисп. наблюдение Свод Пр.19-23'!J79+'[9]Отклонение Пр.1-24-Пр.19-23'!J79</f>
        <v>0</v>
      </c>
      <c r="K79" s="807">
        <f>'[9]Дисп. наблюдение Свод Пр.19-23'!K79+'[9]Отклонение Пр.1-24-Пр.19-23'!K79</f>
        <v>0</v>
      </c>
      <c r="L79" s="807">
        <f>'[9]Дисп. наблюдение Свод Пр.19-23'!L79+'[9]Отклонение Пр.1-24-Пр.19-23'!L79</f>
        <v>1</v>
      </c>
      <c r="N79" s="810"/>
      <c r="O79" s="811"/>
    </row>
    <row r="80" spans="1:15" ht="24" x14ac:dyDescent="0.25">
      <c r="A80" s="639">
        <v>69</v>
      </c>
      <c r="B80" s="635" t="s">
        <v>151</v>
      </c>
      <c r="C80" s="637" t="s">
        <v>152</v>
      </c>
      <c r="D80" s="807">
        <f t="shared" si="4"/>
        <v>33</v>
      </c>
      <c r="E80" s="807">
        <f>'[9]Дисп. наблюдение Свод Пр.19-23'!E80+'[9]Отклонение Пр.1-24-Пр.19-23'!E80</f>
        <v>33</v>
      </c>
      <c r="F80" s="807">
        <f t="shared" si="5"/>
        <v>0</v>
      </c>
      <c r="G80" s="807">
        <f>'[9]Дисп. наблюдение Свод Пр.19-23'!G80+'[9]Отклонение Пр.1-24-Пр.19-23'!G80</f>
        <v>0</v>
      </c>
      <c r="H80" s="807">
        <f>'[9]Дисп. наблюдение Свод Пр.19-23'!H80+'[9]Отклонение Пр.1-24-Пр.19-23'!H80</f>
        <v>0</v>
      </c>
      <c r="I80" s="807">
        <f t="shared" si="6"/>
        <v>0</v>
      </c>
      <c r="J80" s="807">
        <f>'[9]Дисп. наблюдение Свод Пр.19-23'!J80+'[9]Отклонение Пр.1-24-Пр.19-23'!J80</f>
        <v>0</v>
      </c>
      <c r="K80" s="807">
        <f>'[9]Дисп. наблюдение Свод Пр.19-23'!K80+'[9]Отклонение Пр.1-24-Пр.19-23'!K80</f>
        <v>0</v>
      </c>
      <c r="L80" s="807">
        <f>'[9]Дисп. наблюдение Свод Пр.19-23'!L80+'[9]Отклонение Пр.1-24-Пр.19-23'!L80</f>
        <v>13</v>
      </c>
      <c r="N80" s="810"/>
      <c r="O80" s="811"/>
    </row>
    <row r="81" spans="1:15" ht="24" x14ac:dyDescent="0.25">
      <c r="A81" s="632">
        <v>70</v>
      </c>
      <c r="B81" s="635" t="s">
        <v>153</v>
      </c>
      <c r="C81" s="637" t="s">
        <v>154</v>
      </c>
      <c r="D81" s="807">
        <f t="shared" si="4"/>
        <v>580</v>
      </c>
      <c r="E81" s="807">
        <f>'[9]Дисп. наблюдение Свод Пр.19-23'!E81+'[9]Отклонение Пр.1-24-Пр.19-23'!E81</f>
        <v>580</v>
      </c>
      <c r="F81" s="807">
        <f t="shared" si="5"/>
        <v>0</v>
      </c>
      <c r="G81" s="807">
        <f>'[9]Дисп. наблюдение Свод Пр.19-23'!G81+'[9]Отклонение Пр.1-24-Пр.19-23'!G81</f>
        <v>0</v>
      </c>
      <c r="H81" s="807">
        <f>'[9]Дисп. наблюдение Свод Пр.19-23'!H81+'[9]Отклонение Пр.1-24-Пр.19-23'!H81</f>
        <v>0</v>
      </c>
      <c r="I81" s="807">
        <f t="shared" si="6"/>
        <v>0</v>
      </c>
      <c r="J81" s="807">
        <f>'[9]Дисп. наблюдение Свод Пр.19-23'!J81+'[9]Отклонение Пр.1-24-Пр.19-23'!J81</f>
        <v>0</v>
      </c>
      <c r="K81" s="807">
        <f>'[9]Дисп. наблюдение Свод Пр.19-23'!K81+'[9]Отклонение Пр.1-24-Пр.19-23'!K81</f>
        <v>0</v>
      </c>
      <c r="L81" s="807">
        <f>'[9]Дисп. наблюдение Свод Пр.19-23'!L81+'[9]Отклонение Пр.1-24-Пр.19-23'!L81</f>
        <v>14</v>
      </c>
      <c r="N81" s="810"/>
      <c r="O81" s="811"/>
    </row>
    <row r="82" spans="1:15" ht="24" x14ac:dyDescent="0.25">
      <c r="A82" s="639">
        <v>71</v>
      </c>
      <c r="B82" s="633" t="s">
        <v>155</v>
      </c>
      <c r="C82" s="637" t="s">
        <v>156</v>
      </c>
      <c r="D82" s="807">
        <f t="shared" si="4"/>
        <v>0</v>
      </c>
      <c r="E82" s="807">
        <f>'[9]Дисп. наблюдение Свод Пр.19-23'!E82+'[9]Отклонение Пр.1-24-Пр.19-23'!E82</f>
        <v>0</v>
      </c>
      <c r="F82" s="807">
        <f t="shared" si="5"/>
        <v>0</v>
      </c>
      <c r="G82" s="807">
        <f>'[9]Дисп. наблюдение Свод Пр.19-23'!G82+'[9]Отклонение Пр.1-24-Пр.19-23'!G82</f>
        <v>0</v>
      </c>
      <c r="H82" s="807">
        <f>'[9]Дисп. наблюдение Свод Пр.19-23'!H82+'[9]Отклонение Пр.1-24-Пр.19-23'!H82</f>
        <v>0</v>
      </c>
      <c r="I82" s="807">
        <f t="shared" si="6"/>
        <v>0</v>
      </c>
      <c r="J82" s="807">
        <f>'[9]Дисп. наблюдение Свод Пр.19-23'!J82+'[9]Отклонение Пр.1-24-Пр.19-23'!J82</f>
        <v>0</v>
      </c>
      <c r="K82" s="807">
        <f>'[9]Дисп. наблюдение Свод Пр.19-23'!K82+'[9]Отклонение Пр.1-24-Пр.19-23'!K82</f>
        <v>0</v>
      </c>
      <c r="L82" s="807">
        <f>'[9]Дисп. наблюдение Свод Пр.19-23'!L82+'[9]Отклонение Пр.1-24-Пр.19-23'!L82</f>
        <v>0</v>
      </c>
      <c r="N82" s="810"/>
      <c r="O82" s="811"/>
    </row>
    <row r="83" spans="1:15" ht="24" x14ac:dyDescent="0.25">
      <c r="A83" s="632">
        <v>72</v>
      </c>
      <c r="B83" s="633" t="s">
        <v>157</v>
      </c>
      <c r="C83" s="637" t="s">
        <v>158</v>
      </c>
      <c r="D83" s="807">
        <f t="shared" si="4"/>
        <v>14</v>
      </c>
      <c r="E83" s="807">
        <f>'[9]Дисп. наблюдение Свод Пр.19-23'!E83+'[9]Отклонение Пр.1-24-Пр.19-23'!E83</f>
        <v>14</v>
      </c>
      <c r="F83" s="807">
        <f t="shared" si="5"/>
        <v>0</v>
      </c>
      <c r="G83" s="807">
        <f>'[9]Дисп. наблюдение Свод Пр.19-23'!G83+'[9]Отклонение Пр.1-24-Пр.19-23'!G83</f>
        <v>0</v>
      </c>
      <c r="H83" s="807">
        <f>'[9]Дисп. наблюдение Свод Пр.19-23'!H83+'[9]Отклонение Пр.1-24-Пр.19-23'!H83</f>
        <v>0</v>
      </c>
      <c r="I83" s="807">
        <f t="shared" si="6"/>
        <v>0</v>
      </c>
      <c r="J83" s="807">
        <f>'[9]Дисп. наблюдение Свод Пр.19-23'!J83+'[9]Отклонение Пр.1-24-Пр.19-23'!J83</f>
        <v>0</v>
      </c>
      <c r="K83" s="807">
        <f>'[9]Дисп. наблюдение Свод Пр.19-23'!K83+'[9]Отклонение Пр.1-24-Пр.19-23'!K83</f>
        <v>0</v>
      </c>
      <c r="L83" s="807">
        <f>'[9]Дисп. наблюдение Свод Пр.19-23'!L83+'[9]Отклонение Пр.1-24-Пр.19-23'!L83</f>
        <v>8</v>
      </c>
      <c r="N83" s="810"/>
      <c r="O83" s="811"/>
    </row>
    <row r="84" spans="1:15" ht="24" x14ac:dyDescent="0.25">
      <c r="A84" s="639">
        <v>73</v>
      </c>
      <c r="B84" s="633" t="s">
        <v>159</v>
      </c>
      <c r="C84" s="637" t="s">
        <v>160</v>
      </c>
      <c r="D84" s="807">
        <f t="shared" si="4"/>
        <v>0</v>
      </c>
      <c r="E84" s="807">
        <f>'[9]Дисп. наблюдение Свод Пр.19-23'!E84+'[9]Отклонение Пр.1-24-Пр.19-23'!E84</f>
        <v>0</v>
      </c>
      <c r="F84" s="807">
        <f t="shared" si="5"/>
        <v>0</v>
      </c>
      <c r="G84" s="807">
        <f>'[9]Дисп. наблюдение Свод Пр.19-23'!G84+'[9]Отклонение Пр.1-24-Пр.19-23'!G84</f>
        <v>0</v>
      </c>
      <c r="H84" s="807">
        <f>'[9]Дисп. наблюдение Свод Пр.19-23'!H84+'[9]Отклонение Пр.1-24-Пр.19-23'!H84</f>
        <v>0</v>
      </c>
      <c r="I84" s="807">
        <f t="shared" si="6"/>
        <v>0</v>
      </c>
      <c r="J84" s="807">
        <f>'[9]Дисп. наблюдение Свод Пр.19-23'!J84+'[9]Отклонение Пр.1-24-Пр.19-23'!J84</f>
        <v>0</v>
      </c>
      <c r="K84" s="807">
        <f>'[9]Дисп. наблюдение Свод Пр.19-23'!K84+'[9]Отклонение Пр.1-24-Пр.19-23'!K84</f>
        <v>0</v>
      </c>
      <c r="L84" s="807">
        <f>'[9]Дисп. наблюдение Свод Пр.19-23'!L84+'[9]Отклонение Пр.1-24-Пр.19-23'!L84</f>
        <v>0</v>
      </c>
      <c r="N84" s="810"/>
      <c r="O84" s="811"/>
    </row>
    <row r="85" spans="1:15" ht="24" x14ac:dyDescent="0.25">
      <c r="A85" s="632">
        <v>74</v>
      </c>
      <c r="B85" s="636" t="s">
        <v>161</v>
      </c>
      <c r="C85" s="637" t="s">
        <v>162</v>
      </c>
      <c r="D85" s="807">
        <f t="shared" si="4"/>
        <v>22777</v>
      </c>
      <c r="E85" s="807">
        <f>'[9]Дисп. наблюдение Свод Пр.19-23'!E85+'[9]Отклонение Пр.1-24-Пр.19-23'!E85</f>
        <v>0</v>
      </c>
      <c r="F85" s="807">
        <f t="shared" si="5"/>
        <v>14906</v>
      </c>
      <c r="G85" s="807">
        <f>'[9]Дисп. наблюдение Свод Пр.19-23'!G85+'[9]Отклонение Пр.1-24-Пр.19-23'!G85</f>
        <v>4334</v>
      </c>
      <c r="H85" s="807">
        <f>'[9]Дисп. наблюдение Свод Пр.19-23'!H85+'[9]Отклонение Пр.1-24-Пр.19-23'!H85</f>
        <v>10572</v>
      </c>
      <c r="I85" s="807">
        <f t="shared" si="6"/>
        <v>7871</v>
      </c>
      <c r="J85" s="807">
        <f>'[9]Дисп. наблюдение Свод Пр.19-23'!J85+'[9]Отклонение Пр.1-24-Пр.19-23'!J85</f>
        <v>426</v>
      </c>
      <c r="K85" s="807">
        <f>'[9]Дисп. наблюдение Свод Пр.19-23'!K85+'[9]Отклонение Пр.1-24-Пр.19-23'!K85</f>
        <v>7445</v>
      </c>
      <c r="L85" s="807">
        <f>'[9]Дисп. наблюдение Свод Пр.19-23'!L85+'[9]Отклонение Пр.1-24-Пр.19-23'!L85</f>
        <v>23179</v>
      </c>
      <c r="N85" s="810"/>
      <c r="O85" s="811"/>
    </row>
    <row r="86" spans="1:15" x14ac:dyDescent="0.25">
      <c r="A86" s="639">
        <v>75</v>
      </c>
      <c r="B86" s="633" t="s">
        <v>163</v>
      </c>
      <c r="C86" s="637" t="s">
        <v>164</v>
      </c>
      <c r="D86" s="807">
        <f t="shared" si="4"/>
        <v>53719</v>
      </c>
      <c r="E86" s="807">
        <f>'[9]Дисп. наблюдение Свод Пр.19-23'!E86+'[9]Отклонение Пр.1-24-Пр.19-23'!E86</f>
        <v>0</v>
      </c>
      <c r="F86" s="807">
        <f t="shared" si="5"/>
        <v>53219</v>
      </c>
      <c r="G86" s="807">
        <f>'[9]Дисп. наблюдение Свод Пр.19-23'!G86+'[9]Отклонение Пр.1-24-Пр.19-23'!G86</f>
        <v>10507</v>
      </c>
      <c r="H86" s="807">
        <f>'[9]Дисп. наблюдение Свод Пр.19-23'!H86+'[9]Отклонение Пр.1-24-Пр.19-23'!H86</f>
        <v>42712</v>
      </c>
      <c r="I86" s="807">
        <f t="shared" si="6"/>
        <v>500</v>
      </c>
      <c r="J86" s="807">
        <f>'[9]Дисп. наблюдение Свод Пр.19-23'!J86+'[9]Отклонение Пр.1-24-Пр.19-23'!J86</f>
        <v>0</v>
      </c>
      <c r="K86" s="807">
        <f>'[9]Дисп. наблюдение Свод Пр.19-23'!K86+'[9]Отклонение Пр.1-24-Пр.19-23'!K86</f>
        <v>500</v>
      </c>
      <c r="L86" s="807">
        <f>'[9]Дисп. наблюдение Свод Пр.19-23'!L86+'[9]Отклонение Пр.1-24-Пр.19-23'!L86</f>
        <v>44088</v>
      </c>
      <c r="N86" s="810"/>
      <c r="O86" s="811"/>
    </row>
    <row r="87" spans="1:15" x14ac:dyDescent="0.25">
      <c r="A87" s="632">
        <v>76</v>
      </c>
      <c r="B87" s="636" t="s">
        <v>165</v>
      </c>
      <c r="C87" s="637" t="s">
        <v>166</v>
      </c>
      <c r="D87" s="807">
        <f t="shared" si="4"/>
        <v>37310</v>
      </c>
      <c r="E87" s="807">
        <f>'[9]Дисп. наблюдение Свод Пр.19-23'!E87+'[9]Отклонение Пр.1-24-Пр.19-23'!E87</f>
        <v>0</v>
      </c>
      <c r="F87" s="807">
        <f t="shared" si="5"/>
        <v>37310</v>
      </c>
      <c r="G87" s="807">
        <f>'[9]Дисп. наблюдение Свод Пр.19-23'!G87+'[9]Отклонение Пр.1-24-Пр.19-23'!G87</f>
        <v>5598</v>
      </c>
      <c r="H87" s="807">
        <f>'[9]Дисп. наблюдение Свод Пр.19-23'!H87+'[9]Отклонение Пр.1-24-Пр.19-23'!H87</f>
        <v>31712</v>
      </c>
      <c r="I87" s="807">
        <f t="shared" si="6"/>
        <v>0</v>
      </c>
      <c r="J87" s="807">
        <f>'[9]Дисп. наблюдение Свод Пр.19-23'!J87+'[9]Отклонение Пр.1-24-Пр.19-23'!J87</f>
        <v>0</v>
      </c>
      <c r="K87" s="807">
        <f>'[9]Дисп. наблюдение Свод Пр.19-23'!K87+'[9]Отклонение Пр.1-24-Пр.19-23'!K87</f>
        <v>0</v>
      </c>
      <c r="L87" s="807">
        <f>'[9]Дисп. наблюдение Свод Пр.19-23'!L87+'[9]Отклонение Пр.1-24-Пр.19-23'!L87</f>
        <v>30743</v>
      </c>
      <c r="N87" s="810"/>
      <c r="O87" s="811"/>
    </row>
    <row r="88" spans="1:15" x14ac:dyDescent="0.25">
      <c r="A88" s="639">
        <v>77</v>
      </c>
      <c r="B88" s="638" t="s">
        <v>167</v>
      </c>
      <c r="C88" s="32" t="s">
        <v>168</v>
      </c>
      <c r="D88" s="807">
        <f t="shared" si="4"/>
        <v>15068</v>
      </c>
      <c r="E88" s="807">
        <f>'[9]Дисп. наблюдение Свод Пр.19-23'!E88+'[9]Отклонение Пр.1-24-Пр.19-23'!E88</f>
        <v>0</v>
      </c>
      <c r="F88" s="807">
        <f t="shared" si="5"/>
        <v>15068</v>
      </c>
      <c r="G88" s="807">
        <f>'[9]Дисп. наблюдение Свод Пр.19-23'!G88+'[9]Отклонение Пр.1-24-Пр.19-23'!G88</f>
        <v>3442</v>
      </c>
      <c r="H88" s="807">
        <f>'[9]Дисп. наблюдение Свод Пр.19-23'!H88+'[9]Отклонение Пр.1-24-Пр.19-23'!H88</f>
        <v>11626</v>
      </c>
      <c r="I88" s="807">
        <f t="shared" si="6"/>
        <v>0</v>
      </c>
      <c r="J88" s="807">
        <f>'[9]Дисп. наблюдение Свод Пр.19-23'!J88+'[9]Отклонение Пр.1-24-Пр.19-23'!J88</f>
        <v>0</v>
      </c>
      <c r="K88" s="807">
        <f>'[9]Дисп. наблюдение Свод Пр.19-23'!K88+'[9]Отклонение Пр.1-24-Пр.19-23'!K88</f>
        <v>0</v>
      </c>
      <c r="L88" s="807">
        <f>'[9]Дисп. наблюдение Свод Пр.19-23'!L88+'[9]Отклонение Пр.1-24-Пр.19-23'!L88</f>
        <v>9055</v>
      </c>
      <c r="N88" s="810"/>
      <c r="O88" s="811"/>
    </row>
    <row r="89" spans="1:15" x14ac:dyDescent="0.25">
      <c r="A89" s="632">
        <v>78</v>
      </c>
      <c r="B89" s="633" t="s">
        <v>169</v>
      </c>
      <c r="C89" s="637" t="s">
        <v>170</v>
      </c>
      <c r="D89" s="807">
        <f t="shared" si="4"/>
        <v>31454</v>
      </c>
      <c r="E89" s="807">
        <f>'[9]Дисп. наблюдение Свод Пр.19-23'!E89+'[9]Отклонение Пр.1-24-Пр.19-23'!E89</f>
        <v>0</v>
      </c>
      <c r="F89" s="807">
        <f t="shared" si="5"/>
        <v>31451</v>
      </c>
      <c r="G89" s="807">
        <f>'[9]Дисп. наблюдение Свод Пр.19-23'!G89+'[9]Отклонение Пр.1-24-Пр.19-23'!G89</f>
        <v>9270</v>
      </c>
      <c r="H89" s="807">
        <f>'[9]Дисп. наблюдение Свод Пр.19-23'!H89+'[9]Отклонение Пр.1-24-Пр.19-23'!H89</f>
        <v>22181</v>
      </c>
      <c r="I89" s="807">
        <f t="shared" si="6"/>
        <v>3</v>
      </c>
      <c r="J89" s="807">
        <f>'[9]Дисп. наблюдение Свод Пр.19-23'!J89+'[9]Отклонение Пр.1-24-Пр.19-23'!J89</f>
        <v>3</v>
      </c>
      <c r="K89" s="807">
        <f>'[9]Дисп. наблюдение Свод Пр.19-23'!K89+'[9]Отклонение Пр.1-24-Пр.19-23'!K89</f>
        <v>0</v>
      </c>
      <c r="L89" s="807">
        <f>'[9]Дисп. наблюдение Свод Пр.19-23'!L89+'[9]Отклонение Пр.1-24-Пр.19-23'!L89</f>
        <v>50662</v>
      </c>
      <c r="N89" s="810"/>
      <c r="O89" s="811"/>
    </row>
    <row r="90" spans="1:15" x14ac:dyDescent="0.25">
      <c r="A90" s="639">
        <v>79</v>
      </c>
      <c r="B90" s="638" t="s">
        <v>171</v>
      </c>
      <c r="C90" s="32" t="s">
        <v>172</v>
      </c>
      <c r="D90" s="807">
        <f t="shared" si="4"/>
        <v>23908</v>
      </c>
      <c r="E90" s="807">
        <f>'[9]Дисп. наблюдение Свод Пр.19-23'!E90+'[9]Отклонение Пр.1-24-Пр.19-23'!E90</f>
        <v>0</v>
      </c>
      <c r="F90" s="807">
        <f t="shared" si="5"/>
        <v>0</v>
      </c>
      <c r="G90" s="807">
        <f>'[9]Дисп. наблюдение Свод Пр.19-23'!G90+'[9]Отклонение Пр.1-24-Пр.19-23'!G90</f>
        <v>0</v>
      </c>
      <c r="H90" s="807">
        <f>'[9]Дисп. наблюдение Свод Пр.19-23'!H90+'[9]Отклонение Пр.1-24-Пр.19-23'!H90</f>
        <v>0</v>
      </c>
      <c r="I90" s="807">
        <f t="shared" si="6"/>
        <v>23908</v>
      </c>
      <c r="J90" s="807">
        <f>'[9]Дисп. наблюдение Свод Пр.19-23'!J90+'[9]Отклонение Пр.1-24-Пр.19-23'!J90</f>
        <v>1056</v>
      </c>
      <c r="K90" s="807">
        <f>'[9]Дисп. наблюдение Свод Пр.19-23'!K90+'[9]Отклонение Пр.1-24-Пр.19-23'!K90</f>
        <v>22852</v>
      </c>
      <c r="L90" s="807">
        <f>'[9]Дисп. наблюдение Свод Пр.19-23'!L90+'[9]Отклонение Пр.1-24-Пр.19-23'!L90</f>
        <v>0</v>
      </c>
      <c r="N90" s="810"/>
      <c r="O90" s="811"/>
    </row>
    <row r="91" spans="1:15" x14ac:dyDescent="0.25">
      <c r="A91" s="632">
        <v>80</v>
      </c>
      <c r="B91" s="633" t="s">
        <v>173</v>
      </c>
      <c r="C91" s="637" t="s">
        <v>174</v>
      </c>
      <c r="D91" s="807">
        <f t="shared" si="4"/>
        <v>51428</v>
      </c>
      <c r="E91" s="807">
        <f>'[9]Дисп. наблюдение Свод Пр.19-23'!E91+'[9]Отклонение Пр.1-24-Пр.19-23'!E91</f>
        <v>0</v>
      </c>
      <c r="F91" s="807">
        <f t="shared" si="5"/>
        <v>51428</v>
      </c>
      <c r="G91" s="807">
        <f>'[9]Дисп. наблюдение Свод Пр.19-23'!G91+'[9]Отклонение Пр.1-24-Пр.19-23'!G91</f>
        <v>8582</v>
      </c>
      <c r="H91" s="807">
        <f>'[9]Дисп. наблюдение Свод Пр.19-23'!H91+'[9]Отклонение Пр.1-24-Пр.19-23'!H91</f>
        <v>42846</v>
      </c>
      <c r="I91" s="807">
        <f t="shared" si="6"/>
        <v>0</v>
      </c>
      <c r="J91" s="807">
        <f>'[9]Дисп. наблюдение Свод Пр.19-23'!J91+'[9]Отклонение Пр.1-24-Пр.19-23'!J91</f>
        <v>0</v>
      </c>
      <c r="K91" s="807">
        <f>'[9]Дисп. наблюдение Свод Пр.19-23'!K91+'[9]Отклонение Пр.1-24-Пр.19-23'!K91</f>
        <v>0</v>
      </c>
      <c r="L91" s="807">
        <f>'[9]Дисп. наблюдение Свод Пр.19-23'!L91+'[9]Отклонение Пр.1-24-Пр.19-23'!L91</f>
        <v>37572</v>
      </c>
      <c r="N91" s="810"/>
      <c r="O91" s="811"/>
    </row>
    <row r="92" spans="1:15" x14ac:dyDescent="0.25">
      <c r="A92" s="639">
        <v>81</v>
      </c>
      <c r="B92" s="638" t="s">
        <v>175</v>
      </c>
      <c r="C92" s="32" t="s">
        <v>742</v>
      </c>
      <c r="D92" s="807">
        <f t="shared" si="4"/>
        <v>0</v>
      </c>
      <c r="E92" s="807">
        <f>'[9]Дисп. наблюдение Свод Пр.19-23'!E92+'[9]Отклонение Пр.1-24-Пр.19-23'!E92</f>
        <v>0</v>
      </c>
      <c r="F92" s="807">
        <f t="shared" si="5"/>
        <v>0</v>
      </c>
      <c r="G92" s="807">
        <f>'[9]Дисп. наблюдение Свод Пр.19-23'!G92+'[9]Отклонение Пр.1-24-Пр.19-23'!G92</f>
        <v>0</v>
      </c>
      <c r="H92" s="807">
        <f>'[9]Дисп. наблюдение Свод Пр.19-23'!H92+'[9]Отклонение Пр.1-24-Пр.19-23'!H92</f>
        <v>0</v>
      </c>
      <c r="I92" s="807">
        <f t="shared" si="6"/>
        <v>0</v>
      </c>
      <c r="J92" s="807">
        <f>'[9]Дисп. наблюдение Свод Пр.19-23'!J92+'[9]Отклонение Пр.1-24-Пр.19-23'!J92</f>
        <v>0</v>
      </c>
      <c r="K92" s="807">
        <f>'[9]Дисп. наблюдение Свод Пр.19-23'!K92+'[9]Отклонение Пр.1-24-Пр.19-23'!K92</f>
        <v>0</v>
      </c>
      <c r="L92" s="807">
        <f>'[9]Дисп. наблюдение Свод Пр.19-23'!L92+'[9]Отклонение Пр.1-24-Пр.19-23'!L92</f>
        <v>0</v>
      </c>
      <c r="N92" s="810"/>
      <c r="O92" s="811"/>
    </row>
    <row r="93" spans="1:15" x14ac:dyDescent="0.25">
      <c r="A93" s="632">
        <v>82</v>
      </c>
      <c r="B93" s="635" t="s">
        <v>177</v>
      </c>
      <c r="C93" s="637" t="s">
        <v>358</v>
      </c>
      <c r="D93" s="807">
        <f t="shared" si="4"/>
        <v>0</v>
      </c>
      <c r="E93" s="807">
        <f>'[9]Дисп. наблюдение Свод Пр.19-23'!E93+'[9]Отклонение Пр.1-24-Пр.19-23'!E93</f>
        <v>0</v>
      </c>
      <c r="F93" s="807">
        <f t="shared" si="5"/>
        <v>0</v>
      </c>
      <c r="G93" s="807">
        <f>'[9]Дисп. наблюдение Свод Пр.19-23'!G93+'[9]Отклонение Пр.1-24-Пр.19-23'!G93</f>
        <v>0</v>
      </c>
      <c r="H93" s="807">
        <f>'[9]Дисп. наблюдение Свод Пр.19-23'!H93+'[9]Отклонение Пр.1-24-Пр.19-23'!H93</f>
        <v>0</v>
      </c>
      <c r="I93" s="807">
        <f t="shared" si="6"/>
        <v>0</v>
      </c>
      <c r="J93" s="807">
        <f>'[9]Дисп. наблюдение Свод Пр.19-23'!J93+'[9]Отклонение Пр.1-24-Пр.19-23'!J93</f>
        <v>0</v>
      </c>
      <c r="K93" s="807">
        <f>'[9]Дисп. наблюдение Свод Пр.19-23'!K93+'[9]Отклонение Пр.1-24-Пр.19-23'!K93</f>
        <v>0</v>
      </c>
      <c r="L93" s="807">
        <f>'[9]Дисп. наблюдение Свод Пр.19-23'!L93+'[9]Отклонение Пр.1-24-Пр.19-23'!L93</f>
        <v>0</v>
      </c>
      <c r="N93" s="810"/>
      <c r="O93" s="811"/>
    </row>
    <row r="94" spans="1:15" ht="55.5" customHeight="1" x14ac:dyDescent="0.25">
      <c r="A94" s="1070">
        <v>83</v>
      </c>
      <c r="B94" s="1073" t="s">
        <v>178</v>
      </c>
      <c r="C94" s="32" t="s">
        <v>740</v>
      </c>
      <c r="D94" s="807">
        <f t="shared" si="4"/>
        <v>198</v>
      </c>
      <c r="E94" s="807">
        <f>'[9]Дисп. наблюдение Свод Пр.19-23'!E94+'[9]Отклонение Пр.1-24-Пр.19-23'!E94</f>
        <v>0</v>
      </c>
      <c r="F94" s="807">
        <f t="shared" si="5"/>
        <v>198</v>
      </c>
      <c r="G94" s="807">
        <f>'[9]Дисп. наблюдение Свод Пр.19-23'!G94+'[9]Отклонение Пр.1-24-Пр.19-23'!G94</f>
        <v>44</v>
      </c>
      <c r="H94" s="807">
        <f>'[9]Дисп. наблюдение Свод Пр.19-23'!H94+'[9]Отклонение Пр.1-24-Пр.19-23'!H94</f>
        <v>154</v>
      </c>
      <c r="I94" s="807">
        <f t="shared" si="6"/>
        <v>0</v>
      </c>
      <c r="J94" s="807">
        <f>'[9]Дисп. наблюдение Свод Пр.19-23'!J94+'[9]Отклонение Пр.1-24-Пр.19-23'!J94</f>
        <v>0</v>
      </c>
      <c r="K94" s="807">
        <f>'[9]Дисп. наблюдение Свод Пр.19-23'!K94+'[9]Отклонение Пр.1-24-Пр.19-23'!K94</f>
        <v>0</v>
      </c>
      <c r="L94" s="807">
        <f>'[9]Дисп. наблюдение Свод Пр.19-23'!L94+'[9]Отклонение Пр.1-24-Пр.19-23'!L94</f>
        <v>116</v>
      </c>
      <c r="N94" s="810"/>
      <c r="O94" s="811"/>
    </row>
    <row r="95" spans="1:15" ht="24" x14ac:dyDescent="0.25">
      <c r="A95" s="1071"/>
      <c r="B95" s="1074"/>
      <c r="C95" s="637" t="s">
        <v>180</v>
      </c>
      <c r="D95" s="807">
        <f t="shared" si="4"/>
        <v>0</v>
      </c>
      <c r="E95" s="807">
        <f>'[9]Дисп. наблюдение Свод Пр.19-23'!E95+'[9]Отклонение Пр.1-24-Пр.19-23'!E95</f>
        <v>0</v>
      </c>
      <c r="F95" s="807">
        <f t="shared" si="5"/>
        <v>0</v>
      </c>
      <c r="G95" s="807">
        <f>'[9]Дисп. наблюдение Свод Пр.19-23'!G95+'[9]Отклонение Пр.1-24-Пр.19-23'!G95</f>
        <v>0</v>
      </c>
      <c r="H95" s="807">
        <f>'[9]Дисп. наблюдение Свод Пр.19-23'!H95+'[9]Отклонение Пр.1-24-Пр.19-23'!H95</f>
        <v>0</v>
      </c>
      <c r="I95" s="807">
        <f t="shared" si="6"/>
        <v>0</v>
      </c>
      <c r="J95" s="807">
        <f>'[9]Дисп. наблюдение Свод Пр.19-23'!J95+'[9]Отклонение Пр.1-24-Пр.19-23'!J95</f>
        <v>0</v>
      </c>
      <c r="K95" s="807">
        <f>'[9]Дисп. наблюдение Свод Пр.19-23'!K95+'[9]Отклонение Пр.1-24-Пр.19-23'!K95</f>
        <v>0</v>
      </c>
      <c r="L95" s="807">
        <f>'[9]Дисп. наблюдение Свод Пр.19-23'!L95+'[9]Отклонение Пр.1-24-Пр.19-23'!L95</f>
        <v>0</v>
      </c>
      <c r="N95" s="810"/>
      <c r="O95" s="811"/>
    </row>
    <row r="96" spans="1:15" ht="48" x14ac:dyDescent="0.25">
      <c r="A96" s="1072"/>
      <c r="B96" s="1075"/>
      <c r="C96" s="225" t="s">
        <v>507</v>
      </c>
      <c r="D96" s="807">
        <f t="shared" si="4"/>
        <v>0</v>
      </c>
      <c r="E96" s="807">
        <f>'[9]Дисп. наблюдение Свод Пр.19-23'!E96+'[9]Отклонение Пр.1-24-Пр.19-23'!E96</f>
        <v>0</v>
      </c>
      <c r="F96" s="807">
        <f t="shared" si="5"/>
        <v>0</v>
      </c>
      <c r="G96" s="807">
        <f>'[9]Дисп. наблюдение Свод Пр.19-23'!G96+'[9]Отклонение Пр.1-24-Пр.19-23'!G96</f>
        <v>0</v>
      </c>
      <c r="H96" s="807">
        <f>'[9]Дисп. наблюдение Свод Пр.19-23'!H96+'[9]Отклонение Пр.1-24-Пр.19-23'!H96</f>
        <v>0</v>
      </c>
      <c r="I96" s="807">
        <f t="shared" si="6"/>
        <v>0</v>
      </c>
      <c r="J96" s="807">
        <f>'[9]Дисп. наблюдение Свод Пр.19-23'!J96+'[9]Отклонение Пр.1-24-Пр.19-23'!J96</f>
        <v>0</v>
      </c>
      <c r="K96" s="807">
        <f>'[9]Дисп. наблюдение Свод Пр.19-23'!K96+'[9]Отклонение Пр.1-24-Пр.19-23'!K96</f>
        <v>0</v>
      </c>
      <c r="L96" s="807">
        <f>'[9]Дисп. наблюдение Свод Пр.19-23'!L96+'[9]Отклонение Пр.1-24-Пр.19-23'!L96</f>
        <v>0</v>
      </c>
      <c r="N96" s="810"/>
      <c r="O96" s="811"/>
    </row>
    <row r="97" spans="1:15" ht="24" x14ac:dyDescent="0.25">
      <c r="A97" s="632">
        <v>84</v>
      </c>
      <c r="B97" s="635" t="s">
        <v>181</v>
      </c>
      <c r="C97" s="634" t="s">
        <v>182</v>
      </c>
      <c r="D97" s="807">
        <f t="shared" si="4"/>
        <v>0</v>
      </c>
      <c r="E97" s="807">
        <f>'[9]Дисп. наблюдение Свод Пр.19-23'!E97+'[9]Отклонение Пр.1-24-Пр.19-23'!E97</f>
        <v>0</v>
      </c>
      <c r="F97" s="807">
        <f t="shared" si="5"/>
        <v>0</v>
      </c>
      <c r="G97" s="807">
        <f>'[9]Дисп. наблюдение Свод Пр.19-23'!G97+'[9]Отклонение Пр.1-24-Пр.19-23'!G97</f>
        <v>0</v>
      </c>
      <c r="H97" s="807">
        <f>'[9]Дисп. наблюдение Свод Пр.19-23'!H97+'[9]Отклонение Пр.1-24-Пр.19-23'!H97</f>
        <v>0</v>
      </c>
      <c r="I97" s="807">
        <f t="shared" si="6"/>
        <v>0</v>
      </c>
      <c r="J97" s="807">
        <f>'[9]Дисп. наблюдение Свод Пр.19-23'!J97+'[9]Отклонение Пр.1-24-Пр.19-23'!J97</f>
        <v>0</v>
      </c>
      <c r="K97" s="807">
        <f>'[9]Дисп. наблюдение Свод Пр.19-23'!K97+'[9]Отклонение Пр.1-24-Пр.19-23'!K97</f>
        <v>0</v>
      </c>
      <c r="L97" s="807">
        <f>'[9]Дисп. наблюдение Свод Пр.19-23'!L97+'[9]Отклонение Пр.1-24-Пр.19-23'!L97</f>
        <v>0</v>
      </c>
      <c r="N97" s="810"/>
      <c r="O97" s="811"/>
    </row>
    <row r="98" spans="1:15" x14ac:dyDescent="0.25">
      <c r="A98" s="632">
        <v>85</v>
      </c>
      <c r="B98" s="635" t="s">
        <v>183</v>
      </c>
      <c r="C98" s="32" t="s">
        <v>184</v>
      </c>
      <c r="D98" s="807">
        <f t="shared" si="4"/>
        <v>1811</v>
      </c>
      <c r="E98" s="807">
        <f>'[9]Дисп. наблюдение Свод Пр.19-23'!E98+'[9]Отклонение Пр.1-24-Пр.19-23'!E98</f>
        <v>0</v>
      </c>
      <c r="F98" s="807">
        <f t="shared" si="5"/>
        <v>1811</v>
      </c>
      <c r="G98" s="807">
        <f>'[9]Дисп. наблюдение Свод Пр.19-23'!G98+'[9]Отклонение Пр.1-24-Пр.19-23'!G98</f>
        <v>0</v>
      </c>
      <c r="H98" s="807">
        <f>'[9]Дисп. наблюдение Свод Пр.19-23'!H98+'[9]Отклонение Пр.1-24-Пр.19-23'!H98</f>
        <v>1811</v>
      </c>
      <c r="I98" s="807">
        <f t="shared" si="6"/>
        <v>0</v>
      </c>
      <c r="J98" s="807">
        <f>'[9]Дисп. наблюдение Свод Пр.19-23'!J98+'[9]Отклонение Пр.1-24-Пр.19-23'!J98</f>
        <v>0</v>
      </c>
      <c r="K98" s="807">
        <f>'[9]Дисп. наблюдение Свод Пр.19-23'!K98+'[9]Отклонение Пр.1-24-Пр.19-23'!K98</f>
        <v>0</v>
      </c>
      <c r="L98" s="807">
        <f>'[9]Дисп. наблюдение Свод Пр.19-23'!L98+'[9]Отклонение Пр.1-24-Пр.19-23'!L98</f>
        <v>2169</v>
      </c>
      <c r="N98" s="810"/>
      <c r="O98" s="811"/>
    </row>
    <row r="99" spans="1:15" x14ac:dyDescent="0.25">
      <c r="A99" s="632">
        <v>86</v>
      </c>
      <c r="B99" s="636" t="s">
        <v>185</v>
      </c>
      <c r="C99" s="637" t="s">
        <v>186</v>
      </c>
      <c r="D99" s="807">
        <f t="shared" si="4"/>
        <v>8701</v>
      </c>
      <c r="E99" s="807">
        <f>'[9]Дисп. наблюдение Свод Пр.19-23'!E99+'[9]Отклонение Пр.1-24-Пр.19-23'!E99</f>
        <v>0</v>
      </c>
      <c r="F99" s="807">
        <f t="shared" si="5"/>
        <v>8701</v>
      </c>
      <c r="G99" s="807">
        <f>'[9]Дисп. наблюдение Свод Пр.19-23'!G99+'[9]Отклонение Пр.1-24-Пр.19-23'!G99</f>
        <v>1650</v>
      </c>
      <c r="H99" s="807">
        <f>'[9]Дисп. наблюдение Свод Пр.19-23'!H99+'[9]Отклонение Пр.1-24-Пр.19-23'!H99</f>
        <v>7051</v>
      </c>
      <c r="I99" s="807">
        <f t="shared" si="6"/>
        <v>0</v>
      </c>
      <c r="J99" s="807">
        <f>'[9]Дисп. наблюдение Свод Пр.19-23'!J99+'[9]Отклонение Пр.1-24-Пр.19-23'!J99</f>
        <v>0</v>
      </c>
      <c r="K99" s="807">
        <f>'[9]Дисп. наблюдение Свод Пр.19-23'!K99+'[9]Отклонение Пр.1-24-Пр.19-23'!K99</f>
        <v>0</v>
      </c>
      <c r="L99" s="807">
        <f>'[9]Дисп. наблюдение Свод Пр.19-23'!L99+'[9]Отклонение Пр.1-24-Пр.19-23'!L99</f>
        <v>6785</v>
      </c>
      <c r="N99" s="810"/>
      <c r="O99" s="811"/>
    </row>
    <row r="100" spans="1:15" x14ac:dyDescent="0.25">
      <c r="A100" s="632">
        <v>87</v>
      </c>
      <c r="B100" s="635" t="s">
        <v>187</v>
      </c>
      <c r="C100" s="634" t="s">
        <v>188</v>
      </c>
      <c r="D100" s="807">
        <f t="shared" si="4"/>
        <v>3055</v>
      </c>
      <c r="E100" s="807">
        <f>'[9]Дисп. наблюдение Свод Пр.19-23'!E100+'[9]Отклонение Пр.1-24-Пр.19-23'!E100</f>
        <v>0</v>
      </c>
      <c r="F100" s="807">
        <f t="shared" si="5"/>
        <v>2096</v>
      </c>
      <c r="G100" s="807">
        <f>'[9]Дисп. наблюдение Свод Пр.19-23'!G100+'[9]Отклонение Пр.1-24-Пр.19-23'!G100</f>
        <v>616</v>
      </c>
      <c r="H100" s="807">
        <f>'[9]Дисп. наблюдение Свод Пр.19-23'!H100+'[9]Отклонение Пр.1-24-Пр.19-23'!H100</f>
        <v>1480</v>
      </c>
      <c r="I100" s="807">
        <f t="shared" si="6"/>
        <v>959</v>
      </c>
      <c r="J100" s="807">
        <f>'[9]Дисп. наблюдение Свод Пр.19-23'!J100+'[9]Отклонение Пр.1-24-Пр.19-23'!J100</f>
        <v>76</v>
      </c>
      <c r="K100" s="807">
        <f>'[9]Дисп. наблюдение Свод Пр.19-23'!K100+'[9]Отклонение Пр.1-24-Пр.19-23'!K100</f>
        <v>883</v>
      </c>
      <c r="L100" s="807">
        <f>'[9]Дисп. наблюдение Свод Пр.19-23'!L100+'[9]Отклонение Пр.1-24-Пр.19-23'!L100</f>
        <v>3539</v>
      </c>
      <c r="N100" s="810"/>
      <c r="O100" s="811"/>
    </row>
    <row r="101" spans="1:15" x14ac:dyDescent="0.25">
      <c r="A101" s="632">
        <v>88</v>
      </c>
      <c r="B101" s="636" t="s">
        <v>189</v>
      </c>
      <c r="C101" s="637" t="s">
        <v>190</v>
      </c>
      <c r="D101" s="807">
        <f t="shared" si="4"/>
        <v>5879</v>
      </c>
      <c r="E101" s="807">
        <f>'[9]Дисп. наблюдение Свод Пр.19-23'!E101+'[9]Отклонение Пр.1-24-Пр.19-23'!E101</f>
        <v>0</v>
      </c>
      <c r="F101" s="807">
        <f t="shared" si="5"/>
        <v>4856</v>
      </c>
      <c r="G101" s="807">
        <f>'[9]Дисп. наблюдение Свод Пр.19-23'!G101+'[9]Отклонение Пр.1-24-Пр.19-23'!G101</f>
        <v>460</v>
      </c>
      <c r="H101" s="807">
        <f>'[9]Дисп. наблюдение Свод Пр.19-23'!H101+'[9]Отклонение Пр.1-24-Пр.19-23'!H101</f>
        <v>4396</v>
      </c>
      <c r="I101" s="807">
        <f t="shared" si="6"/>
        <v>1023</v>
      </c>
      <c r="J101" s="807">
        <f>'[9]Дисп. наблюдение Свод Пр.19-23'!J101+'[9]Отклонение Пр.1-24-Пр.19-23'!J101</f>
        <v>11</v>
      </c>
      <c r="K101" s="807">
        <f>'[9]Дисп. наблюдение Свод Пр.19-23'!K101+'[9]Отклонение Пр.1-24-Пр.19-23'!K101</f>
        <v>1012</v>
      </c>
      <c r="L101" s="807">
        <f>'[9]Дисп. наблюдение Свод Пр.19-23'!L101+'[9]Отклонение Пр.1-24-Пр.19-23'!L101</f>
        <v>3709</v>
      </c>
      <c r="N101" s="810"/>
      <c r="O101" s="811"/>
    </row>
    <row r="102" spans="1:15" x14ac:dyDescent="0.25">
      <c r="A102" s="632">
        <v>89</v>
      </c>
      <c r="B102" s="636" t="s">
        <v>191</v>
      </c>
      <c r="C102" s="637" t="s">
        <v>192</v>
      </c>
      <c r="D102" s="807">
        <f t="shared" si="4"/>
        <v>14948</v>
      </c>
      <c r="E102" s="807">
        <f>'[9]Дисп. наблюдение Свод Пр.19-23'!E102+'[9]Отклонение Пр.1-24-Пр.19-23'!E102</f>
        <v>0</v>
      </c>
      <c r="F102" s="807">
        <f t="shared" si="5"/>
        <v>11161</v>
      </c>
      <c r="G102" s="807">
        <f>'[9]Дисп. наблюдение Свод Пр.19-23'!G102+'[9]Отклонение Пр.1-24-Пр.19-23'!G102</f>
        <v>2246</v>
      </c>
      <c r="H102" s="807">
        <f>'[9]Дисп. наблюдение Свод Пр.19-23'!H102+'[9]Отклонение Пр.1-24-Пр.19-23'!H102</f>
        <v>8915</v>
      </c>
      <c r="I102" s="807">
        <f t="shared" si="6"/>
        <v>3787</v>
      </c>
      <c r="J102" s="807">
        <f>'[9]Дисп. наблюдение Свод Пр.19-23'!J102+'[9]Отклонение Пр.1-24-Пр.19-23'!J102</f>
        <v>5</v>
      </c>
      <c r="K102" s="807">
        <f>'[9]Дисп. наблюдение Свод Пр.19-23'!K102+'[9]Отклонение Пр.1-24-Пр.19-23'!K102</f>
        <v>3782</v>
      </c>
      <c r="L102" s="807">
        <f>'[9]Дисп. наблюдение Свод Пр.19-23'!L102+'[9]Отклонение Пр.1-24-Пр.19-23'!L102</f>
        <v>13228</v>
      </c>
      <c r="N102" s="810"/>
      <c r="O102" s="811"/>
    </row>
    <row r="103" spans="1:15" x14ac:dyDescent="0.25">
      <c r="A103" s="632">
        <v>90</v>
      </c>
      <c r="B103" s="635" t="s">
        <v>193</v>
      </c>
      <c r="C103" s="32" t="s">
        <v>194</v>
      </c>
      <c r="D103" s="807">
        <f t="shared" si="4"/>
        <v>3765</v>
      </c>
      <c r="E103" s="807">
        <f>'[9]Дисп. наблюдение Свод Пр.19-23'!E103+'[9]Отклонение Пр.1-24-Пр.19-23'!E103</f>
        <v>0</v>
      </c>
      <c r="F103" s="807">
        <f t="shared" si="5"/>
        <v>2823</v>
      </c>
      <c r="G103" s="807">
        <f>'[9]Дисп. наблюдение Свод Пр.19-23'!G103+'[9]Отклонение Пр.1-24-Пр.19-23'!G103</f>
        <v>922</v>
      </c>
      <c r="H103" s="807">
        <f>'[9]Дисп. наблюдение Свод Пр.19-23'!H103+'[9]Отклонение Пр.1-24-Пр.19-23'!H103</f>
        <v>1901</v>
      </c>
      <c r="I103" s="807">
        <f t="shared" si="6"/>
        <v>942</v>
      </c>
      <c r="J103" s="807">
        <f>'[9]Дисп. наблюдение Свод Пр.19-23'!J103+'[9]Отклонение Пр.1-24-Пр.19-23'!J103</f>
        <v>47</v>
      </c>
      <c r="K103" s="807">
        <f>'[9]Дисп. наблюдение Свод Пр.19-23'!K103+'[9]Отклонение Пр.1-24-Пр.19-23'!K103</f>
        <v>895</v>
      </c>
      <c r="L103" s="807">
        <f>'[9]Дисп. наблюдение Свод Пр.19-23'!L103+'[9]Отклонение Пр.1-24-Пр.19-23'!L103</f>
        <v>6954</v>
      </c>
      <c r="N103" s="810"/>
      <c r="O103" s="811"/>
    </row>
    <row r="104" spans="1:15" x14ac:dyDescent="0.25">
      <c r="A104" s="632">
        <v>91</v>
      </c>
      <c r="B104" s="635" t="s">
        <v>195</v>
      </c>
      <c r="C104" s="634" t="s">
        <v>196</v>
      </c>
      <c r="D104" s="807">
        <f t="shared" si="4"/>
        <v>12302</v>
      </c>
      <c r="E104" s="807">
        <f>'[9]Дисп. наблюдение Свод Пр.19-23'!E104+'[9]Отклонение Пр.1-24-Пр.19-23'!E104</f>
        <v>0</v>
      </c>
      <c r="F104" s="807">
        <f t="shared" si="5"/>
        <v>8381</v>
      </c>
      <c r="G104" s="807">
        <f>'[9]Дисп. наблюдение Свод Пр.19-23'!G104+'[9]Отклонение Пр.1-24-Пр.19-23'!G104</f>
        <v>2705</v>
      </c>
      <c r="H104" s="807">
        <f>'[9]Дисп. наблюдение Свод Пр.19-23'!H104+'[9]Отклонение Пр.1-24-Пр.19-23'!H104</f>
        <v>5676</v>
      </c>
      <c r="I104" s="807">
        <f t="shared" si="6"/>
        <v>3921</v>
      </c>
      <c r="J104" s="807">
        <f>'[9]Дисп. наблюдение Свод Пр.19-23'!J104+'[9]Отклонение Пр.1-24-Пр.19-23'!J104</f>
        <v>583</v>
      </c>
      <c r="K104" s="807">
        <f>'[9]Дисп. наблюдение Свод Пр.19-23'!K104+'[9]Отклонение Пр.1-24-Пр.19-23'!K104</f>
        <v>3338</v>
      </c>
      <c r="L104" s="807">
        <f>'[9]Дисп. наблюдение Свод Пр.19-23'!L104+'[9]Отклонение Пр.1-24-Пр.19-23'!L104</f>
        <v>10485</v>
      </c>
      <c r="N104" s="810"/>
      <c r="O104" s="811"/>
    </row>
    <row r="105" spans="1:15" x14ac:dyDescent="0.25">
      <c r="A105" s="632">
        <v>92</v>
      </c>
      <c r="B105" s="633" t="s">
        <v>197</v>
      </c>
      <c r="C105" s="634" t="s">
        <v>198</v>
      </c>
      <c r="D105" s="807">
        <f t="shared" si="4"/>
        <v>16015</v>
      </c>
      <c r="E105" s="807">
        <f>'[9]Дисп. наблюдение Свод Пр.19-23'!E105+'[9]Отклонение Пр.1-24-Пр.19-23'!E105</f>
        <v>0</v>
      </c>
      <c r="F105" s="807">
        <f t="shared" si="5"/>
        <v>13425</v>
      </c>
      <c r="G105" s="807">
        <f>'[9]Дисп. наблюдение Свод Пр.19-23'!G105+'[9]Отклонение Пр.1-24-Пр.19-23'!G105</f>
        <v>1596</v>
      </c>
      <c r="H105" s="807">
        <f>'[9]Дисп. наблюдение Свод Пр.19-23'!H105+'[9]Отклонение Пр.1-24-Пр.19-23'!H105</f>
        <v>11829</v>
      </c>
      <c r="I105" s="807">
        <f t="shared" si="6"/>
        <v>2590</v>
      </c>
      <c r="J105" s="807">
        <f>'[9]Дисп. наблюдение Свод Пр.19-23'!J105+'[9]Отклонение Пр.1-24-Пр.19-23'!J105</f>
        <v>18</v>
      </c>
      <c r="K105" s="807">
        <f>'[9]Дисп. наблюдение Свод Пр.19-23'!K105+'[9]Отклонение Пр.1-24-Пр.19-23'!K105</f>
        <v>2572</v>
      </c>
      <c r="L105" s="807">
        <f>'[9]Дисп. наблюдение Свод Пр.19-23'!L105+'[9]Отклонение Пр.1-24-Пр.19-23'!L105</f>
        <v>12452</v>
      </c>
      <c r="N105" s="810"/>
      <c r="O105" s="811"/>
    </row>
    <row r="106" spans="1:15" x14ac:dyDescent="0.25">
      <c r="A106" s="632">
        <v>93</v>
      </c>
      <c r="B106" s="633" t="s">
        <v>199</v>
      </c>
      <c r="C106" s="634" t="s">
        <v>200</v>
      </c>
      <c r="D106" s="807">
        <f t="shared" si="4"/>
        <v>5892</v>
      </c>
      <c r="E106" s="807">
        <f>'[9]Дисп. наблюдение Свод Пр.19-23'!E106+'[9]Отклонение Пр.1-24-Пр.19-23'!E106</f>
        <v>0</v>
      </c>
      <c r="F106" s="807">
        <f t="shared" si="5"/>
        <v>4290</v>
      </c>
      <c r="G106" s="807">
        <f>'[9]Дисп. наблюдение Свод Пр.19-23'!G106+'[9]Отклонение Пр.1-24-Пр.19-23'!G106</f>
        <v>1538</v>
      </c>
      <c r="H106" s="807">
        <f>'[9]Дисп. наблюдение Свод Пр.19-23'!H106+'[9]Отклонение Пр.1-24-Пр.19-23'!H106</f>
        <v>2752</v>
      </c>
      <c r="I106" s="807">
        <f t="shared" si="6"/>
        <v>1602</v>
      </c>
      <c r="J106" s="807">
        <f>'[9]Дисп. наблюдение Свод Пр.19-23'!J106+'[9]Отклонение Пр.1-24-Пр.19-23'!J106</f>
        <v>37</v>
      </c>
      <c r="K106" s="807">
        <f>'[9]Дисп. наблюдение Свод Пр.19-23'!K106+'[9]Отклонение Пр.1-24-Пр.19-23'!K106</f>
        <v>1565</v>
      </c>
      <c r="L106" s="807">
        <f>'[9]Дисп. наблюдение Свод Пр.19-23'!L106+'[9]Отклонение Пр.1-24-Пр.19-23'!L106</f>
        <v>9814</v>
      </c>
      <c r="N106" s="810"/>
      <c r="O106" s="811"/>
    </row>
    <row r="107" spans="1:15" x14ac:dyDescent="0.25">
      <c r="A107" s="632">
        <v>94</v>
      </c>
      <c r="B107" s="636" t="s">
        <v>201</v>
      </c>
      <c r="C107" s="637" t="s">
        <v>202</v>
      </c>
      <c r="D107" s="807">
        <f t="shared" si="4"/>
        <v>2494</v>
      </c>
      <c r="E107" s="807">
        <f>'[9]Дисп. наблюдение Свод Пр.19-23'!E107+'[9]Отклонение Пр.1-24-Пр.19-23'!E107</f>
        <v>0</v>
      </c>
      <c r="F107" s="807">
        <f t="shared" si="5"/>
        <v>1969</v>
      </c>
      <c r="G107" s="807">
        <f>'[9]Дисп. наблюдение Свод Пр.19-23'!G107+'[9]Отклонение Пр.1-24-Пр.19-23'!G107</f>
        <v>587</v>
      </c>
      <c r="H107" s="807">
        <f>'[9]Дисп. наблюдение Свод Пр.19-23'!H107+'[9]Отклонение Пр.1-24-Пр.19-23'!H107</f>
        <v>1382</v>
      </c>
      <c r="I107" s="807">
        <f t="shared" si="6"/>
        <v>525</v>
      </c>
      <c r="J107" s="807">
        <f>'[9]Дисп. наблюдение Свод Пр.19-23'!J107+'[9]Отклонение Пр.1-24-Пр.19-23'!J107</f>
        <v>24</v>
      </c>
      <c r="K107" s="807">
        <f>'[9]Дисп. наблюдение Свод Пр.19-23'!K107+'[9]Отклонение Пр.1-24-Пр.19-23'!K107</f>
        <v>501</v>
      </c>
      <c r="L107" s="807">
        <f>'[9]Дисп. наблюдение Свод Пр.19-23'!L107+'[9]Отклонение Пр.1-24-Пр.19-23'!L107</f>
        <v>4993</v>
      </c>
      <c r="N107" s="810"/>
      <c r="O107" s="811"/>
    </row>
    <row r="108" spans="1:15" x14ac:dyDescent="0.25">
      <c r="A108" s="632">
        <v>95</v>
      </c>
      <c r="B108" s="638" t="s">
        <v>203</v>
      </c>
      <c r="C108" s="32" t="s">
        <v>204</v>
      </c>
      <c r="D108" s="807">
        <f t="shared" si="4"/>
        <v>7123</v>
      </c>
      <c r="E108" s="807">
        <f>'[9]Дисп. наблюдение Свод Пр.19-23'!E108+'[9]Отклонение Пр.1-24-Пр.19-23'!E108</f>
        <v>0</v>
      </c>
      <c r="F108" s="807">
        <f t="shared" si="5"/>
        <v>4478</v>
      </c>
      <c r="G108" s="807">
        <f>'[9]Дисп. наблюдение Свод Пр.19-23'!G108+'[9]Отклонение Пр.1-24-Пр.19-23'!G108</f>
        <v>934</v>
      </c>
      <c r="H108" s="807">
        <f>'[9]Дисп. наблюдение Свод Пр.19-23'!H108+'[9]Отклонение Пр.1-24-Пр.19-23'!H108</f>
        <v>3544</v>
      </c>
      <c r="I108" s="807">
        <f t="shared" si="6"/>
        <v>2645</v>
      </c>
      <c r="J108" s="807">
        <f>'[9]Дисп. наблюдение Свод Пр.19-23'!J108+'[9]Отклонение Пр.1-24-Пр.19-23'!J108</f>
        <v>143</v>
      </c>
      <c r="K108" s="807">
        <f>'[9]Дисп. наблюдение Свод Пр.19-23'!K108+'[9]Отклонение Пр.1-24-Пр.19-23'!K108</f>
        <v>2502</v>
      </c>
      <c r="L108" s="807">
        <f>'[9]Дисп. наблюдение Свод Пр.19-23'!L108+'[9]Отклонение Пр.1-24-Пр.19-23'!L108</f>
        <v>7079</v>
      </c>
      <c r="N108" s="810"/>
      <c r="O108" s="811"/>
    </row>
    <row r="109" spans="1:15" x14ac:dyDescent="0.25">
      <c r="A109" s="632">
        <v>96</v>
      </c>
      <c r="B109" s="633" t="s">
        <v>205</v>
      </c>
      <c r="C109" s="634" t="s">
        <v>206</v>
      </c>
      <c r="D109" s="807">
        <f t="shared" si="4"/>
        <v>6271</v>
      </c>
      <c r="E109" s="807">
        <f>'[9]Дисп. наблюдение Свод Пр.19-23'!E109+'[9]Отклонение Пр.1-24-Пр.19-23'!E109</f>
        <v>0</v>
      </c>
      <c r="F109" s="807">
        <f t="shared" si="5"/>
        <v>5007</v>
      </c>
      <c r="G109" s="807">
        <f>'[9]Дисп. наблюдение Свод Пр.19-23'!G109+'[9]Отклонение Пр.1-24-Пр.19-23'!G109</f>
        <v>535</v>
      </c>
      <c r="H109" s="807">
        <f>'[9]Дисп. наблюдение Свод Пр.19-23'!H109+'[9]Отклонение Пр.1-24-Пр.19-23'!H109</f>
        <v>4472</v>
      </c>
      <c r="I109" s="807">
        <f t="shared" si="6"/>
        <v>1264</v>
      </c>
      <c r="J109" s="807">
        <f>'[9]Дисп. наблюдение Свод Пр.19-23'!J109+'[9]Отклонение Пр.1-24-Пр.19-23'!J109</f>
        <v>142</v>
      </c>
      <c r="K109" s="807">
        <f>'[9]Дисп. наблюдение Свод Пр.19-23'!K109+'[9]Отклонение Пр.1-24-Пр.19-23'!K109</f>
        <v>1122</v>
      </c>
      <c r="L109" s="807">
        <f>'[9]Дисп. наблюдение Свод Пр.19-23'!L109+'[9]Отклонение Пр.1-24-Пр.19-23'!L109</f>
        <v>6929</v>
      </c>
      <c r="N109" s="810"/>
      <c r="O109" s="811"/>
    </row>
    <row r="110" spans="1:15" x14ac:dyDescent="0.25">
      <c r="A110" s="632">
        <v>97</v>
      </c>
      <c r="B110" s="635" t="s">
        <v>207</v>
      </c>
      <c r="C110" s="634" t="s">
        <v>208</v>
      </c>
      <c r="D110" s="807">
        <f t="shared" si="4"/>
        <v>8356</v>
      </c>
      <c r="E110" s="807">
        <f>'[9]Дисп. наблюдение Свод Пр.19-23'!E110+'[9]Отклонение Пр.1-24-Пр.19-23'!E110</f>
        <v>0</v>
      </c>
      <c r="F110" s="807">
        <f t="shared" si="5"/>
        <v>5910</v>
      </c>
      <c r="G110" s="807">
        <f>'[9]Дисп. наблюдение Свод Пр.19-23'!G110+'[9]Отклонение Пр.1-24-Пр.19-23'!G110</f>
        <v>1225</v>
      </c>
      <c r="H110" s="807">
        <f>'[9]Дисп. наблюдение Свод Пр.19-23'!H110+'[9]Отклонение Пр.1-24-Пр.19-23'!H110</f>
        <v>4685</v>
      </c>
      <c r="I110" s="807">
        <f t="shared" si="6"/>
        <v>2446</v>
      </c>
      <c r="J110" s="807">
        <f>'[9]Дисп. наблюдение Свод Пр.19-23'!J110+'[9]Отклонение Пр.1-24-Пр.19-23'!J110</f>
        <v>286</v>
      </c>
      <c r="K110" s="807">
        <f>'[9]Дисп. наблюдение Свод Пр.19-23'!K110+'[9]Отклонение Пр.1-24-Пр.19-23'!K110</f>
        <v>2160</v>
      </c>
      <c r="L110" s="807">
        <f>'[9]Дисп. наблюдение Свод Пр.19-23'!L110+'[9]Отклонение Пр.1-24-Пр.19-23'!L110</f>
        <v>7841</v>
      </c>
      <c r="N110" s="810"/>
      <c r="O110" s="811"/>
    </row>
    <row r="111" spans="1:15" x14ac:dyDescent="0.25">
      <c r="A111" s="632">
        <v>98</v>
      </c>
      <c r="B111" s="636" t="s">
        <v>209</v>
      </c>
      <c r="C111" s="637" t="s">
        <v>210</v>
      </c>
      <c r="D111" s="807">
        <f t="shared" si="4"/>
        <v>6832</v>
      </c>
      <c r="E111" s="807">
        <f>'[9]Дисп. наблюдение Свод Пр.19-23'!E111+'[9]Отклонение Пр.1-24-Пр.19-23'!E111</f>
        <v>0</v>
      </c>
      <c r="F111" s="807">
        <f t="shared" si="5"/>
        <v>5880</v>
      </c>
      <c r="G111" s="807">
        <f>'[9]Дисп. наблюдение Свод Пр.19-23'!G111+'[9]Отклонение Пр.1-24-Пр.19-23'!G111</f>
        <v>651</v>
      </c>
      <c r="H111" s="807">
        <f>'[9]Дисп. наблюдение Свод Пр.19-23'!H111+'[9]Отклонение Пр.1-24-Пр.19-23'!H111</f>
        <v>5229</v>
      </c>
      <c r="I111" s="807">
        <f t="shared" si="6"/>
        <v>952</v>
      </c>
      <c r="J111" s="807">
        <f>'[9]Дисп. наблюдение Свод Пр.19-23'!J111+'[9]Отклонение Пр.1-24-Пр.19-23'!J111</f>
        <v>17</v>
      </c>
      <c r="K111" s="807">
        <f>'[9]Дисп. наблюдение Свод Пр.19-23'!K111+'[9]Отклонение Пр.1-24-Пр.19-23'!K111</f>
        <v>935</v>
      </c>
      <c r="L111" s="807">
        <f>'[9]Дисп. наблюдение Свод Пр.19-23'!L111+'[9]Отклонение Пр.1-24-Пр.19-23'!L111</f>
        <v>4346</v>
      </c>
      <c r="N111" s="810"/>
      <c r="O111" s="811"/>
    </row>
    <row r="112" spans="1:15" x14ac:dyDescent="0.25">
      <c r="A112" s="632">
        <v>99</v>
      </c>
      <c r="B112" s="636" t="s">
        <v>211</v>
      </c>
      <c r="C112" s="637" t="s">
        <v>212</v>
      </c>
      <c r="D112" s="807">
        <f t="shared" si="4"/>
        <v>11522</v>
      </c>
      <c r="E112" s="807">
        <f>'[9]Дисп. наблюдение Свод Пр.19-23'!E112+'[9]Отклонение Пр.1-24-Пр.19-23'!E112</f>
        <v>0</v>
      </c>
      <c r="F112" s="807">
        <f t="shared" si="5"/>
        <v>9831</v>
      </c>
      <c r="G112" s="807">
        <f>'[9]Дисп. наблюдение Свод Пр.19-23'!G112+'[9]Отклонение Пр.1-24-Пр.19-23'!G112</f>
        <v>1677</v>
      </c>
      <c r="H112" s="807">
        <f>'[9]Дисп. наблюдение Свод Пр.19-23'!H112+'[9]Отклонение Пр.1-24-Пр.19-23'!H112</f>
        <v>8154</v>
      </c>
      <c r="I112" s="807">
        <f t="shared" si="6"/>
        <v>1691</v>
      </c>
      <c r="J112" s="807">
        <f>'[9]Дисп. наблюдение Свод Пр.19-23'!J112+'[9]Отклонение Пр.1-24-Пр.19-23'!J112</f>
        <v>40</v>
      </c>
      <c r="K112" s="807">
        <f>'[9]Дисп. наблюдение Свод Пр.19-23'!K112+'[9]Отклонение Пр.1-24-Пр.19-23'!K112</f>
        <v>1651</v>
      </c>
      <c r="L112" s="807">
        <f>'[9]Дисп. наблюдение Свод Пр.19-23'!L112+'[9]Отклонение Пр.1-24-Пр.19-23'!L112</f>
        <v>8579</v>
      </c>
      <c r="N112" s="810"/>
      <c r="O112" s="811"/>
    </row>
    <row r="113" spans="1:15" x14ac:dyDescent="0.25">
      <c r="A113" s="632">
        <v>100</v>
      </c>
      <c r="B113" s="633" t="s">
        <v>213</v>
      </c>
      <c r="C113" s="634" t="s">
        <v>214</v>
      </c>
      <c r="D113" s="807">
        <f t="shared" si="4"/>
        <v>18225</v>
      </c>
      <c r="E113" s="807">
        <f>'[9]Дисп. наблюдение Свод Пр.19-23'!E113+'[9]Отклонение Пр.1-24-Пр.19-23'!E113</f>
        <v>0</v>
      </c>
      <c r="F113" s="807">
        <f t="shared" si="5"/>
        <v>11797</v>
      </c>
      <c r="G113" s="807">
        <f>'[9]Дисп. наблюдение Свод Пр.19-23'!G113+'[9]Отклонение Пр.1-24-Пр.19-23'!G113</f>
        <v>1730</v>
      </c>
      <c r="H113" s="807">
        <f>'[9]Дисп. наблюдение Свод Пр.19-23'!H113+'[9]Отклонение Пр.1-24-Пр.19-23'!H113</f>
        <v>10067</v>
      </c>
      <c r="I113" s="807">
        <f t="shared" si="6"/>
        <v>6428</v>
      </c>
      <c r="J113" s="807">
        <f>'[9]Дисп. наблюдение Свод Пр.19-23'!J113+'[9]Отклонение Пр.1-24-Пр.19-23'!J113</f>
        <v>97</v>
      </c>
      <c r="K113" s="807">
        <f>'[9]Дисп. наблюдение Свод Пр.19-23'!K113+'[9]Отклонение Пр.1-24-Пр.19-23'!K113</f>
        <v>6331</v>
      </c>
      <c r="L113" s="807">
        <f>'[9]Дисп. наблюдение Свод Пр.19-23'!L113+'[9]Отклонение Пр.1-24-Пр.19-23'!L113</f>
        <v>12853</v>
      </c>
      <c r="N113" s="810"/>
      <c r="O113" s="811"/>
    </row>
    <row r="114" spans="1:15" x14ac:dyDescent="0.25">
      <c r="A114" s="632">
        <v>101</v>
      </c>
      <c r="B114" s="635" t="s">
        <v>215</v>
      </c>
      <c r="C114" s="634" t="s">
        <v>216</v>
      </c>
      <c r="D114" s="807">
        <f t="shared" si="4"/>
        <v>8493</v>
      </c>
      <c r="E114" s="807">
        <f>'[9]Дисп. наблюдение Свод Пр.19-23'!E114+'[9]Отклонение Пр.1-24-Пр.19-23'!E114</f>
        <v>0</v>
      </c>
      <c r="F114" s="807">
        <f t="shared" si="5"/>
        <v>6742</v>
      </c>
      <c r="G114" s="807">
        <f>'[9]Дисп. наблюдение Свод Пр.19-23'!G114+'[9]Отклонение Пр.1-24-Пр.19-23'!G114</f>
        <v>1266</v>
      </c>
      <c r="H114" s="807">
        <f>'[9]Дисп. наблюдение Свод Пр.19-23'!H114+'[9]Отклонение Пр.1-24-Пр.19-23'!H114</f>
        <v>5476</v>
      </c>
      <c r="I114" s="807">
        <f t="shared" si="6"/>
        <v>1751</v>
      </c>
      <c r="J114" s="807">
        <f>'[9]Дисп. наблюдение Свод Пр.19-23'!J114+'[9]Отклонение Пр.1-24-Пр.19-23'!J114</f>
        <v>43</v>
      </c>
      <c r="K114" s="807">
        <f>'[9]Дисп. наблюдение Свод Пр.19-23'!K114+'[9]Отклонение Пр.1-24-Пр.19-23'!K114</f>
        <v>1708</v>
      </c>
      <c r="L114" s="807">
        <f>'[9]Дисп. наблюдение Свод Пр.19-23'!L114+'[9]Отклонение Пр.1-24-Пр.19-23'!L114</f>
        <v>7049</v>
      </c>
      <c r="N114" s="810"/>
      <c r="O114" s="811"/>
    </row>
    <row r="115" spans="1:15" x14ac:dyDescent="0.25">
      <c r="A115" s="632">
        <v>102</v>
      </c>
      <c r="B115" s="633" t="s">
        <v>217</v>
      </c>
      <c r="C115" s="637" t="s">
        <v>218</v>
      </c>
      <c r="D115" s="807">
        <f t="shared" si="4"/>
        <v>17</v>
      </c>
      <c r="E115" s="807">
        <f>'[9]Дисп. наблюдение Свод Пр.19-23'!E115+'[9]Отклонение Пр.1-24-Пр.19-23'!E115</f>
        <v>17</v>
      </c>
      <c r="F115" s="807">
        <f t="shared" si="5"/>
        <v>0</v>
      </c>
      <c r="G115" s="807">
        <f>'[9]Дисп. наблюдение Свод Пр.19-23'!G115+'[9]Отклонение Пр.1-24-Пр.19-23'!G115</f>
        <v>0</v>
      </c>
      <c r="H115" s="807">
        <f>'[9]Дисп. наблюдение Свод Пр.19-23'!H115+'[9]Отклонение Пр.1-24-Пр.19-23'!H115</f>
        <v>0</v>
      </c>
      <c r="I115" s="807">
        <f t="shared" si="6"/>
        <v>0</v>
      </c>
      <c r="J115" s="807">
        <f>'[9]Дисп. наблюдение Свод Пр.19-23'!J115+'[9]Отклонение Пр.1-24-Пр.19-23'!J115</f>
        <v>0</v>
      </c>
      <c r="K115" s="807">
        <f>'[9]Дисп. наблюдение Свод Пр.19-23'!K115+'[9]Отклонение Пр.1-24-Пр.19-23'!K115</f>
        <v>0</v>
      </c>
      <c r="L115" s="807">
        <f>'[9]Дисп. наблюдение Свод Пр.19-23'!L115+'[9]Отклонение Пр.1-24-Пр.19-23'!L115</f>
        <v>0</v>
      </c>
      <c r="N115" s="810"/>
      <c r="O115" s="811"/>
    </row>
    <row r="116" spans="1:15" x14ac:dyDescent="0.25">
      <c r="A116" s="632">
        <v>103</v>
      </c>
      <c r="B116" s="633" t="s">
        <v>219</v>
      </c>
      <c r="C116" s="634" t="s">
        <v>220</v>
      </c>
      <c r="D116" s="807">
        <f t="shared" si="4"/>
        <v>0</v>
      </c>
      <c r="E116" s="807">
        <f>'[9]Дисп. наблюдение Свод Пр.19-23'!E116+'[9]Отклонение Пр.1-24-Пр.19-23'!E116</f>
        <v>0</v>
      </c>
      <c r="F116" s="807">
        <f t="shared" si="5"/>
        <v>0</v>
      </c>
      <c r="G116" s="807">
        <f>'[9]Дисп. наблюдение Свод Пр.19-23'!G116+'[9]Отклонение Пр.1-24-Пр.19-23'!G116</f>
        <v>0</v>
      </c>
      <c r="H116" s="807">
        <f>'[9]Дисп. наблюдение Свод Пр.19-23'!H116+'[9]Отклонение Пр.1-24-Пр.19-23'!H116</f>
        <v>0</v>
      </c>
      <c r="I116" s="807">
        <f t="shared" si="6"/>
        <v>0</v>
      </c>
      <c r="J116" s="807">
        <f>'[9]Дисп. наблюдение Свод Пр.19-23'!J116+'[9]Отклонение Пр.1-24-Пр.19-23'!J116</f>
        <v>0</v>
      </c>
      <c r="K116" s="807">
        <f>'[9]Дисп. наблюдение Свод Пр.19-23'!K116+'[9]Отклонение Пр.1-24-Пр.19-23'!K116</f>
        <v>0</v>
      </c>
      <c r="L116" s="807">
        <f>'[9]Дисп. наблюдение Свод Пр.19-23'!L116+'[9]Отклонение Пр.1-24-Пр.19-23'!L116</f>
        <v>0</v>
      </c>
      <c r="N116" s="810"/>
      <c r="O116" s="811"/>
    </row>
    <row r="117" spans="1:15" x14ac:dyDescent="0.25">
      <c r="A117" s="632">
        <v>104</v>
      </c>
      <c r="B117" s="636" t="s">
        <v>221</v>
      </c>
      <c r="C117" s="637" t="s">
        <v>222</v>
      </c>
      <c r="D117" s="807">
        <f t="shared" si="4"/>
        <v>0</v>
      </c>
      <c r="E117" s="807">
        <f>'[9]Дисп. наблюдение Свод Пр.19-23'!E117+'[9]Отклонение Пр.1-24-Пр.19-23'!E117</f>
        <v>0</v>
      </c>
      <c r="F117" s="807">
        <f t="shared" si="5"/>
        <v>0</v>
      </c>
      <c r="G117" s="807">
        <f>'[9]Дисп. наблюдение Свод Пр.19-23'!G117+'[9]Отклонение Пр.1-24-Пр.19-23'!G117</f>
        <v>0</v>
      </c>
      <c r="H117" s="807">
        <f>'[9]Дисп. наблюдение Свод Пр.19-23'!H117+'[9]Отклонение Пр.1-24-Пр.19-23'!H117</f>
        <v>0</v>
      </c>
      <c r="I117" s="807">
        <f t="shared" si="6"/>
        <v>0</v>
      </c>
      <c r="J117" s="807">
        <f>'[9]Дисп. наблюдение Свод Пр.19-23'!J117+'[9]Отклонение Пр.1-24-Пр.19-23'!J117</f>
        <v>0</v>
      </c>
      <c r="K117" s="807">
        <f>'[9]Дисп. наблюдение Свод Пр.19-23'!K117+'[9]Отклонение Пр.1-24-Пр.19-23'!K117</f>
        <v>0</v>
      </c>
      <c r="L117" s="807">
        <f>'[9]Дисп. наблюдение Свод Пр.19-23'!L117+'[9]Отклонение Пр.1-24-Пр.19-23'!L117</f>
        <v>0</v>
      </c>
      <c r="N117" s="810"/>
      <c r="O117" s="811"/>
    </row>
    <row r="118" spans="1:15" x14ac:dyDescent="0.25">
      <c r="A118" s="632">
        <v>105</v>
      </c>
      <c r="B118" s="636" t="s">
        <v>223</v>
      </c>
      <c r="C118" s="637" t="s">
        <v>224</v>
      </c>
      <c r="D118" s="807">
        <f t="shared" si="4"/>
        <v>0</v>
      </c>
      <c r="E118" s="807">
        <f>'[9]Дисп. наблюдение Свод Пр.19-23'!E118+'[9]Отклонение Пр.1-24-Пр.19-23'!E118</f>
        <v>0</v>
      </c>
      <c r="F118" s="807">
        <f t="shared" si="5"/>
        <v>0</v>
      </c>
      <c r="G118" s="807">
        <f>'[9]Дисп. наблюдение Свод Пр.19-23'!G118+'[9]Отклонение Пр.1-24-Пр.19-23'!G118</f>
        <v>0</v>
      </c>
      <c r="H118" s="807">
        <f>'[9]Дисп. наблюдение Свод Пр.19-23'!H118+'[9]Отклонение Пр.1-24-Пр.19-23'!H118</f>
        <v>0</v>
      </c>
      <c r="I118" s="807">
        <f t="shared" si="6"/>
        <v>0</v>
      </c>
      <c r="J118" s="807">
        <f>'[9]Дисп. наблюдение Свод Пр.19-23'!J118+'[9]Отклонение Пр.1-24-Пр.19-23'!J118</f>
        <v>0</v>
      </c>
      <c r="K118" s="807">
        <f>'[9]Дисп. наблюдение Свод Пр.19-23'!K118+'[9]Отклонение Пр.1-24-Пр.19-23'!K118</f>
        <v>0</v>
      </c>
      <c r="L118" s="807">
        <f>'[9]Дисп. наблюдение Свод Пр.19-23'!L118+'[9]Отклонение Пр.1-24-Пр.19-23'!L118</f>
        <v>0</v>
      </c>
      <c r="N118" s="810"/>
      <c r="O118" s="811"/>
    </row>
    <row r="119" spans="1:15" x14ac:dyDescent="0.25">
      <c r="A119" s="632">
        <v>106</v>
      </c>
      <c r="B119" s="636" t="s">
        <v>225</v>
      </c>
      <c r="C119" s="637" t="s">
        <v>226</v>
      </c>
      <c r="D119" s="807">
        <f t="shared" si="4"/>
        <v>0</v>
      </c>
      <c r="E119" s="807">
        <f>'[9]Дисп. наблюдение Свод Пр.19-23'!E119+'[9]Отклонение Пр.1-24-Пр.19-23'!E119</f>
        <v>0</v>
      </c>
      <c r="F119" s="807">
        <f t="shared" si="5"/>
        <v>0</v>
      </c>
      <c r="G119" s="807">
        <f>'[9]Дисп. наблюдение Свод Пр.19-23'!G119+'[9]Отклонение Пр.1-24-Пр.19-23'!G119</f>
        <v>0</v>
      </c>
      <c r="H119" s="807">
        <f>'[9]Дисп. наблюдение Свод Пр.19-23'!H119+'[9]Отклонение Пр.1-24-Пр.19-23'!H119</f>
        <v>0</v>
      </c>
      <c r="I119" s="807">
        <f t="shared" si="6"/>
        <v>0</v>
      </c>
      <c r="J119" s="807">
        <f>'[9]Дисп. наблюдение Свод Пр.19-23'!J119+'[9]Отклонение Пр.1-24-Пр.19-23'!J119</f>
        <v>0</v>
      </c>
      <c r="K119" s="807">
        <f>'[9]Дисп. наблюдение Свод Пр.19-23'!K119+'[9]Отклонение Пр.1-24-Пр.19-23'!K119</f>
        <v>0</v>
      </c>
      <c r="L119" s="807">
        <f>'[9]Дисп. наблюдение Свод Пр.19-23'!L119+'[9]Отклонение Пр.1-24-Пр.19-23'!L119</f>
        <v>0</v>
      </c>
      <c r="N119" s="810"/>
      <c r="O119" s="811"/>
    </row>
    <row r="120" spans="1:15" ht="24" x14ac:dyDescent="0.25">
      <c r="A120" s="632">
        <v>107</v>
      </c>
      <c r="B120" s="636" t="s">
        <v>227</v>
      </c>
      <c r="C120" s="637" t="s">
        <v>228</v>
      </c>
      <c r="D120" s="807">
        <f t="shared" si="4"/>
        <v>0</v>
      </c>
      <c r="E120" s="807">
        <f>'[9]Дисп. наблюдение Свод Пр.19-23'!E120+'[9]Отклонение Пр.1-24-Пр.19-23'!E120</f>
        <v>0</v>
      </c>
      <c r="F120" s="807">
        <f t="shared" si="5"/>
        <v>0</v>
      </c>
      <c r="G120" s="807">
        <f>'[9]Дисп. наблюдение Свод Пр.19-23'!G120+'[9]Отклонение Пр.1-24-Пр.19-23'!G120</f>
        <v>0</v>
      </c>
      <c r="H120" s="807">
        <f>'[9]Дисп. наблюдение Свод Пр.19-23'!H120+'[9]Отклонение Пр.1-24-Пр.19-23'!H120</f>
        <v>0</v>
      </c>
      <c r="I120" s="807">
        <f t="shared" si="6"/>
        <v>0</v>
      </c>
      <c r="J120" s="807">
        <f>'[9]Дисп. наблюдение Свод Пр.19-23'!J120+'[9]Отклонение Пр.1-24-Пр.19-23'!J120</f>
        <v>0</v>
      </c>
      <c r="K120" s="807">
        <f>'[9]Дисп. наблюдение Свод Пр.19-23'!K120+'[9]Отклонение Пр.1-24-Пр.19-23'!K120</f>
        <v>0</v>
      </c>
      <c r="L120" s="807">
        <f>'[9]Дисп. наблюдение Свод Пр.19-23'!L120+'[9]Отклонение Пр.1-24-Пр.19-23'!L120</f>
        <v>0</v>
      </c>
      <c r="N120" s="810"/>
      <c r="O120" s="811"/>
    </row>
    <row r="121" spans="1:15" x14ac:dyDescent="0.25">
      <c r="A121" s="632">
        <v>108</v>
      </c>
      <c r="B121" s="636" t="s">
        <v>229</v>
      </c>
      <c r="C121" s="637" t="s">
        <v>230</v>
      </c>
      <c r="D121" s="807">
        <f t="shared" si="4"/>
        <v>0</v>
      </c>
      <c r="E121" s="807">
        <f>'[9]Дисп. наблюдение Свод Пр.19-23'!E121+'[9]Отклонение Пр.1-24-Пр.19-23'!E121</f>
        <v>0</v>
      </c>
      <c r="F121" s="807">
        <f t="shared" si="5"/>
        <v>0</v>
      </c>
      <c r="G121" s="807">
        <f>'[9]Дисп. наблюдение Свод Пр.19-23'!G121+'[9]Отклонение Пр.1-24-Пр.19-23'!G121</f>
        <v>0</v>
      </c>
      <c r="H121" s="807">
        <f>'[9]Дисп. наблюдение Свод Пр.19-23'!H121+'[9]Отклонение Пр.1-24-Пр.19-23'!H121</f>
        <v>0</v>
      </c>
      <c r="I121" s="807">
        <f t="shared" si="6"/>
        <v>0</v>
      </c>
      <c r="J121" s="807">
        <f>'[9]Дисп. наблюдение Свод Пр.19-23'!J121+'[9]Отклонение Пр.1-24-Пр.19-23'!J121</f>
        <v>0</v>
      </c>
      <c r="K121" s="807">
        <f>'[9]Дисп. наблюдение Свод Пр.19-23'!K121+'[9]Отклонение Пр.1-24-Пр.19-23'!K121</f>
        <v>0</v>
      </c>
      <c r="L121" s="807">
        <f>'[9]Дисп. наблюдение Свод Пр.19-23'!L121+'[9]Отклонение Пр.1-24-Пр.19-23'!L121</f>
        <v>0</v>
      </c>
      <c r="N121" s="810"/>
      <c r="O121" s="811"/>
    </row>
    <row r="122" spans="1:15" x14ac:dyDescent="0.25">
      <c r="A122" s="632">
        <v>109</v>
      </c>
      <c r="B122" s="636" t="s">
        <v>231</v>
      </c>
      <c r="C122" s="637" t="s">
        <v>232</v>
      </c>
      <c r="D122" s="807">
        <f t="shared" si="4"/>
        <v>0</v>
      </c>
      <c r="E122" s="807">
        <f>'[9]Дисп. наблюдение Свод Пр.19-23'!E122+'[9]Отклонение Пр.1-24-Пр.19-23'!E122</f>
        <v>0</v>
      </c>
      <c r="F122" s="807">
        <f t="shared" si="5"/>
        <v>0</v>
      </c>
      <c r="G122" s="807">
        <f>'[9]Дисп. наблюдение Свод Пр.19-23'!G122+'[9]Отклонение Пр.1-24-Пр.19-23'!G122</f>
        <v>0</v>
      </c>
      <c r="H122" s="807">
        <f>'[9]Дисп. наблюдение Свод Пр.19-23'!H122+'[9]Отклонение Пр.1-24-Пр.19-23'!H122</f>
        <v>0</v>
      </c>
      <c r="I122" s="807">
        <f t="shared" si="6"/>
        <v>0</v>
      </c>
      <c r="J122" s="807">
        <f>'[9]Дисп. наблюдение Свод Пр.19-23'!J122+'[9]Отклонение Пр.1-24-Пр.19-23'!J122</f>
        <v>0</v>
      </c>
      <c r="K122" s="807">
        <f>'[9]Дисп. наблюдение Свод Пр.19-23'!K122+'[9]Отклонение Пр.1-24-Пр.19-23'!K122</f>
        <v>0</v>
      </c>
      <c r="L122" s="807">
        <f>'[9]Дисп. наблюдение Свод Пр.19-23'!L122+'[9]Отклонение Пр.1-24-Пр.19-23'!L122</f>
        <v>0</v>
      </c>
      <c r="N122" s="810"/>
      <c r="O122" s="811"/>
    </row>
    <row r="123" spans="1:15" x14ac:dyDescent="0.25">
      <c r="A123" s="632">
        <v>110</v>
      </c>
      <c r="B123" s="643" t="s">
        <v>233</v>
      </c>
      <c r="C123" s="644" t="s">
        <v>234</v>
      </c>
      <c r="D123" s="807">
        <f t="shared" si="4"/>
        <v>0</v>
      </c>
      <c r="E123" s="807">
        <f>'[9]Дисп. наблюдение Свод Пр.19-23'!E123+'[9]Отклонение Пр.1-24-Пр.19-23'!E123</f>
        <v>0</v>
      </c>
      <c r="F123" s="807">
        <f t="shared" si="5"/>
        <v>0</v>
      </c>
      <c r="G123" s="807">
        <f>'[9]Дисп. наблюдение Свод Пр.19-23'!G123+'[9]Отклонение Пр.1-24-Пр.19-23'!G123</f>
        <v>0</v>
      </c>
      <c r="H123" s="807">
        <f>'[9]Дисп. наблюдение Свод Пр.19-23'!H123+'[9]Отклонение Пр.1-24-Пр.19-23'!H123</f>
        <v>0</v>
      </c>
      <c r="I123" s="807">
        <f t="shared" si="6"/>
        <v>0</v>
      </c>
      <c r="J123" s="807">
        <f>'[9]Дисп. наблюдение Свод Пр.19-23'!J123+'[9]Отклонение Пр.1-24-Пр.19-23'!J123</f>
        <v>0</v>
      </c>
      <c r="K123" s="807">
        <f>'[9]Дисп. наблюдение Свод Пр.19-23'!K123+'[9]Отклонение Пр.1-24-Пр.19-23'!K123</f>
        <v>0</v>
      </c>
      <c r="L123" s="807">
        <f>'[9]Дисп. наблюдение Свод Пр.19-23'!L123+'[9]Отклонение Пр.1-24-Пр.19-23'!L123</f>
        <v>0</v>
      </c>
      <c r="N123" s="810"/>
      <c r="O123" s="811"/>
    </row>
    <row r="124" spans="1:15" x14ac:dyDescent="0.25">
      <c r="A124" s="632">
        <v>111</v>
      </c>
      <c r="B124" s="643" t="s">
        <v>235</v>
      </c>
      <c r="C124" s="644" t="s">
        <v>236</v>
      </c>
      <c r="D124" s="807">
        <f t="shared" si="4"/>
        <v>0</v>
      </c>
      <c r="E124" s="807">
        <f>'[9]Дисп. наблюдение Свод Пр.19-23'!E124+'[9]Отклонение Пр.1-24-Пр.19-23'!E124</f>
        <v>0</v>
      </c>
      <c r="F124" s="807">
        <f t="shared" si="5"/>
        <v>0</v>
      </c>
      <c r="G124" s="807">
        <f>'[9]Дисп. наблюдение Свод Пр.19-23'!G124+'[9]Отклонение Пр.1-24-Пр.19-23'!G124</f>
        <v>0</v>
      </c>
      <c r="H124" s="807">
        <f>'[9]Дисп. наблюдение Свод Пр.19-23'!H124+'[9]Отклонение Пр.1-24-Пр.19-23'!H124</f>
        <v>0</v>
      </c>
      <c r="I124" s="807">
        <f t="shared" si="6"/>
        <v>0</v>
      </c>
      <c r="J124" s="807">
        <f>'[9]Дисп. наблюдение Свод Пр.19-23'!J124+'[9]Отклонение Пр.1-24-Пр.19-23'!J124</f>
        <v>0</v>
      </c>
      <c r="K124" s="807">
        <f>'[9]Дисп. наблюдение Свод Пр.19-23'!K124+'[9]Отклонение Пр.1-24-Пр.19-23'!K124</f>
        <v>0</v>
      </c>
      <c r="L124" s="807">
        <f>'[9]Дисп. наблюдение Свод Пр.19-23'!L124+'[9]Отклонение Пр.1-24-Пр.19-23'!L124</f>
        <v>0</v>
      </c>
      <c r="N124" s="810"/>
      <c r="O124" s="811"/>
    </row>
    <row r="125" spans="1:15" x14ac:dyDescent="0.25">
      <c r="A125" s="632">
        <v>112</v>
      </c>
      <c r="B125" s="635" t="s">
        <v>237</v>
      </c>
      <c r="C125" s="634" t="s">
        <v>238</v>
      </c>
      <c r="D125" s="807">
        <f t="shared" si="4"/>
        <v>0</v>
      </c>
      <c r="E125" s="807">
        <f>'[9]Дисп. наблюдение Свод Пр.19-23'!E125+'[9]Отклонение Пр.1-24-Пр.19-23'!E125</f>
        <v>0</v>
      </c>
      <c r="F125" s="807">
        <f t="shared" si="5"/>
        <v>0</v>
      </c>
      <c r="G125" s="807">
        <f>'[9]Дисп. наблюдение Свод Пр.19-23'!G125+'[9]Отклонение Пр.1-24-Пр.19-23'!G125</f>
        <v>0</v>
      </c>
      <c r="H125" s="807">
        <f>'[9]Дисп. наблюдение Свод Пр.19-23'!H125+'[9]Отклонение Пр.1-24-Пр.19-23'!H125</f>
        <v>0</v>
      </c>
      <c r="I125" s="807">
        <f t="shared" si="6"/>
        <v>0</v>
      </c>
      <c r="J125" s="807">
        <f>'[9]Дисп. наблюдение Свод Пр.19-23'!J125+'[9]Отклонение Пр.1-24-Пр.19-23'!J125</f>
        <v>0</v>
      </c>
      <c r="K125" s="807">
        <f>'[9]Дисп. наблюдение Свод Пр.19-23'!K125+'[9]Отклонение Пр.1-24-Пр.19-23'!K125</f>
        <v>0</v>
      </c>
      <c r="L125" s="807">
        <f>'[9]Дисп. наблюдение Свод Пр.19-23'!L125+'[9]Отклонение Пр.1-24-Пр.19-23'!L125</f>
        <v>0</v>
      </c>
      <c r="N125" s="810"/>
      <c r="O125" s="811"/>
    </row>
    <row r="126" spans="1:15" x14ac:dyDescent="0.25">
      <c r="A126" s="632">
        <v>113</v>
      </c>
      <c r="B126" s="636" t="s">
        <v>239</v>
      </c>
      <c r="C126" s="637" t="s">
        <v>240</v>
      </c>
      <c r="D126" s="807">
        <f t="shared" si="4"/>
        <v>0</v>
      </c>
      <c r="E126" s="807">
        <f>'[9]Дисп. наблюдение Свод Пр.19-23'!E126+'[9]Отклонение Пр.1-24-Пр.19-23'!E126</f>
        <v>0</v>
      </c>
      <c r="F126" s="807">
        <f t="shared" si="5"/>
        <v>0</v>
      </c>
      <c r="G126" s="807">
        <f>'[9]Дисп. наблюдение Свод Пр.19-23'!G126+'[9]Отклонение Пр.1-24-Пр.19-23'!G126</f>
        <v>0</v>
      </c>
      <c r="H126" s="807">
        <f>'[9]Дисп. наблюдение Свод Пр.19-23'!H126+'[9]Отклонение Пр.1-24-Пр.19-23'!H126</f>
        <v>0</v>
      </c>
      <c r="I126" s="807">
        <f t="shared" si="6"/>
        <v>0</v>
      </c>
      <c r="J126" s="807">
        <f>'[9]Дисп. наблюдение Свод Пр.19-23'!J126+'[9]Отклонение Пр.1-24-Пр.19-23'!J126</f>
        <v>0</v>
      </c>
      <c r="K126" s="807">
        <f>'[9]Дисп. наблюдение Свод Пр.19-23'!K126+'[9]Отклонение Пр.1-24-Пр.19-23'!K126</f>
        <v>0</v>
      </c>
      <c r="L126" s="807">
        <f>'[9]Дисп. наблюдение Свод Пр.19-23'!L126+'[9]Отклонение Пр.1-24-Пр.19-23'!L126</f>
        <v>0</v>
      </c>
      <c r="N126" s="810"/>
      <c r="O126" s="811"/>
    </row>
    <row r="127" spans="1:15" ht="24" x14ac:dyDescent="0.25">
      <c r="A127" s="632">
        <v>114</v>
      </c>
      <c r="B127" s="633" t="s">
        <v>241</v>
      </c>
      <c r="C127" s="645" t="s">
        <v>242</v>
      </c>
      <c r="D127" s="807">
        <f t="shared" si="4"/>
        <v>0</v>
      </c>
      <c r="E127" s="807">
        <f>'[9]Дисп. наблюдение Свод Пр.19-23'!E127+'[9]Отклонение Пр.1-24-Пр.19-23'!E127</f>
        <v>0</v>
      </c>
      <c r="F127" s="807">
        <f t="shared" si="5"/>
        <v>0</v>
      </c>
      <c r="G127" s="807">
        <f>'[9]Дисп. наблюдение Свод Пр.19-23'!G127+'[9]Отклонение Пр.1-24-Пр.19-23'!G127</f>
        <v>0</v>
      </c>
      <c r="H127" s="807">
        <f>'[9]Дисп. наблюдение Свод Пр.19-23'!H127+'[9]Отклонение Пр.1-24-Пр.19-23'!H127</f>
        <v>0</v>
      </c>
      <c r="I127" s="807">
        <f t="shared" si="6"/>
        <v>0</v>
      </c>
      <c r="J127" s="807">
        <f>'[9]Дисп. наблюдение Свод Пр.19-23'!J127+'[9]Отклонение Пр.1-24-Пр.19-23'!J127</f>
        <v>0</v>
      </c>
      <c r="K127" s="807">
        <f>'[9]Дисп. наблюдение Свод Пр.19-23'!K127+'[9]Отклонение Пр.1-24-Пр.19-23'!K127</f>
        <v>0</v>
      </c>
      <c r="L127" s="807">
        <f>'[9]Дисп. наблюдение Свод Пр.19-23'!L127+'[9]Отклонение Пр.1-24-Пр.19-23'!L127</f>
        <v>0</v>
      </c>
      <c r="N127" s="810"/>
      <c r="O127" s="811"/>
    </row>
    <row r="128" spans="1:15" x14ac:dyDescent="0.25">
      <c r="A128" s="632">
        <v>115</v>
      </c>
      <c r="B128" s="636" t="s">
        <v>243</v>
      </c>
      <c r="C128" s="32" t="s">
        <v>385</v>
      </c>
      <c r="D128" s="807">
        <f t="shared" si="4"/>
        <v>0</v>
      </c>
      <c r="E128" s="807">
        <f>'[9]Дисп. наблюдение Свод Пр.19-23'!E128+'[9]Отклонение Пр.1-24-Пр.19-23'!E128</f>
        <v>0</v>
      </c>
      <c r="F128" s="807">
        <f t="shared" si="5"/>
        <v>0</v>
      </c>
      <c r="G128" s="807">
        <f>'[9]Дисп. наблюдение Свод Пр.19-23'!G128+'[9]Отклонение Пр.1-24-Пр.19-23'!G128</f>
        <v>0</v>
      </c>
      <c r="H128" s="807">
        <f>'[9]Дисп. наблюдение Свод Пр.19-23'!H128+'[9]Отклонение Пр.1-24-Пр.19-23'!H128</f>
        <v>0</v>
      </c>
      <c r="I128" s="807">
        <f t="shared" si="6"/>
        <v>0</v>
      </c>
      <c r="J128" s="807">
        <f>'[9]Дисп. наблюдение Свод Пр.19-23'!J128+'[9]Отклонение Пр.1-24-Пр.19-23'!J128</f>
        <v>0</v>
      </c>
      <c r="K128" s="807">
        <f>'[9]Дисп. наблюдение Свод Пр.19-23'!K128+'[9]Отклонение Пр.1-24-Пр.19-23'!K128</f>
        <v>0</v>
      </c>
      <c r="L128" s="807">
        <f>'[9]Дисп. наблюдение Свод Пр.19-23'!L128+'[9]Отклонение Пр.1-24-Пр.19-23'!L128</f>
        <v>0</v>
      </c>
      <c r="N128" s="810"/>
      <c r="O128" s="811"/>
    </row>
    <row r="129" spans="1:15" x14ac:dyDescent="0.25">
      <c r="A129" s="632">
        <v>116</v>
      </c>
      <c r="B129" s="635" t="s">
        <v>244</v>
      </c>
      <c r="C129" s="637" t="s">
        <v>245</v>
      </c>
      <c r="D129" s="807">
        <f t="shared" si="4"/>
        <v>0</v>
      </c>
      <c r="E129" s="807">
        <f>'[9]Дисп. наблюдение Свод Пр.19-23'!E129+'[9]Отклонение Пр.1-24-Пр.19-23'!E129</f>
        <v>0</v>
      </c>
      <c r="F129" s="807">
        <f t="shared" si="5"/>
        <v>0</v>
      </c>
      <c r="G129" s="807">
        <f>'[9]Дисп. наблюдение Свод Пр.19-23'!G129+'[9]Отклонение Пр.1-24-Пр.19-23'!G129</f>
        <v>0</v>
      </c>
      <c r="H129" s="807">
        <f>'[9]Дисп. наблюдение Свод Пр.19-23'!H129+'[9]Отклонение Пр.1-24-Пр.19-23'!H129</f>
        <v>0</v>
      </c>
      <c r="I129" s="807">
        <f t="shared" si="6"/>
        <v>0</v>
      </c>
      <c r="J129" s="807">
        <f>'[9]Дисп. наблюдение Свод Пр.19-23'!J129+'[9]Отклонение Пр.1-24-Пр.19-23'!J129</f>
        <v>0</v>
      </c>
      <c r="K129" s="807">
        <f>'[9]Дисп. наблюдение Свод Пр.19-23'!K129+'[9]Отклонение Пр.1-24-Пр.19-23'!K129</f>
        <v>0</v>
      </c>
      <c r="L129" s="807">
        <f>'[9]Дисп. наблюдение Свод Пр.19-23'!L129+'[9]Отклонение Пр.1-24-Пр.19-23'!L129</f>
        <v>0</v>
      </c>
      <c r="N129" s="810"/>
      <c r="O129" s="811"/>
    </row>
    <row r="130" spans="1:15" x14ac:dyDescent="0.25">
      <c r="A130" s="632">
        <v>117</v>
      </c>
      <c r="B130" s="635" t="s">
        <v>246</v>
      </c>
      <c r="C130" s="637" t="s">
        <v>247</v>
      </c>
      <c r="D130" s="807">
        <f t="shared" si="4"/>
        <v>0</v>
      </c>
      <c r="E130" s="807">
        <f>'[9]Дисп. наблюдение Свод Пр.19-23'!E130+'[9]Отклонение Пр.1-24-Пр.19-23'!E130</f>
        <v>0</v>
      </c>
      <c r="F130" s="807">
        <f t="shared" si="5"/>
        <v>0</v>
      </c>
      <c r="G130" s="807">
        <f>'[9]Дисп. наблюдение Свод Пр.19-23'!G130+'[9]Отклонение Пр.1-24-Пр.19-23'!G130</f>
        <v>0</v>
      </c>
      <c r="H130" s="807">
        <f>'[9]Дисп. наблюдение Свод Пр.19-23'!H130+'[9]Отклонение Пр.1-24-Пр.19-23'!H130</f>
        <v>0</v>
      </c>
      <c r="I130" s="807">
        <f t="shared" si="6"/>
        <v>0</v>
      </c>
      <c r="J130" s="807">
        <f>'[9]Дисп. наблюдение Свод Пр.19-23'!J130+'[9]Отклонение Пр.1-24-Пр.19-23'!J130</f>
        <v>0</v>
      </c>
      <c r="K130" s="807">
        <f>'[9]Дисп. наблюдение Свод Пр.19-23'!K130+'[9]Отклонение Пр.1-24-Пр.19-23'!K130</f>
        <v>0</v>
      </c>
      <c r="L130" s="807">
        <f>'[9]Дисп. наблюдение Свод Пр.19-23'!L130+'[9]Отклонение Пр.1-24-Пр.19-23'!L130</f>
        <v>0</v>
      </c>
      <c r="N130" s="810"/>
      <c r="O130" s="811"/>
    </row>
    <row r="131" spans="1:15" x14ac:dyDescent="0.25">
      <c r="A131" s="632">
        <v>118</v>
      </c>
      <c r="B131" s="635" t="s">
        <v>248</v>
      </c>
      <c r="C131" s="637" t="s">
        <v>249</v>
      </c>
      <c r="D131" s="807">
        <f t="shared" si="4"/>
        <v>0</v>
      </c>
      <c r="E131" s="807">
        <f>'[9]Дисп. наблюдение Свод Пр.19-23'!E131+'[9]Отклонение Пр.1-24-Пр.19-23'!E131</f>
        <v>0</v>
      </c>
      <c r="F131" s="807">
        <f t="shared" si="5"/>
        <v>0</v>
      </c>
      <c r="G131" s="807">
        <f>'[9]Дисп. наблюдение Свод Пр.19-23'!G131+'[9]Отклонение Пр.1-24-Пр.19-23'!G131</f>
        <v>0</v>
      </c>
      <c r="H131" s="807">
        <f>'[9]Дисп. наблюдение Свод Пр.19-23'!H131+'[9]Отклонение Пр.1-24-Пр.19-23'!H131</f>
        <v>0</v>
      </c>
      <c r="I131" s="807">
        <f t="shared" si="6"/>
        <v>0</v>
      </c>
      <c r="J131" s="807">
        <f>'[9]Дисп. наблюдение Свод Пр.19-23'!J131+'[9]Отклонение Пр.1-24-Пр.19-23'!J131</f>
        <v>0</v>
      </c>
      <c r="K131" s="807">
        <f>'[9]Дисп. наблюдение Свод Пр.19-23'!K131+'[9]Отклонение Пр.1-24-Пр.19-23'!K131</f>
        <v>0</v>
      </c>
      <c r="L131" s="807">
        <f>'[9]Дисп. наблюдение Свод Пр.19-23'!L131+'[9]Отклонение Пр.1-24-Пр.19-23'!L131</f>
        <v>0</v>
      </c>
      <c r="N131" s="810"/>
      <c r="O131" s="811"/>
    </row>
    <row r="132" spans="1:15" x14ac:dyDescent="0.25">
      <c r="A132" s="632">
        <v>119</v>
      </c>
      <c r="B132" s="633" t="s">
        <v>250</v>
      </c>
      <c r="C132" s="634" t="s">
        <v>251</v>
      </c>
      <c r="D132" s="807">
        <f t="shared" si="4"/>
        <v>8</v>
      </c>
      <c r="E132" s="807">
        <f>'[9]Дисп. наблюдение Свод Пр.19-23'!E132+'[9]Отклонение Пр.1-24-Пр.19-23'!E132</f>
        <v>8</v>
      </c>
      <c r="F132" s="807">
        <f t="shared" si="5"/>
        <v>0</v>
      </c>
      <c r="G132" s="807">
        <f>'[9]Дисп. наблюдение Свод Пр.19-23'!G132+'[9]Отклонение Пр.1-24-Пр.19-23'!G132</f>
        <v>0</v>
      </c>
      <c r="H132" s="807">
        <f>'[9]Дисп. наблюдение Свод Пр.19-23'!H132+'[9]Отклонение Пр.1-24-Пр.19-23'!H132</f>
        <v>0</v>
      </c>
      <c r="I132" s="807">
        <f t="shared" si="6"/>
        <v>0</v>
      </c>
      <c r="J132" s="807">
        <f>'[9]Дисп. наблюдение Свод Пр.19-23'!J132+'[9]Отклонение Пр.1-24-Пр.19-23'!J132</f>
        <v>0</v>
      </c>
      <c r="K132" s="807">
        <f>'[9]Дисп. наблюдение Свод Пр.19-23'!K132+'[9]Отклонение Пр.1-24-Пр.19-23'!K132</f>
        <v>0</v>
      </c>
      <c r="L132" s="807">
        <f>'[9]Дисп. наблюдение Свод Пр.19-23'!L132+'[9]Отклонение Пр.1-24-Пр.19-23'!L132</f>
        <v>0</v>
      </c>
      <c r="N132" s="810"/>
      <c r="O132" s="811"/>
    </row>
    <row r="133" spans="1:15" x14ac:dyDescent="0.25">
      <c r="A133" s="632">
        <v>120</v>
      </c>
      <c r="B133" s="635" t="s">
        <v>252</v>
      </c>
      <c r="C133" s="634" t="s">
        <v>253</v>
      </c>
      <c r="D133" s="807">
        <f t="shared" si="4"/>
        <v>0</v>
      </c>
      <c r="E133" s="807">
        <f>'[9]Дисп. наблюдение Свод Пр.19-23'!E133+'[9]Отклонение Пр.1-24-Пр.19-23'!E133</f>
        <v>0</v>
      </c>
      <c r="F133" s="807">
        <f t="shared" si="5"/>
        <v>0</v>
      </c>
      <c r="G133" s="807">
        <f>'[9]Дисп. наблюдение Свод Пр.19-23'!G133+'[9]Отклонение Пр.1-24-Пр.19-23'!G133</f>
        <v>0</v>
      </c>
      <c r="H133" s="807">
        <f>'[9]Дисп. наблюдение Свод Пр.19-23'!H133+'[9]Отклонение Пр.1-24-Пр.19-23'!H133</f>
        <v>0</v>
      </c>
      <c r="I133" s="807">
        <f t="shared" si="6"/>
        <v>0</v>
      </c>
      <c r="J133" s="807">
        <f>'[9]Дисп. наблюдение Свод Пр.19-23'!J133+'[9]Отклонение Пр.1-24-Пр.19-23'!J133</f>
        <v>0</v>
      </c>
      <c r="K133" s="807">
        <f>'[9]Дисп. наблюдение Свод Пр.19-23'!K133+'[9]Отклонение Пр.1-24-Пр.19-23'!K133</f>
        <v>0</v>
      </c>
      <c r="L133" s="807">
        <f>'[9]Дисп. наблюдение Свод Пр.19-23'!L133+'[9]Отклонение Пр.1-24-Пр.19-23'!L133</f>
        <v>0</v>
      </c>
      <c r="N133" s="810"/>
      <c r="O133" s="811"/>
    </row>
    <row r="134" spans="1:15" x14ac:dyDescent="0.25">
      <c r="A134" s="632">
        <v>121</v>
      </c>
      <c r="B134" s="636" t="s">
        <v>254</v>
      </c>
      <c r="C134" s="637" t="s">
        <v>255</v>
      </c>
      <c r="D134" s="807">
        <f t="shared" si="4"/>
        <v>0</v>
      </c>
      <c r="E134" s="807">
        <f>'[9]Дисп. наблюдение Свод Пр.19-23'!E134+'[9]Отклонение Пр.1-24-Пр.19-23'!E134</f>
        <v>0</v>
      </c>
      <c r="F134" s="807">
        <f t="shared" si="5"/>
        <v>0</v>
      </c>
      <c r="G134" s="807">
        <f>'[9]Дисп. наблюдение Свод Пр.19-23'!G134+'[9]Отклонение Пр.1-24-Пр.19-23'!G134</f>
        <v>0</v>
      </c>
      <c r="H134" s="807">
        <f>'[9]Дисп. наблюдение Свод Пр.19-23'!H134+'[9]Отклонение Пр.1-24-Пр.19-23'!H134</f>
        <v>0</v>
      </c>
      <c r="I134" s="807">
        <f t="shared" si="6"/>
        <v>0</v>
      </c>
      <c r="J134" s="807">
        <f>'[9]Дисп. наблюдение Свод Пр.19-23'!J134+'[9]Отклонение Пр.1-24-Пр.19-23'!J134</f>
        <v>0</v>
      </c>
      <c r="K134" s="807">
        <f>'[9]Дисп. наблюдение Свод Пр.19-23'!K134+'[9]Отклонение Пр.1-24-Пр.19-23'!K134</f>
        <v>0</v>
      </c>
      <c r="L134" s="807">
        <f>'[9]Дисп. наблюдение Свод Пр.19-23'!L134+'[9]Отклонение Пр.1-24-Пр.19-23'!L134</f>
        <v>0</v>
      </c>
      <c r="N134" s="810"/>
      <c r="O134" s="811"/>
    </row>
    <row r="135" spans="1:15" x14ac:dyDescent="0.25">
      <c r="A135" s="632">
        <v>122</v>
      </c>
      <c r="B135" s="636" t="s">
        <v>256</v>
      </c>
      <c r="C135" s="637" t="s">
        <v>257</v>
      </c>
      <c r="D135" s="807">
        <f t="shared" si="4"/>
        <v>0</v>
      </c>
      <c r="E135" s="807">
        <f>'[9]Дисп. наблюдение Свод Пр.19-23'!E135+'[9]Отклонение Пр.1-24-Пр.19-23'!E135</f>
        <v>0</v>
      </c>
      <c r="F135" s="807">
        <f t="shared" si="5"/>
        <v>0</v>
      </c>
      <c r="G135" s="807">
        <f>'[9]Дисп. наблюдение Свод Пр.19-23'!G135+'[9]Отклонение Пр.1-24-Пр.19-23'!G135</f>
        <v>0</v>
      </c>
      <c r="H135" s="807">
        <f>'[9]Дисп. наблюдение Свод Пр.19-23'!H135+'[9]Отклонение Пр.1-24-Пр.19-23'!H135</f>
        <v>0</v>
      </c>
      <c r="I135" s="807">
        <f t="shared" si="6"/>
        <v>0</v>
      </c>
      <c r="J135" s="807">
        <f>'[9]Дисп. наблюдение Свод Пр.19-23'!J135+'[9]Отклонение Пр.1-24-Пр.19-23'!J135</f>
        <v>0</v>
      </c>
      <c r="K135" s="807">
        <f>'[9]Дисп. наблюдение Свод Пр.19-23'!K135+'[9]Отклонение Пр.1-24-Пр.19-23'!K135</f>
        <v>0</v>
      </c>
      <c r="L135" s="807">
        <f>'[9]Дисп. наблюдение Свод Пр.19-23'!L135+'[9]Отклонение Пр.1-24-Пр.19-23'!L135</f>
        <v>0</v>
      </c>
      <c r="N135" s="810"/>
      <c r="O135" s="811"/>
    </row>
    <row r="136" spans="1:15" x14ac:dyDescent="0.25">
      <c r="A136" s="632">
        <v>123</v>
      </c>
      <c r="B136" s="636" t="s">
        <v>258</v>
      </c>
      <c r="C136" s="637" t="s">
        <v>259</v>
      </c>
      <c r="D136" s="807">
        <f t="shared" si="4"/>
        <v>0</v>
      </c>
      <c r="E136" s="807">
        <f>'[9]Дисп. наблюдение Свод Пр.19-23'!E136+'[9]Отклонение Пр.1-24-Пр.19-23'!E136</f>
        <v>0</v>
      </c>
      <c r="F136" s="807">
        <f t="shared" si="5"/>
        <v>0</v>
      </c>
      <c r="G136" s="807">
        <f>'[9]Дисп. наблюдение Свод Пр.19-23'!G136+'[9]Отклонение Пр.1-24-Пр.19-23'!G136</f>
        <v>0</v>
      </c>
      <c r="H136" s="807">
        <f>'[9]Дисп. наблюдение Свод Пр.19-23'!H136+'[9]Отклонение Пр.1-24-Пр.19-23'!H136</f>
        <v>0</v>
      </c>
      <c r="I136" s="807">
        <f t="shared" si="6"/>
        <v>0</v>
      </c>
      <c r="J136" s="807">
        <f>'[9]Дисп. наблюдение Свод Пр.19-23'!J136+'[9]Отклонение Пр.1-24-Пр.19-23'!J136</f>
        <v>0</v>
      </c>
      <c r="K136" s="807">
        <f>'[9]Дисп. наблюдение Свод Пр.19-23'!K136+'[9]Отклонение Пр.1-24-Пр.19-23'!K136</f>
        <v>0</v>
      </c>
      <c r="L136" s="807">
        <f>'[9]Дисп. наблюдение Свод Пр.19-23'!L136+'[9]Отклонение Пр.1-24-Пр.19-23'!L136</f>
        <v>0</v>
      </c>
      <c r="N136" s="810"/>
      <c r="O136" s="811"/>
    </row>
    <row r="137" spans="1:15" x14ac:dyDescent="0.25">
      <c r="A137" s="632">
        <v>124</v>
      </c>
      <c r="B137" s="636" t="s">
        <v>260</v>
      </c>
      <c r="C137" s="637" t="s">
        <v>261</v>
      </c>
      <c r="D137" s="807">
        <f t="shared" si="4"/>
        <v>0</v>
      </c>
      <c r="E137" s="807">
        <f>'[9]Дисп. наблюдение Свод Пр.19-23'!E137+'[9]Отклонение Пр.1-24-Пр.19-23'!E137</f>
        <v>0</v>
      </c>
      <c r="F137" s="807">
        <f t="shared" si="5"/>
        <v>0</v>
      </c>
      <c r="G137" s="807">
        <f>'[9]Дисп. наблюдение Свод Пр.19-23'!G137+'[9]Отклонение Пр.1-24-Пр.19-23'!G137</f>
        <v>0</v>
      </c>
      <c r="H137" s="807">
        <f>'[9]Дисп. наблюдение Свод Пр.19-23'!H137+'[9]Отклонение Пр.1-24-Пр.19-23'!H137</f>
        <v>0</v>
      </c>
      <c r="I137" s="807">
        <f t="shared" si="6"/>
        <v>0</v>
      </c>
      <c r="J137" s="807">
        <f>'[9]Дисп. наблюдение Свод Пр.19-23'!J137+'[9]Отклонение Пр.1-24-Пр.19-23'!J137</f>
        <v>0</v>
      </c>
      <c r="K137" s="807">
        <f>'[9]Дисп. наблюдение Свод Пр.19-23'!K137+'[9]Отклонение Пр.1-24-Пр.19-23'!K137</f>
        <v>0</v>
      </c>
      <c r="L137" s="807">
        <f>'[9]Дисп. наблюдение Свод Пр.19-23'!L137+'[9]Отклонение Пр.1-24-Пр.19-23'!L137</f>
        <v>0</v>
      </c>
      <c r="N137" s="810"/>
      <c r="O137" s="811"/>
    </row>
    <row r="138" spans="1:15" x14ac:dyDescent="0.25">
      <c r="A138" s="632">
        <v>125</v>
      </c>
      <c r="B138" s="636" t="s">
        <v>262</v>
      </c>
      <c r="C138" s="637" t="s">
        <v>263</v>
      </c>
      <c r="D138" s="807">
        <f t="shared" si="4"/>
        <v>0</v>
      </c>
      <c r="E138" s="807">
        <f>'[9]Дисп. наблюдение Свод Пр.19-23'!E138+'[9]Отклонение Пр.1-24-Пр.19-23'!E138</f>
        <v>0</v>
      </c>
      <c r="F138" s="807">
        <f t="shared" si="5"/>
        <v>0</v>
      </c>
      <c r="G138" s="807">
        <f>'[9]Дисп. наблюдение Свод Пр.19-23'!G138+'[9]Отклонение Пр.1-24-Пр.19-23'!G138</f>
        <v>0</v>
      </c>
      <c r="H138" s="807">
        <f>'[9]Дисп. наблюдение Свод Пр.19-23'!H138+'[9]Отклонение Пр.1-24-Пр.19-23'!H138</f>
        <v>0</v>
      </c>
      <c r="I138" s="807">
        <f t="shared" si="6"/>
        <v>0</v>
      </c>
      <c r="J138" s="807">
        <f>'[9]Дисп. наблюдение Свод Пр.19-23'!J138+'[9]Отклонение Пр.1-24-Пр.19-23'!J138</f>
        <v>0</v>
      </c>
      <c r="K138" s="807">
        <f>'[9]Дисп. наблюдение Свод Пр.19-23'!K138+'[9]Отклонение Пр.1-24-Пр.19-23'!K138</f>
        <v>0</v>
      </c>
      <c r="L138" s="807">
        <f>'[9]Дисп. наблюдение Свод Пр.19-23'!L138+'[9]Отклонение Пр.1-24-Пр.19-23'!L138</f>
        <v>0</v>
      </c>
      <c r="N138" s="810"/>
      <c r="O138" s="811"/>
    </row>
    <row r="139" spans="1:15" x14ac:dyDescent="0.25">
      <c r="A139" s="632">
        <v>126</v>
      </c>
      <c r="B139" s="633" t="s">
        <v>264</v>
      </c>
      <c r="C139" s="634" t="s">
        <v>265</v>
      </c>
      <c r="D139" s="807">
        <f t="shared" si="4"/>
        <v>0</v>
      </c>
      <c r="E139" s="807">
        <f>'[9]Дисп. наблюдение Свод Пр.19-23'!E139+'[9]Отклонение Пр.1-24-Пр.19-23'!E139</f>
        <v>0</v>
      </c>
      <c r="F139" s="807">
        <f t="shared" si="5"/>
        <v>0</v>
      </c>
      <c r="G139" s="807">
        <f>'[9]Дисп. наблюдение Свод Пр.19-23'!G139+'[9]Отклонение Пр.1-24-Пр.19-23'!G139</f>
        <v>0</v>
      </c>
      <c r="H139" s="807">
        <f>'[9]Дисп. наблюдение Свод Пр.19-23'!H139+'[9]Отклонение Пр.1-24-Пр.19-23'!H139</f>
        <v>0</v>
      </c>
      <c r="I139" s="807">
        <f t="shared" si="6"/>
        <v>0</v>
      </c>
      <c r="J139" s="807">
        <f>'[9]Дисп. наблюдение Свод Пр.19-23'!J139+'[9]Отклонение Пр.1-24-Пр.19-23'!J139</f>
        <v>0</v>
      </c>
      <c r="K139" s="807">
        <f>'[9]Дисп. наблюдение Свод Пр.19-23'!K139+'[9]Отклонение Пр.1-24-Пр.19-23'!K139</f>
        <v>0</v>
      </c>
      <c r="L139" s="807">
        <f>'[9]Дисп. наблюдение Свод Пр.19-23'!L139+'[9]Отклонение Пр.1-24-Пр.19-23'!L139</f>
        <v>0</v>
      </c>
      <c r="N139" s="810"/>
      <c r="O139" s="811"/>
    </row>
    <row r="140" spans="1:15" x14ac:dyDescent="0.25">
      <c r="A140" s="632">
        <v>127</v>
      </c>
      <c r="B140" s="633" t="s">
        <v>266</v>
      </c>
      <c r="C140" s="637" t="s">
        <v>267</v>
      </c>
      <c r="D140" s="807">
        <f t="shared" ref="D140:D153" si="7">E140+F140+I140</f>
        <v>0</v>
      </c>
      <c r="E140" s="807">
        <f>'[9]Дисп. наблюдение Свод Пр.19-23'!E140+'[9]Отклонение Пр.1-24-Пр.19-23'!E140</f>
        <v>0</v>
      </c>
      <c r="F140" s="807">
        <f t="shared" ref="F140:F153" si="8">G140+H140</f>
        <v>0</v>
      </c>
      <c r="G140" s="807">
        <f>'[9]Дисп. наблюдение Свод Пр.19-23'!G140+'[9]Отклонение Пр.1-24-Пр.19-23'!G140</f>
        <v>0</v>
      </c>
      <c r="H140" s="807">
        <f>'[9]Дисп. наблюдение Свод Пр.19-23'!H140+'[9]Отклонение Пр.1-24-Пр.19-23'!H140</f>
        <v>0</v>
      </c>
      <c r="I140" s="807">
        <f t="shared" ref="I140:I153" si="9">J140+K140</f>
        <v>0</v>
      </c>
      <c r="J140" s="807">
        <f>'[9]Дисп. наблюдение Свод Пр.19-23'!J140+'[9]Отклонение Пр.1-24-Пр.19-23'!J140</f>
        <v>0</v>
      </c>
      <c r="K140" s="807">
        <f>'[9]Дисп. наблюдение Свод Пр.19-23'!K140+'[9]Отклонение Пр.1-24-Пр.19-23'!K140</f>
        <v>0</v>
      </c>
      <c r="L140" s="807">
        <f>'[9]Дисп. наблюдение Свод Пр.19-23'!L140+'[9]Отклонение Пр.1-24-Пр.19-23'!L140</f>
        <v>0</v>
      </c>
      <c r="N140" s="810"/>
      <c r="O140" s="811"/>
    </row>
    <row r="141" spans="1:15" x14ac:dyDescent="0.25">
      <c r="A141" s="632">
        <v>128</v>
      </c>
      <c r="B141" s="638" t="s">
        <v>268</v>
      </c>
      <c r="C141" s="32" t="s">
        <v>269</v>
      </c>
      <c r="D141" s="807">
        <f t="shared" si="7"/>
        <v>0</v>
      </c>
      <c r="E141" s="807">
        <f>'[9]Дисп. наблюдение Свод Пр.19-23'!E141+'[9]Отклонение Пр.1-24-Пр.19-23'!E141</f>
        <v>0</v>
      </c>
      <c r="F141" s="807">
        <f t="shared" si="8"/>
        <v>0</v>
      </c>
      <c r="G141" s="807">
        <f>'[9]Дисп. наблюдение Свод Пр.19-23'!G141+'[9]Отклонение Пр.1-24-Пр.19-23'!G141</f>
        <v>0</v>
      </c>
      <c r="H141" s="807">
        <f>'[9]Дисп. наблюдение Свод Пр.19-23'!H141+'[9]Отклонение Пр.1-24-Пр.19-23'!H141</f>
        <v>0</v>
      </c>
      <c r="I141" s="807">
        <f t="shared" si="9"/>
        <v>0</v>
      </c>
      <c r="J141" s="807">
        <f>'[9]Дисп. наблюдение Свод Пр.19-23'!J141+'[9]Отклонение Пр.1-24-Пр.19-23'!J141</f>
        <v>0</v>
      </c>
      <c r="K141" s="807">
        <f>'[9]Дисп. наблюдение Свод Пр.19-23'!K141+'[9]Отклонение Пр.1-24-Пр.19-23'!K141</f>
        <v>0</v>
      </c>
      <c r="L141" s="807">
        <f>'[9]Дисп. наблюдение Свод Пр.19-23'!L141+'[9]Отклонение Пр.1-24-Пр.19-23'!L141</f>
        <v>0</v>
      </c>
      <c r="N141" s="810"/>
      <c r="O141" s="811"/>
    </row>
    <row r="142" spans="1:15" x14ac:dyDescent="0.25">
      <c r="A142" s="632">
        <v>129</v>
      </c>
      <c r="B142" s="636" t="s">
        <v>270</v>
      </c>
      <c r="C142" s="637" t="s">
        <v>271</v>
      </c>
      <c r="D142" s="807">
        <f t="shared" si="7"/>
        <v>0</v>
      </c>
      <c r="E142" s="807">
        <f>'[9]Дисп. наблюдение Свод Пр.19-23'!E142+'[9]Отклонение Пр.1-24-Пр.19-23'!E142</f>
        <v>0</v>
      </c>
      <c r="F142" s="807">
        <f t="shared" si="8"/>
        <v>0</v>
      </c>
      <c r="G142" s="807">
        <f>'[9]Дисп. наблюдение Свод Пр.19-23'!G142+'[9]Отклонение Пр.1-24-Пр.19-23'!G142</f>
        <v>0</v>
      </c>
      <c r="H142" s="807">
        <f>'[9]Дисп. наблюдение Свод Пр.19-23'!H142+'[9]Отклонение Пр.1-24-Пр.19-23'!H142</f>
        <v>0</v>
      </c>
      <c r="I142" s="807">
        <f t="shared" si="9"/>
        <v>0</v>
      </c>
      <c r="J142" s="807">
        <f>'[9]Дисп. наблюдение Свод Пр.19-23'!J142+'[9]Отклонение Пр.1-24-Пр.19-23'!J142</f>
        <v>0</v>
      </c>
      <c r="K142" s="807">
        <f>'[9]Дисп. наблюдение Свод Пр.19-23'!K142+'[9]Отклонение Пр.1-24-Пр.19-23'!K142</f>
        <v>0</v>
      </c>
      <c r="L142" s="807">
        <f>'[9]Дисп. наблюдение Свод Пр.19-23'!L142+'[9]Отклонение Пр.1-24-Пр.19-23'!L142</f>
        <v>0</v>
      </c>
      <c r="N142" s="810"/>
      <c r="O142" s="811"/>
    </row>
    <row r="143" spans="1:15" x14ac:dyDescent="0.25">
      <c r="A143" s="632">
        <v>130</v>
      </c>
      <c r="B143" s="636" t="s">
        <v>272</v>
      </c>
      <c r="C143" s="637" t="s">
        <v>273</v>
      </c>
      <c r="D143" s="807">
        <f t="shared" si="7"/>
        <v>0</v>
      </c>
      <c r="E143" s="807">
        <f>'[9]Дисп. наблюдение Свод Пр.19-23'!E143+'[9]Отклонение Пр.1-24-Пр.19-23'!E143</f>
        <v>0</v>
      </c>
      <c r="F143" s="807">
        <f t="shared" si="8"/>
        <v>0</v>
      </c>
      <c r="G143" s="807">
        <f>'[9]Дисп. наблюдение Свод Пр.19-23'!G143+'[9]Отклонение Пр.1-24-Пр.19-23'!G143</f>
        <v>0</v>
      </c>
      <c r="H143" s="807">
        <f>'[9]Дисп. наблюдение Свод Пр.19-23'!H143+'[9]Отклонение Пр.1-24-Пр.19-23'!H143</f>
        <v>0</v>
      </c>
      <c r="I143" s="807">
        <f t="shared" si="9"/>
        <v>0</v>
      </c>
      <c r="J143" s="807">
        <f>'[9]Дисп. наблюдение Свод Пр.19-23'!J143+'[9]Отклонение Пр.1-24-Пр.19-23'!J143</f>
        <v>0</v>
      </c>
      <c r="K143" s="807">
        <f>'[9]Дисп. наблюдение Свод Пр.19-23'!K143+'[9]Отклонение Пр.1-24-Пр.19-23'!K143</f>
        <v>0</v>
      </c>
      <c r="L143" s="807">
        <f>'[9]Дисп. наблюдение Свод Пр.19-23'!L143+'[9]Отклонение Пр.1-24-Пр.19-23'!L143</f>
        <v>0</v>
      </c>
      <c r="N143" s="810"/>
      <c r="O143" s="811"/>
    </row>
    <row r="144" spans="1:15" x14ac:dyDescent="0.25">
      <c r="A144" s="632">
        <v>131</v>
      </c>
      <c r="B144" s="636" t="s">
        <v>274</v>
      </c>
      <c r="C144" s="637" t="s">
        <v>275</v>
      </c>
      <c r="D144" s="807">
        <f t="shared" si="7"/>
        <v>0</v>
      </c>
      <c r="E144" s="807">
        <f>'[9]Дисп. наблюдение Свод Пр.19-23'!E144+'[9]Отклонение Пр.1-24-Пр.19-23'!E144</f>
        <v>0</v>
      </c>
      <c r="F144" s="807">
        <f t="shared" si="8"/>
        <v>0</v>
      </c>
      <c r="G144" s="807">
        <f>'[9]Дисп. наблюдение Свод Пр.19-23'!G144+'[9]Отклонение Пр.1-24-Пр.19-23'!G144</f>
        <v>0</v>
      </c>
      <c r="H144" s="807">
        <f>'[9]Дисп. наблюдение Свод Пр.19-23'!H144+'[9]Отклонение Пр.1-24-Пр.19-23'!H144</f>
        <v>0</v>
      </c>
      <c r="I144" s="807">
        <f t="shared" si="9"/>
        <v>0</v>
      </c>
      <c r="J144" s="807">
        <f>'[9]Дисп. наблюдение Свод Пр.19-23'!J144+'[9]Отклонение Пр.1-24-Пр.19-23'!J144</f>
        <v>0</v>
      </c>
      <c r="K144" s="807">
        <f>'[9]Дисп. наблюдение Свод Пр.19-23'!K144+'[9]Отклонение Пр.1-24-Пр.19-23'!K144</f>
        <v>0</v>
      </c>
      <c r="L144" s="807">
        <f>'[9]Дисп. наблюдение Свод Пр.19-23'!L144+'[9]Отклонение Пр.1-24-Пр.19-23'!L144</f>
        <v>0</v>
      </c>
      <c r="N144" s="810"/>
      <c r="O144" s="811"/>
    </row>
    <row r="145" spans="1:15" x14ac:dyDescent="0.25">
      <c r="A145" s="632">
        <v>132</v>
      </c>
      <c r="B145" s="638" t="s">
        <v>276</v>
      </c>
      <c r="C145" s="32" t="s">
        <v>277</v>
      </c>
      <c r="D145" s="807">
        <f t="shared" si="7"/>
        <v>27389</v>
      </c>
      <c r="E145" s="807">
        <f>'[9]Дисп. наблюдение Свод Пр.19-23'!E145+'[9]Отклонение Пр.1-24-Пр.19-23'!E145</f>
        <v>0</v>
      </c>
      <c r="F145" s="807">
        <f t="shared" si="8"/>
        <v>27389</v>
      </c>
      <c r="G145" s="807">
        <f>'[9]Дисп. наблюдение Свод Пр.19-23'!G145+'[9]Отклонение Пр.1-24-Пр.19-23'!G145</f>
        <v>3046</v>
      </c>
      <c r="H145" s="807">
        <f>'[9]Дисп. наблюдение Свод Пр.19-23'!H145+'[9]Отклонение Пр.1-24-Пр.19-23'!H145</f>
        <v>24343</v>
      </c>
      <c r="I145" s="807">
        <f t="shared" si="9"/>
        <v>0</v>
      </c>
      <c r="J145" s="807">
        <f>'[9]Дисп. наблюдение Свод Пр.19-23'!J145+'[9]Отклонение Пр.1-24-Пр.19-23'!J145</f>
        <v>0</v>
      </c>
      <c r="K145" s="807">
        <f>'[9]Дисп. наблюдение Свод Пр.19-23'!K145+'[9]Отклонение Пр.1-24-Пр.19-23'!K145</f>
        <v>0</v>
      </c>
      <c r="L145" s="807">
        <f>'[9]Дисп. наблюдение Свод Пр.19-23'!L145+'[9]Отклонение Пр.1-24-Пр.19-23'!L145</f>
        <v>18823</v>
      </c>
      <c r="N145" s="810"/>
      <c r="O145" s="811"/>
    </row>
    <row r="146" spans="1:15" x14ac:dyDescent="0.25">
      <c r="A146" s="632">
        <v>133</v>
      </c>
      <c r="B146" s="635" t="s">
        <v>278</v>
      </c>
      <c r="C146" s="32" t="s">
        <v>279</v>
      </c>
      <c r="D146" s="807">
        <f t="shared" si="7"/>
        <v>27104</v>
      </c>
      <c r="E146" s="807">
        <f>'[9]Дисп. наблюдение Свод Пр.19-23'!E146+'[9]Отклонение Пр.1-24-Пр.19-23'!E146</f>
        <v>0</v>
      </c>
      <c r="F146" s="807">
        <f t="shared" si="8"/>
        <v>21494</v>
      </c>
      <c r="G146" s="807">
        <f>'[9]Дисп. наблюдение Свод Пр.19-23'!G146+'[9]Отклонение Пр.1-24-Пр.19-23'!G146</f>
        <v>8157</v>
      </c>
      <c r="H146" s="807">
        <f>'[9]Дисп. наблюдение Свод Пр.19-23'!H146+'[9]Отклонение Пр.1-24-Пр.19-23'!H146</f>
        <v>13337</v>
      </c>
      <c r="I146" s="807">
        <f t="shared" si="9"/>
        <v>5610</v>
      </c>
      <c r="J146" s="807">
        <f>'[9]Дисп. наблюдение Свод Пр.19-23'!J146+'[9]Отклонение Пр.1-24-Пр.19-23'!J146</f>
        <v>856</v>
      </c>
      <c r="K146" s="807">
        <f>'[9]Дисп. наблюдение Свод Пр.19-23'!K146+'[9]Отклонение Пр.1-24-Пр.19-23'!K146</f>
        <v>4754</v>
      </c>
      <c r="L146" s="807">
        <f>'[9]Дисп. наблюдение Свод Пр.19-23'!L146+'[9]Отклонение Пр.1-24-Пр.19-23'!L146</f>
        <v>23564</v>
      </c>
      <c r="N146" s="810"/>
      <c r="O146" s="811"/>
    </row>
    <row r="147" spans="1:15" x14ac:dyDescent="0.25">
      <c r="A147" s="632">
        <v>134</v>
      </c>
      <c r="B147" s="636" t="s">
        <v>280</v>
      </c>
      <c r="C147" s="637" t="s">
        <v>281</v>
      </c>
      <c r="D147" s="807">
        <f t="shared" si="7"/>
        <v>0</v>
      </c>
      <c r="E147" s="807">
        <f>'[9]Дисп. наблюдение Свод Пр.19-23'!E147+'[9]Отклонение Пр.1-24-Пр.19-23'!E147</f>
        <v>0</v>
      </c>
      <c r="F147" s="807">
        <f t="shared" si="8"/>
        <v>0</v>
      </c>
      <c r="G147" s="807">
        <f>'[9]Дисп. наблюдение Свод Пр.19-23'!G147+'[9]Отклонение Пр.1-24-Пр.19-23'!G147</f>
        <v>0</v>
      </c>
      <c r="H147" s="807">
        <f>'[9]Дисп. наблюдение Свод Пр.19-23'!H147+'[9]Отклонение Пр.1-24-Пр.19-23'!H147</f>
        <v>0</v>
      </c>
      <c r="I147" s="807">
        <f t="shared" si="9"/>
        <v>0</v>
      </c>
      <c r="J147" s="807">
        <f>'[9]Дисп. наблюдение Свод Пр.19-23'!J147+'[9]Отклонение Пр.1-24-Пр.19-23'!J147</f>
        <v>0</v>
      </c>
      <c r="K147" s="807">
        <f>'[9]Дисп. наблюдение Свод Пр.19-23'!K147+'[9]Отклонение Пр.1-24-Пр.19-23'!K147</f>
        <v>0</v>
      </c>
      <c r="L147" s="807">
        <f>'[9]Дисп. наблюдение Свод Пр.19-23'!L147+'[9]Отклонение Пр.1-24-Пр.19-23'!L147</f>
        <v>0</v>
      </c>
      <c r="N147" s="810"/>
      <c r="O147" s="811"/>
    </row>
    <row r="148" spans="1:15" x14ac:dyDescent="0.25">
      <c r="A148" s="632">
        <v>135</v>
      </c>
      <c r="B148" s="633" t="s">
        <v>282</v>
      </c>
      <c r="C148" s="634" t="s">
        <v>283</v>
      </c>
      <c r="D148" s="807">
        <f t="shared" si="7"/>
        <v>0</v>
      </c>
      <c r="E148" s="807">
        <f>'[9]Дисп. наблюдение Свод Пр.19-23'!E148+'[9]Отклонение Пр.1-24-Пр.19-23'!E148</f>
        <v>0</v>
      </c>
      <c r="F148" s="807">
        <f t="shared" si="8"/>
        <v>0</v>
      </c>
      <c r="G148" s="807">
        <f>'[9]Дисп. наблюдение Свод Пр.19-23'!G148+'[9]Отклонение Пр.1-24-Пр.19-23'!G148</f>
        <v>0</v>
      </c>
      <c r="H148" s="807">
        <f>'[9]Дисп. наблюдение Свод Пр.19-23'!H148+'[9]Отклонение Пр.1-24-Пр.19-23'!H148</f>
        <v>0</v>
      </c>
      <c r="I148" s="807">
        <f t="shared" si="9"/>
        <v>0</v>
      </c>
      <c r="J148" s="807">
        <f>'[9]Дисп. наблюдение Свод Пр.19-23'!J148+'[9]Отклонение Пр.1-24-Пр.19-23'!J148</f>
        <v>0</v>
      </c>
      <c r="K148" s="807">
        <f>'[9]Дисп. наблюдение Свод Пр.19-23'!K148+'[9]Отклонение Пр.1-24-Пр.19-23'!K148</f>
        <v>0</v>
      </c>
      <c r="L148" s="807">
        <f>'[9]Дисп. наблюдение Свод Пр.19-23'!L148+'[9]Отклонение Пр.1-24-Пр.19-23'!L148</f>
        <v>0</v>
      </c>
      <c r="N148" s="810"/>
      <c r="O148" s="811"/>
    </row>
    <row r="149" spans="1:15" ht="27" customHeight="1" x14ac:dyDescent="0.25">
      <c r="A149" s="632">
        <v>136</v>
      </c>
      <c r="B149" s="646" t="s">
        <v>284</v>
      </c>
      <c r="C149" s="647" t="s">
        <v>285</v>
      </c>
      <c r="D149" s="807">
        <f t="shared" si="7"/>
        <v>0</v>
      </c>
      <c r="E149" s="807">
        <f>'[9]Дисп. наблюдение Свод Пр.19-23'!E149+'[9]Отклонение Пр.1-24-Пр.19-23'!E149</f>
        <v>0</v>
      </c>
      <c r="F149" s="807">
        <f t="shared" si="8"/>
        <v>0</v>
      </c>
      <c r="G149" s="807">
        <f>'[9]Дисп. наблюдение Свод Пр.19-23'!G149+'[9]Отклонение Пр.1-24-Пр.19-23'!G149</f>
        <v>0</v>
      </c>
      <c r="H149" s="807">
        <f>'[9]Дисп. наблюдение Свод Пр.19-23'!H149+'[9]Отклонение Пр.1-24-Пр.19-23'!H149</f>
        <v>0</v>
      </c>
      <c r="I149" s="807">
        <f t="shared" si="9"/>
        <v>0</v>
      </c>
      <c r="J149" s="807">
        <f>'[9]Дисп. наблюдение Свод Пр.19-23'!J149+'[9]Отклонение Пр.1-24-Пр.19-23'!J149</f>
        <v>0</v>
      </c>
      <c r="K149" s="807">
        <f>'[9]Дисп. наблюдение Свод Пр.19-23'!K149+'[9]Отклонение Пр.1-24-Пр.19-23'!K149</f>
        <v>0</v>
      </c>
      <c r="L149" s="807">
        <f>'[9]Дисп. наблюдение Свод Пр.19-23'!L149+'[9]Отклонение Пр.1-24-Пр.19-23'!L149</f>
        <v>0</v>
      </c>
      <c r="N149" s="810"/>
      <c r="O149" s="811"/>
    </row>
    <row r="150" spans="1:15" x14ac:dyDescent="0.25">
      <c r="A150" s="632">
        <v>137</v>
      </c>
      <c r="B150" s="40" t="s">
        <v>387</v>
      </c>
      <c r="C150" s="648" t="s">
        <v>388</v>
      </c>
      <c r="D150" s="807">
        <f t="shared" si="7"/>
        <v>0</v>
      </c>
      <c r="E150" s="807">
        <f>'[9]Дисп. наблюдение Свод Пр.19-23'!E150+'[9]Отклонение Пр.1-24-Пр.19-23'!E150</f>
        <v>0</v>
      </c>
      <c r="F150" s="807">
        <f t="shared" si="8"/>
        <v>0</v>
      </c>
      <c r="G150" s="807">
        <f>'[9]Дисп. наблюдение Свод Пр.19-23'!G150+'[9]Отклонение Пр.1-24-Пр.19-23'!G150</f>
        <v>0</v>
      </c>
      <c r="H150" s="807">
        <f>'[9]Дисп. наблюдение Свод Пр.19-23'!H150+'[9]Отклонение Пр.1-24-Пр.19-23'!H150</f>
        <v>0</v>
      </c>
      <c r="I150" s="807">
        <f t="shared" si="9"/>
        <v>0</v>
      </c>
      <c r="J150" s="807">
        <f>'[9]Дисп. наблюдение Свод Пр.19-23'!J150+'[9]Отклонение Пр.1-24-Пр.19-23'!J150</f>
        <v>0</v>
      </c>
      <c r="K150" s="807">
        <f>'[9]Дисп. наблюдение Свод Пр.19-23'!K150+'[9]Отклонение Пр.1-24-Пр.19-23'!K150</f>
        <v>0</v>
      </c>
      <c r="L150" s="807">
        <f>'[9]Дисп. наблюдение Свод Пр.19-23'!L150+'[9]Отклонение Пр.1-24-Пр.19-23'!L150</f>
        <v>0</v>
      </c>
      <c r="N150" s="810"/>
      <c r="O150" s="811"/>
    </row>
    <row r="151" spans="1:15" x14ac:dyDescent="0.25">
      <c r="A151" s="632">
        <v>138</v>
      </c>
      <c r="B151" s="41" t="s">
        <v>389</v>
      </c>
      <c r="C151" s="649" t="s">
        <v>390</v>
      </c>
      <c r="D151" s="807">
        <f t="shared" si="7"/>
        <v>0</v>
      </c>
      <c r="E151" s="807">
        <f>'[9]Дисп. наблюдение Свод Пр.19-23'!E151+'[9]Отклонение Пр.1-24-Пр.19-23'!E151</f>
        <v>0</v>
      </c>
      <c r="F151" s="807">
        <f t="shared" si="8"/>
        <v>0</v>
      </c>
      <c r="G151" s="807">
        <f>'[9]Дисп. наблюдение Свод Пр.19-23'!G151+'[9]Отклонение Пр.1-24-Пр.19-23'!G151</f>
        <v>0</v>
      </c>
      <c r="H151" s="807">
        <f>'[9]Дисп. наблюдение Свод Пр.19-23'!H151+'[9]Отклонение Пр.1-24-Пр.19-23'!H151</f>
        <v>0</v>
      </c>
      <c r="I151" s="807">
        <f t="shared" si="9"/>
        <v>0</v>
      </c>
      <c r="J151" s="807">
        <f>'[9]Дисп. наблюдение Свод Пр.19-23'!J151+'[9]Отклонение Пр.1-24-Пр.19-23'!J151</f>
        <v>0</v>
      </c>
      <c r="K151" s="807">
        <f>'[9]Дисп. наблюдение Свод Пр.19-23'!K151+'[9]Отклонение Пр.1-24-Пр.19-23'!K151</f>
        <v>0</v>
      </c>
      <c r="L151" s="807">
        <f>'[9]Дисп. наблюдение Свод Пр.19-23'!L151+'[9]Отклонение Пр.1-24-Пр.19-23'!L151</f>
        <v>0</v>
      </c>
      <c r="N151" s="810"/>
      <c r="O151" s="811"/>
    </row>
    <row r="152" spans="1:15" x14ac:dyDescent="0.25">
      <c r="A152" s="632">
        <v>139</v>
      </c>
      <c r="B152" s="42" t="s">
        <v>391</v>
      </c>
      <c r="C152" s="650" t="s">
        <v>392</v>
      </c>
      <c r="D152" s="807">
        <f t="shared" si="7"/>
        <v>0</v>
      </c>
      <c r="E152" s="807">
        <f>'[9]Дисп. наблюдение Свод Пр.19-23'!E152+'[9]Отклонение Пр.1-24-Пр.19-23'!E152</f>
        <v>0</v>
      </c>
      <c r="F152" s="807">
        <f t="shared" si="8"/>
        <v>0</v>
      </c>
      <c r="G152" s="807">
        <f>'[9]Дисп. наблюдение Свод Пр.19-23'!G152+'[9]Отклонение Пр.1-24-Пр.19-23'!G152</f>
        <v>0</v>
      </c>
      <c r="H152" s="807">
        <f>'[9]Дисп. наблюдение Свод Пр.19-23'!H152+'[9]Отклонение Пр.1-24-Пр.19-23'!H152</f>
        <v>0</v>
      </c>
      <c r="I152" s="807">
        <f t="shared" si="9"/>
        <v>0</v>
      </c>
      <c r="J152" s="807">
        <f>'[9]Дисп. наблюдение Свод Пр.19-23'!J152+'[9]Отклонение Пр.1-24-Пр.19-23'!J152</f>
        <v>0</v>
      </c>
      <c r="K152" s="807">
        <f>'[9]Дисп. наблюдение Свод Пр.19-23'!K152+'[9]Отклонение Пр.1-24-Пр.19-23'!K152</f>
        <v>0</v>
      </c>
      <c r="L152" s="807">
        <f>'[9]Дисп. наблюдение Свод Пр.19-23'!L152+'[9]Отклонение Пр.1-24-Пр.19-23'!L152</f>
        <v>0</v>
      </c>
      <c r="N152" s="810"/>
      <c r="O152" s="811"/>
    </row>
    <row r="153" spans="1:15" x14ac:dyDescent="0.25">
      <c r="A153" s="632">
        <v>140</v>
      </c>
      <c r="B153" s="632" t="s">
        <v>393</v>
      </c>
      <c r="C153" s="651" t="s">
        <v>394</v>
      </c>
      <c r="D153" s="807">
        <f t="shared" si="7"/>
        <v>0</v>
      </c>
      <c r="E153" s="807">
        <f>'[9]Дисп. наблюдение Свод Пр.19-23'!E153+'[9]Отклонение Пр.1-24-Пр.19-23'!E153</f>
        <v>0</v>
      </c>
      <c r="F153" s="807">
        <f t="shared" si="8"/>
        <v>0</v>
      </c>
      <c r="G153" s="807">
        <f>'[9]Дисп. наблюдение Свод Пр.19-23'!G153+'[9]Отклонение Пр.1-24-Пр.19-23'!G153</f>
        <v>0</v>
      </c>
      <c r="H153" s="807">
        <f>'[9]Дисп. наблюдение Свод Пр.19-23'!H153+'[9]Отклонение Пр.1-24-Пр.19-23'!H153</f>
        <v>0</v>
      </c>
      <c r="I153" s="807">
        <f t="shared" si="9"/>
        <v>0</v>
      </c>
      <c r="J153" s="807">
        <f>'[9]Дисп. наблюдение Свод Пр.19-23'!J153+'[9]Отклонение Пр.1-24-Пр.19-23'!J153</f>
        <v>0</v>
      </c>
      <c r="K153" s="807">
        <f>'[9]Дисп. наблюдение Свод Пр.19-23'!K153+'[9]Отклонение Пр.1-24-Пр.19-23'!K153</f>
        <v>0</v>
      </c>
      <c r="L153" s="807">
        <f>'[9]Дисп. наблюдение Свод Пр.19-23'!L153+'[9]Отклонение Пр.1-24-Пр.19-23'!L153</f>
        <v>0</v>
      </c>
      <c r="N153" s="810"/>
      <c r="O153" s="811"/>
    </row>
    <row r="158" spans="1:15" x14ac:dyDescent="0.25">
      <c r="D158" s="803"/>
      <c r="E158" s="803"/>
      <c r="F158" s="803"/>
      <c r="G158" s="803"/>
      <c r="H158" s="803"/>
      <c r="I158" s="803"/>
      <c r="J158" s="803"/>
      <c r="K158" s="803"/>
      <c r="L158" s="803"/>
      <c r="M158" s="803"/>
    </row>
  </sheetData>
  <mergeCells count="18"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  <mergeCell ref="A94:A96"/>
    <mergeCell ref="B94:B96"/>
    <mergeCell ref="E6:E7"/>
    <mergeCell ref="F6:H6"/>
    <mergeCell ref="I6:K6"/>
    <mergeCell ref="A9:C9"/>
    <mergeCell ref="A10:C10"/>
    <mergeCell ref="A11:C11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158"/>
  <sheetViews>
    <sheetView workbookViewId="0">
      <pane xSplit="3" ySplit="7" topLeftCell="D128" activePane="bottomRight" state="frozen"/>
      <selection pane="topRight" activeCell="D1" sqref="D1"/>
      <selection pane="bottomLeft" activeCell="A8" sqref="A8"/>
      <selection pane="bottomRight" activeCell="A9" sqref="A9:C9"/>
    </sheetView>
  </sheetViews>
  <sheetFormatPr defaultRowHeight="12" x14ac:dyDescent="0.2"/>
  <cols>
    <col min="1" max="1" width="6.140625" style="812" customWidth="1"/>
    <col min="2" max="2" width="9.140625" style="812"/>
    <col min="3" max="3" width="33.140625" style="812" customWidth="1"/>
    <col min="4" max="4" width="13.140625" style="812" customWidth="1"/>
    <col min="5" max="5" width="15.28515625" style="812" customWidth="1"/>
    <col min="6" max="6" width="23.7109375" style="812" customWidth="1"/>
    <col min="7" max="7" width="15.42578125" style="812" customWidth="1"/>
    <col min="8" max="8" width="13.42578125" style="812" customWidth="1"/>
    <col min="9" max="9" width="11.42578125" style="812" customWidth="1"/>
    <col min="10" max="10" width="13.5703125" style="812" customWidth="1"/>
    <col min="11" max="11" width="10.5703125" style="812" customWidth="1"/>
    <col min="12" max="12" width="12.140625" style="812" customWidth="1"/>
    <col min="13" max="13" width="15.7109375" style="812" customWidth="1"/>
    <col min="14" max="14" width="24.140625" style="812" customWidth="1"/>
    <col min="15" max="16384" width="9.140625" style="812"/>
  </cols>
  <sheetData>
    <row r="1" spans="1:17" ht="15.75" x14ac:dyDescent="0.2">
      <c r="B1" s="1095" t="s">
        <v>354</v>
      </c>
      <c r="C1" s="1095"/>
      <c r="D1" s="1095"/>
      <c r="E1" s="1096"/>
      <c r="F1" s="1096"/>
      <c r="G1" s="1096"/>
      <c r="H1" s="1096"/>
      <c r="I1" s="1096"/>
      <c r="J1" s="1096"/>
      <c r="K1" s="1096"/>
      <c r="L1" s="1096"/>
      <c r="M1" s="1096"/>
      <c r="N1" s="1096"/>
    </row>
    <row r="2" spans="1:17" ht="12" customHeight="1" x14ac:dyDescent="0.2">
      <c r="A2" s="1097" t="s">
        <v>0</v>
      </c>
      <c r="B2" s="1098" t="s">
        <v>1</v>
      </c>
      <c r="C2" s="1097" t="s">
        <v>2</v>
      </c>
      <c r="D2" s="1101" t="s">
        <v>339</v>
      </c>
      <c r="E2" s="1101"/>
      <c r="F2" s="1101"/>
      <c r="G2" s="1101"/>
      <c r="H2" s="1101"/>
      <c r="I2" s="1101"/>
      <c r="J2" s="1101"/>
      <c r="K2" s="1101"/>
      <c r="L2" s="1101"/>
      <c r="M2" s="1101"/>
      <c r="N2" s="1101"/>
    </row>
    <row r="3" spans="1:17" ht="12" customHeight="1" x14ac:dyDescent="0.2">
      <c r="A3" s="1097"/>
      <c r="B3" s="1099"/>
      <c r="C3" s="1097"/>
      <c r="D3" s="1102" t="s">
        <v>3</v>
      </c>
      <c r="E3" s="1101" t="s">
        <v>4</v>
      </c>
      <c r="F3" s="1101"/>
      <c r="G3" s="1101"/>
      <c r="H3" s="1101"/>
      <c r="I3" s="1101"/>
      <c r="J3" s="1101"/>
      <c r="K3" s="1101"/>
      <c r="L3" s="1101"/>
      <c r="M3" s="1101"/>
      <c r="N3" s="1101"/>
    </row>
    <row r="4" spans="1:17" ht="28.5" customHeight="1" x14ac:dyDescent="0.2">
      <c r="A4" s="1097"/>
      <c r="B4" s="1099"/>
      <c r="C4" s="1097"/>
      <c r="D4" s="1102"/>
      <c r="E4" s="1090" t="s">
        <v>340</v>
      </c>
      <c r="F4" s="1090"/>
      <c r="G4" s="1103" t="s">
        <v>341</v>
      </c>
      <c r="H4" s="1104"/>
      <c r="I4" s="1090" t="s">
        <v>342</v>
      </c>
      <c r="J4" s="1090"/>
      <c r="K4" s="1105" t="s">
        <v>343</v>
      </c>
      <c r="L4" s="1103"/>
      <c r="M4" s="1103"/>
      <c r="N4" s="1104"/>
    </row>
    <row r="5" spans="1:17" ht="12.75" customHeight="1" x14ac:dyDescent="0.2">
      <c r="A5" s="1097"/>
      <c r="B5" s="1099"/>
      <c r="C5" s="1097"/>
      <c r="D5" s="1102"/>
      <c r="E5" s="1106" t="s">
        <v>297</v>
      </c>
      <c r="F5" s="1108" t="s">
        <v>344</v>
      </c>
      <c r="G5" s="1091" t="s">
        <v>345</v>
      </c>
      <c r="H5" s="1106" t="s">
        <v>346</v>
      </c>
      <c r="I5" s="1097" t="s">
        <v>347</v>
      </c>
      <c r="J5" s="1090" t="s">
        <v>348</v>
      </c>
      <c r="K5" s="1090" t="s">
        <v>297</v>
      </c>
      <c r="L5" s="1091" t="s">
        <v>349</v>
      </c>
      <c r="M5" s="1091" t="s">
        <v>350</v>
      </c>
      <c r="N5" s="1093" t="s">
        <v>351</v>
      </c>
    </row>
    <row r="6" spans="1:17" ht="36.75" customHeight="1" x14ac:dyDescent="0.2">
      <c r="A6" s="1097"/>
      <c r="B6" s="1100"/>
      <c r="C6" s="1097"/>
      <c r="D6" s="1092"/>
      <c r="E6" s="1107"/>
      <c r="F6" s="1109"/>
      <c r="G6" s="1092"/>
      <c r="H6" s="1107"/>
      <c r="I6" s="1097"/>
      <c r="J6" s="1090"/>
      <c r="K6" s="1090"/>
      <c r="L6" s="1092"/>
      <c r="M6" s="1092"/>
      <c r="N6" s="1094"/>
      <c r="P6" s="813"/>
    </row>
    <row r="7" spans="1:17" s="817" customFormat="1" ht="11.25" x14ac:dyDescent="0.2">
      <c r="A7" s="814">
        <v>1</v>
      </c>
      <c r="B7" s="814">
        <v>2</v>
      </c>
      <c r="C7" s="814">
        <v>3</v>
      </c>
      <c r="D7" s="815">
        <v>4</v>
      </c>
      <c r="E7" s="816">
        <v>5</v>
      </c>
      <c r="F7" s="816">
        <v>6</v>
      </c>
      <c r="G7" s="816">
        <v>7</v>
      </c>
      <c r="H7" s="816">
        <v>8</v>
      </c>
      <c r="I7" s="816">
        <v>9</v>
      </c>
      <c r="J7" s="816">
        <v>10</v>
      </c>
      <c r="K7" s="816">
        <v>11</v>
      </c>
      <c r="L7" s="816">
        <v>12</v>
      </c>
      <c r="M7" s="816">
        <v>13</v>
      </c>
      <c r="N7" s="816">
        <v>14</v>
      </c>
    </row>
    <row r="8" spans="1:17" s="817" customFormat="1" x14ac:dyDescent="0.2">
      <c r="A8" s="1077" t="s">
        <v>6</v>
      </c>
      <c r="B8" s="1077"/>
      <c r="C8" s="1077"/>
      <c r="D8" s="818">
        <f>E8+G8+H8+I8+J8+K8</f>
        <v>3678039</v>
      </c>
      <c r="E8" s="818">
        <f t="shared" ref="E8:N8" si="0">E9+E10</f>
        <v>218829</v>
      </c>
      <c r="F8" s="818">
        <f t="shared" si="0"/>
        <v>130</v>
      </c>
      <c r="G8" s="818">
        <f t="shared" si="0"/>
        <v>728856</v>
      </c>
      <c r="H8" s="818">
        <f t="shared" si="0"/>
        <v>1796151</v>
      </c>
      <c r="I8" s="818">
        <f t="shared" si="0"/>
        <v>38426</v>
      </c>
      <c r="J8" s="818">
        <f t="shared" si="0"/>
        <v>16743</v>
      </c>
      <c r="K8" s="818">
        <f t="shared" si="0"/>
        <v>879034</v>
      </c>
      <c r="L8" s="818">
        <f t="shared" si="0"/>
        <v>4821</v>
      </c>
      <c r="M8" s="818">
        <f t="shared" si="0"/>
        <v>874213</v>
      </c>
      <c r="N8" s="818">
        <f t="shared" si="0"/>
        <v>300</v>
      </c>
      <c r="P8" s="819"/>
      <c r="Q8" s="820"/>
    </row>
    <row r="9" spans="1:17" s="817" customFormat="1" ht="12" customHeight="1" x14ac:dyDescent="0.2">
      <c r="A9" s="1078" t="s">
        <v>14</v>
      </c>
      <c r="B9" s="1079"/>
      <c r="C9" s="1080"/>
      <c r="D9" s="816">
        <f t="shared" ref="D9:D72" si="1">E9+G9+H9+I9+J9+K9</f>
        <v>105918</v>
      </c>
      <c r="E9" s="816">
        <v>0</v>
      </c>
      <c r="F9" s="816">
        <v>0</v>
      </c>
      <c r="G9" s="816">
        <f>149243-6196+3871-41000</f>
        <v>105918</v>
      </c>
      <c r="H9" s="816">
        <v>0</v>
      </c>
      <c r="I9" s="816">
        <v>0</v>
      </c>
      <c r="J9" s="816">
        <v>0</v>
      </c>
      <c r="K9" s="816">
        <f t="shared" ref="K9" si="2">L9+M9</f>
        <v>0</v>
      </c>
      <c r="L9" s="816">
        <v>0</v>
      </c>
      <c r="M9" s="816">
        <v>0</v>
      </c>
      <c r="N9" s="816">
        <v>0</v>
      </c>
      <c r="Q9" s="820"/>
    </row>
    <row r="10" spans="1:17" s="817" customFormat="1" ht="12" customHeight="1" x14ac:dyDescent="0.2">
      <c r="A10" s="1078" t="s">
        <v>15</v>
      </c>
      <c r="B10" s="1079"/>
      <c r="C10" s="1080"/>
      <c r="D10" s="818">
        <f t="shared" si="1"/>
        <v>3572121</v>
      </c>
      <c r="E10" s="818">
        <f t="shared" ref="E10:J10" si="3">SUM(E11:E148)</f>
        <v>218829</v>
      </c>
      <c r="F10" s="818">
        <f t="shared" si="3"/>
        <v>130</v>
      </c>
      <c r="G10" s="818">
        <f t="shared" si="3"/>
        <v>622938</v>
      </c>
      <c r="H10" s="818">
        <f t="shared" si="3"/>
        <v>1796151</v>
      </c>
      <c r="I10" s="818">
        <f t="shared" si="3"/>
        <v>38426</v>
      </c>
      <c r="J10" s="818">
        <f t="shared" si="3"/>
        <v>16743</v>
      </c>
      <c r="K10" s="818">
        <f>L10+M10</f>
        <v>879034</v>
      </c>
      <c r="L10" s="818">
        <f>SUM(L11:L148)</f>
        <v>4821</v>
      </c>
      <c r="M10" s="818">
        <f>SUM(M11:M148)</f>
        <v>874213</v>
      </c>
      <c r="N10" s="818">
        <f>SUM(N11:N148)</f>
        <v>300</v>
      </c>
      <c r="P10" s="819"/>
      <c r="Q10" s="820"/>
    </row>
    <row r="11" spans="1:17" x14ac:dyDescent="0.2">
      <c r="A11" s="632">
        <v>1</v>
      </c>
      <c r="B11" s="633" t="s">
        <v>16</v>
      </c>
      <c r="C11" s="634" t="s">
        <v>17</v>
      </c>
      <c r="D11" s="816">
        <f>E11+G11+H11+I11+J11+K11</f>
        <v>13010</v>
      </c>
      <c r="E11" s="821">
        <f>'[10]Раз.пос.Пр.19-23    '!E11+'[10]Уточнение Пр.1-24-Пр.19-23'!E11</f>
        <v>0</v>
      </c>
      <c r="F11" s="821">
        <v>0</v>
      </c>
      <c r="G11" s="821">
        <f>'[10]Раз.пос.Пр.19-23    '!G11+'[10]Уточнение Пр.1-24-Пр.19-23'!G11</f>
        <v>4597</v>
      </c>
      <c r="H11" s="821">
        <f>'[10]Раз.пос.Пр.19-23    '!H11+'[10]Уточнение Пр.1-24-Пр.19-23'!H11</f>
        <v>8413</v>
      </c>
      <c r="I11" s="821">
        <f>'[10]Раз.пос.Пр.19-23    '!I11+'[10]Уточнение Пр.1-24-Пр.19-23'!I11</f>
        <v>0</v>
      </c>
      <c r="J11" s="821">
        <f>'[10]Раз.пос.Пр.19-23    '!J11+'[10]Уточнение Пр.1-24-Пр.19-23'!J11</f>
        <v>0</v>
      </c>
      <c r="K11" s="816">
        <f>L11+M11</f>
        <v>0</v>
      </c>
      <c r="L11" s="821">
        <f>'[10]Раз.пос.Пр.19-23    '!L11+'[10]Уточнение Пр.1-24-Пр.19-23'!L11</f>
        <v>0</v>
      </c>
      <c r="M11" s="821">
        <f>'[10]Раз.пос.Пр.19-23    '!M11+'[10]Уточнение Пр.1-24-Пр.19-23'!M11</f>
        <v>0</v>
      </c>
      <c r="N11" s="821">
        <f>'[10]Раз.пос.Пр.19-23    '!N11+'[10]Уточнение Пр.1-24-Пр.19-23'!N11</f>
        <v>0</v>
      </c>
      <c r="Q11" s="820"/>
    </row>
    <row r="12" spans="1:17" x14ac:dyDescent="0.2">
      <c r="A12" s="632">
        <v>2</v>
      </c>
      <c r="B12" s="635" t="s">
        <v>18</v>
      </c>
      <c r="C12" s="634" t="s">
        <v>19</v>
      </c>
      <c r="D12" s="816">
        <f t="shared" si="1"/>
        <v>17155</v>
      </c>
      <c r="E12" s="821">
        <f>'[10]Раз.пос.Пр.19-23    '!E12+'[10]Уточнение Пр.1-24-Пр.19-23'!E12</f>
        <v>0</v>
      </c>
      <c r="F12" s="821">
        <v>0</v>
      </c>
      <c r="G12" s="821">
        <f>'[10]Раз.пос.Пр.19-23    '!G12+'[10]Уточнение Пр.1-24-Пр.19-23'!G12</f>
        <v>1379</v>
      </c>
      <c r="H12" s="821">
        <f>'[10]Раз.пос.Пр.19-23    '!H12+'[10]Уточнение Пр.1-24-Пр.19-23'!H12</f>
        <v>14235</v>
      </c>
      <c r="I12" s="821">
        <f>'[10]Раз.пос.Пр.19-23    '!I12+'[10]Уточнение Пр.1-24-Пр.19-23'!I12</f>
        <v>1049</v>
      </c>
      <c r="J12" s="821">
        <f>'[10]Раз.пос.Пр.19-23    '!J12+'[10]Уточнение Пр.1-24-Пр.19-23'!J12</f>
        <v>492</v>
      </c>
      <c r="K12" s="816">
        <f t="shared" ref="K12:K77" si="4">L12+M12</f>
        <v>0</v>
      </c>
      <c r="L12" s="821">
        <f>'[10]Раз.пос.Пр.19-23    '!L12+'[10]Уточнение Пр.1-24-Пр.19-23'!L12</f>
        <v>0</v>
      </c>
      <c r="M12" s="821">
        <f>'[10]Раз.пос.Пр.19-23    '!M12+'[10]Уточнение Пр.1-24-Пр.19-23'!M12</f>
        <v>0</v>
      </c>
      <c r="N12" s="821">
        <f>'[10]Раз.пос.Пр.19-23    '!N12+'[10]Уточнение Пр.1-24-Пр.19-23'!N12</f>
        <v>0</v>
      </c>
      <c r="Q12" s="820"/>
    </row>
    <row r="13" spans="1:17" x14ac:dyDescent="0.2">
      <c r="A13" s="632">
        <v>3</v>
      </c>
      <c r="B13" s="636" t="s">
        <v>20</v>
      </c>
      <c r="C13" s="637" t="s">
        <v>21</v>
      </c>
      <c r="D13" s="816">
        <f t="shared" si="1"/>
        <v>29805</v>
      </c>
      <c r="E13" s="821">
        <f>'[10]Раз.пос.Пр.19-23    '!E13+'[10]Уточнение Пр.1-24-Пр.19-23'!E13</f>
        <v>0</v>
      </c>
      <c r="F13" s="821">
        <v>0</v>
      </c>
      <c r="G13" s="821">
        <f>'[10]Раз.пос.Пр.19-23    '!G13+'[10]Уточнение Пр.1-24-Пр.19-23'!G13</f>
        <v>4908</v>
      </c>
      <c r="H13" s="821">
        <f>'[10]Раз.пос.Пр.19-23    '!H13+'[10]Уточнение Пр.1-24-Пр.19-23'!H13</f>
        <v>23659</v>
      </c>
      <c r="I13" s="821">
        <f>'[10]Раз.пос.Пр.19-23    '!I13+'[10]Уточнение Пр.1-24-Пр.19-23'!I13</f>
        <v>910</v>
      </c>
      <c r="J13" s="821">
        <f>'[10]Раз.пос.Пр.19-23    '!J13+'[10]Уточнение Пр.1-24-Пр.19-23'!J13</f>
        <v>327</v>
      </c>
      <c r="K13" s="816">
        <f t="shared" si="4"/>
        <v>1</v>
      </c>
      <c r="L13" s="821">
        <f>'[10]Раз.пос.Пр.19-23    '!L13+'[10]Уточнение Пр.1-24-Пр.19-23'!L13</f>
        <v>0</v>
      </c>
      <c r="M13" s="821">
        <f>'[10]Раз.пос.Пр.19-23    '!M13+'[10]Уточнение Пр.1-24-Пр.19-23'!M13</f>
        <v>1</v>
      </c>
      <c r="N13" s="821">
        <f>'[10]Раз.пос.Пр.19-23    '!N13+'[10]Уточнение Пр.1-24-Пр.19-23'!N13</f>
        <v>0</v>
      </c>
      <c r="Q13" s="820"/>
    </row>
    <row r="14" spans="1:17" x14ac:dyDescent="0.2">
      <c r="A14" s="632">
        <v>4</v>
      </c>
      <c r="B14" s="633" t="s">
        <v>22</v>
      </c>
      <c r="C14" s="634" t="s">
        <v>23</v>
      </c>
      <c r="D14" s="816">
        <f t="shared" si="1"/>
        <v>17739</v>
      </c>
      <c r="E14" s="821">
        <f>'[10]Раз.пос.Пр.19-23    '!E14+'[10]Уточнение Пр.1-24-Пр.19-23'!E14</f>
        <v>0</v>
      </c>
      <c r="F14" s="821">
        <v>0</v>
      </c>
      <c r="G14" s="821">
        <f>'[10]Раз.пос.Пр.19-23    '!G14+'[10]Уточнение Пр.1-24-Пр.19-23'!G14</f>
        <v>2914</v>
      </c>
      <c r="H14" s="821">
        <f>'[10]Раз.пос.Пр.19-23    '!H14+'[10]Уточнение Пр.1-24-Пр.19-23'!H14</f>
        <v>14825</v>
      </c>
      <c r="I14" s="821">
        <f>'[10]Раз.пос.Пр.19-23    '!I14+'[10]Уточнение Пр.1-24-Пр.19-23'!I14</f>
        <v>0</v>
      </c>
      <c r="J14" s="821">
        <f>'[10]Раз.пос.Пр.19-23    '!J14+'[10]Уточнение Пр.1-24-Пр.19-23'!J14</f>
        <v>0</v>
      </c>
      <c r="K14" s="816">
        <f t="shared" si="4"/>
        <v>0</v>
      </c>
      <c r="L14" s="821">
        <f>'[10]Раз.пос.Пр.19-23    '!L14+'[10]Уточнение Пр.1-24-Пр.19-23'!L14</f>
        <v>0</v>
      </c>
      <c r="M14" s="821">
        <f>'[10]Раз.пос.Пр.19-23    '!M14+'[10]Уточнение Пр.1-24-Пр.19-23'!M14</f>
        <v>0</v>
      </c>
      <c r="N14" s="821">
        <f>'[10]Раз.пос.Пр.19-23    '!N14+'[10]Уточнение Пр.1-24-Пр.19-23'!N14</f>
        <v>0</v>
      </c>
      <c r="Q14" s="820"/>
    </row>
    <row r="15" spans="1:17" x14ac:dyDescent="0.2">
      <c r="A15" s="632">
        <v>5</v>
      </c>
      <c r="B15" s="633" t="s">
        <v>24</v>
      </c>
      <c r="C15" s="634" t="s">
        <v>25</v>
      </c>
      <c r="D15" s="816">
        <f t="shared" si="1"/>
        <v>12411</v>
      </c>
      <c r="E15" s="821">
        <f>'[10]Раз.пос.Пр.19-23    '!E15+'[10]Уточнение Пр.1-24-Пр.19-23'!E15</f>
        <v>0</v>
      </c>
      <c r="F15" s="821">
        <v>0</v>
      </c>
      <c r="G15" s="821">
        <f>'[10]Раз.пос.Пр.19-23    '!G15+'[10]Уточнение Пр.1-24-Пр.19-23'!G15</f>
        <v>5190</v>
      </c>
      <c r="H15" s="821">
        <f>'[10]Раз.пос.Пр.19-23    '!H15+'[10]Уточнение Пр.1-24-Пр.19-23'!H15</f>
        <v>7221</v>
      </c>
      <c r="I15" s="821">
        <f>'[10]Раз.пос.Пр.19-23    '!I15+'[10]Уточнение Пр.1-24-Пр.19-23'!I15</f>
        <v>0</v>
      </c>
      <c r="J15" s="821">
        <f>'[10]Раз.пос.Пр.19-23    '!J15+'[10]Уточнение Пр.1-24-Пр.19-23'!J15</f>
        <v>0</v>
      </c>
      <c r="K15" s="816">
        <f t="shared" si="4"/>
        <v>0</v>
      </c>
      <c r="L15" s="821">
        <f>'[10]Раз.пос.Пр.19-23    '!L15+'[10]Уточнение Пр.1-24-Пр.19-23'!L15</f>
        <v>0</v>
      </c>
      <c r="M15" s="821">
        <f>'[10]Раз.пос.Пр.19-23    '!M15+'[10]Уточнение Пр.1-24-Пр.19-23'!M15</f>
        <v>0</v>
      </c>
      <c r="N15" s="821">
        <f>'[10]Раз.пос.Пр.19-23    '!N15+'[10]Уточнение Пр.1-24-Пр.19-23'!N15</f>
        <v>0</v>
      </c>
      <c r="Q15" s="820"/>
    </row>
    <row r="16" spans="1:17" x14ac:dyDescent="0.2">
      <c r="A16" s="632">
        <v>6</v>
      </c>
      <c r="B16" s="636" t="s">
        <v>26</v>
      </c>
      <c r="C16" s="637" t="s">
        <v>27</v>
      </c>
      <c r="D16" s="816">
        <f t="shared" si="1"/>
        <v>109030</v>
      </c>
      <c r="E16" s="821">
        <f>'[10]Раз.пос.Пр.19-23    '!E16+'[10]Уточнение Пр.1-24-Пр.19-23'!E16</f>
        <v>0</v>
      </c>
      <c r="F16" s="821">
        <v>0</v>
      </c>
      <c r="G16" s="821">
        <f>'[10]Раз.пос.Пр.19-23    '!G16+'[10]Уточнение Пр.1-24-Пр.19-23'!G16</f>
        <v>27283</v>
      </c>
      <c r="H16" s="821">
        <f>'[10]Раз.пос.Пр.19-23    '!H16+'[10]Уточнение Пр.1-24-Пр.19-23'!H16</f>
        <v>80104</v>
      </c>
      <c r="I16" s="821">
        <f>'[10]Раз.пос.Пр.19-23    '!I16+'[10]Уточнение Пр.1-24-Пр.19-23'!I16</f>
        <v>1025</v>
      </c>
      <c r="J16" s="821">
        <f>'[10]Раз.пос.Пр.19-23    '!J16+'[10]Уточнение Пр.1-24-Пр.19-23'!J16</f>
        <v>439</v>
      </c>
      <c r="K16" s="816">
        <f t="shared" si="4"/>
        <v>179</v>
      </c>
      <c r="L16" s="821">
        <f>'[10]Раз.пос.Пр.19-23    '!L16+'[10]Уточнение Пр.1-24-Пр.19-23'!L16</f>
        <v>0</v>
      </c>
      <c r="M16" s="821">
        <f>'[10]Раз.пос.Пр.19-23    '!M16+'[10]Уточнение Пр.1-24-Пр.19-23'!M16</f>
        <v>179</v>
      </c>
      <c r="N16" s="821">
        <f>'[10]Раз.пос.Пр.19-23    '!N16+'[10]Уточнение Пр.1-24-Пр.19-23'!N16</f>
        <v>0</v>
      </c>
      <c r="Q16" s="820"/>
    </row>
    <row r="17" spans="1:17" x14ac:dyDescent="0.2">
      <c r="A17" s="632">
        <v>7</v>
      </c>
      <c r="B17" s="638" t="s">
        <v>28</v>
      </c>
      <c r="C17" s="32" t="s">
        <v>29</v>
      </c>
      <c r="D17" s="816">
        <f t="shared" si="1"/>
        <v>28071</v>
      </c>
      <c r="E17" s="821">
        <f>'[10]Раз.пос.Пр.19-23    '!E17+'[10]Уточнение Пр.1-24-Пр.19-23'!E17</f>
        <v>0</v>
      </c>
      <c r="F17" s="821">
        <v>0</v>
      </c>
      <c r="G17" s="821">
        <f>'[10]Раз.пос.Пр.19-23    '!G17+'[10]Уточнение Пр.1-24-Пр.19-23'!G17</f>
        <v>11303</v>
      </c>
      <c r="H17" s="821">
        <f>'[10]Раз.пос.Пр.19-23    '!H17+'[10]Уточнение Пр.1-24-Пр.19-23'!H17</f>
        <v>15005</v>
      </c>
      <c r="I17" s="821">
        <f>'[10]Раз.пос.Пр.19-23    '!I17+'[10]Уточнение Пр.1-24-Пр.19-23'!I17</f>
        <v>973</v>
      </c>
      <c r="J17" s="821">
        <f>'[10]Раз.пос.Пр.19-23    '!J17+'[10]Уточнение Пр.1-24-Пр.19-23'!J17</f>
        <v>513</v>
      </c>
      <c r="K17" s="816">
        <f t="shared" si="4"/>
        <v>277</v>
      </c>
      <c r="L17" s="821">
        <f>'[10]Раз.пос.Пр.19-23    '!L17+'[10]Уточнение Пр.1-24-Пр.19-23'!L17</f>
        <v>0</v>
      </c>
      <c r="M17" s="821">
        <f>'[10]Раз.пос.Пр.19-23    '!M17+'[10]Уточнение Пр.1-24-Пр.19-23'!M17</f>
        <v>277</v>
      </c>
      <c r="N17" s="821">
        <f>'[10]Раз.пос.Пр.19-23    '!N17+'[10]Уточнение Пр.1-24-Пр.19-23'!N17</f>
        <v>0</v>
      </c>
      <c r="Q17" s="820"/>
    </row>
    <row r="18" spans="1:17" x14ac:dyDescent="0.2">
      <c r="A18" s="632">
        <v>8</v>
      </c>
      <c r="B18" s="636" t="s">
        <v>30</v>
      </c>
      <c r="C18" s="637" t="s">
        <v>31</v>
      </c>
      <c r="D18" s="816">
        <f t="shared" si="1"/>
        <v>13288</v>
      </c>
      <c r="E18" s="821">
        <f>'[10]Раз.пос.Пр.19-23    '!E18+'[10]Уточнение Пр.1-24-Пр.19-23'!E18</f>
        <v>0</v>
      </c>
      <c r="F18" s="821">
        <v>0</v>
      </c>
      <c r="G18" s="821">
        <f>'[10]Раз.пос.Пр.19-23    '!G18+'[10]Уточнение Пр.1-24-Пр.19-23'!G18</f>
        <v>3537</v>
      </c>
      <c r="H18" s="821">
        <f>'[10]Раз.пос.Пр.19-23    '!H18+'[10]Уточнение Пр.1-24-Пр.19-23'!H18</f>
        <v>9751</v>
      </c>
      <c r="I18" s="821">
        <f>'[10]Раз.пос.Пр.19-23    '!I18+'[10]Уточнение Пр.1-24-Пр.19-23'!I18</f>
        <v>0</v>
      </c>
      <c r="J18" s="821">
        <f>'[10]Раз.пос.Пр.19-23    '!J18+'[10]Уточнение Пр.1-24-Пр.19-23'!J18</f>
        <v>0</v>
      </c>
      <c r="K18" s="816">
        <f t="shared" si="4"/>
        <v>0</v>
      </c>
      <c r="L18" s="821">
        <f>'[10]Раз.пос.Пр.19-23    '!L18+'[10]Уточнение Пр.1-24-Пр.19-23'!L18</f>
        <v>0</v>
      </c>
      <c r="M18" s="821">
        <f>'[10]Раз.пос.Пр.19-23    '!M18+'[10]Уточнение Пр.1-24-Пр.19-23'!M18</f>
        <v>0</v>
      </c>
      <c r="N18" s="821">
        <f>'[10]Раз.пос.Пр.19-23    '!N18+'[10]Уточнение Пр.1-24-Пр.19-23'!N18</f>
        <v>0</v>
      </c>
      <c r="Q18" s="820"/>
    </row>
    <row r="19" spans="1:17" x14ac:dyDescent="0.2">
      <c r="A19" s="632">
        <v>9</v>
      </c>
      <c r="B19" s="636" t="s">
        <v>32</v>
      </c>
      <c r="C19" s="637" t="s">
        <v>33</v>
      </c>
      <c r="D19" s="816">
        <f t="shared" si="1"/>
        <v>14157</v>
      </c>
      <c r="E19" s="821">
        <f>'[10]Раз.пос.Пр.19-23    '!E19+'[10]Уточнение Пр.1-24-Пр.19-23'!E19</f>
        <v>0</v>
      </c>
      <c r="F19" s="821">
        <v>0</v>
      </c>
      <c r="G19" s="821">
        <f>'[10]Раз.пос.Пр.19-23    '!G19+'[10]Уточнение Пр.1-24-Пр.19-23'!G19</f>
        <v>5596</v>
      </c>
      <c r="H19" s="821">
        <f>'[10]Раз.пос.Пр.19-23    '!H19+'[10]Уточнение Пр.1-24-Пр.19-23'!H19</f>
        <v>7307</v>
      </c>
      <c r="I19" s="821">
        <f>'[10]Раз.пос.Пр.19-23    '!I19+'[10]Уточнение Пр.1-24-Пр.19-23'!I19</f>
        <v>1025</v>
      </c>
      <c r="J19" s="821">
        <f>'[10]Раз.пос.Пр.19-23    '!J19+'[10]Уточнение Пр.1-24-Пр.19-23'!J19</f>
        <v>229</v>
      </c>
      <c r="K19" s="816">
        <f t="shared" si="4"/>
        <v>0</v>
      </c>
      <c r="L19" s="821">
        <f>'[10]Раз.пос.Пр.19-23    '!L19+'[10]Уточнение Пр.1-24-Пр.19-23'!L19</f>
        <v>0</v>
      </c>
      <c r="M19" s="821">
        <f>'[10]Раз.пос.Пр.19-23    '!M19+'[10]Уточнение Пр.1-24-Пр.19-23'!M19</f>
        <v>0</v>
      </c>
      <c r="N19" s="821">
        <f>'[10]Раз.пос.Пр.19-23    '!N19+'[10]Уточнение Пр.1-24-Пр.19-23'!N19</f>
        <v>0</v>
      </c>
      <c r="Q19" s="820"/>
    </row>
    <row r="20" spans="1:17" x14ac:dyDescent="0.2">
      <c r="A20" s="632">
        <v>10</v>
      </c>
      <c r="B20" s="636" t="s">
        <v>34</v>
      </c>
      <c r="C20" s="637" t="s">
        <v>35</v>
      </c>
      <c r="D20" s="816">
        <f t="shared" si="1"/>
        <v>18611</v>
      </c>
      <c r="E20" s="821">
        <f>'[10]Раз.пос.Пр.19-23    '!E20+'[10]Уточнение Пр.1-24-Пр.19-23'!E20</f>
        <v>0</v>
      </c>
      <c r="F20" s="821">
        <v>0</v>
      </c>
      <c r="G20" s="821">
        <f>'[10]Раз.пос.Пр.19-23    '!G20+'[10]Уточнение Пр.1-24-Пр.19-23'!G20</f>
        <v>7565</v>
      </c>
      <c r="H20" s="821">
        <f>'[10]Раз.пос.Пр.19-23    '!H20+'[10]Уточнение Пр.1-24-Пр.19-23'!H20</f>
        <v>11046</v>
      </c>
      <c r="I20" s="821">
        <f>'[10]Раз.пос.Пр.19-23    '!I20+'[10]Уточнение Пр.1-24-Пр.19-23'!I20</f>
        <v>0</v>
      </c>
      <c r="J20" s="821">
        <f>'[10]Раз.пос.Пр.19-23    '!J20+'[10]Уточнение Пр.1-24-Пр.19-23'!J20</f>
        <v>0</v>
      </c>
      <c r="K20" s="816">
        <f t="shared" si="4"/>
        <v>0</v>
      </c>
      <c r="L20" s="821">
        <f>'[10]Раз.пос.Пр.19-23    '!L20+'[10]Уточнение Пр.1-24-Пр.19-23'!L20</f>
        <v>0</v>
      </c>
      <c r="M20" s="821">
        <f>'[10]Раз.пос.Пр.19-23    '!M20+'[10]Уточнение Пр.1-24-Пр.19-23'!M20</f>
        <v>0</v>
      </c>
      <c r="N20" s="821">
        <f>'[10]Раз.пос.Пр.19-23    '!N20+'[10]Уточнение Пр.1-24-Пр.19-23'!N20</f>
        <v>0</v>
      </c>
      <c r="Q20" s="820"/>
    </row>
    <row r="21" spans="1:17" x14ac:dyDescent="0.2">
      <c r="A21" s="632">
        <v>11</v>
      </c>
      <c r="B21" s="636" t="s">
        <v>36</v>
      </c>
      <c r="C21" s="637" t="s">
        <v>37</v>
      </c>
      <c r="D21" s="816">
        <f t="shared" si="1"/>
        <v>9594</v>
      </c>
      <c r="E21" s="821">
        <f>'[10]Раз.пос.Пр.19-23    '!E21+'[10]Уточнение Пр.1-24-Пр.19-23'!E21</f>
        <v>0</v>
      </c>
      <c r="F21" s="821">
        <v>0</v>
      </c>
      <c r="G21" s="821">
        <f>'[10]Раз.пос.Пр.19-23    '!G21+'[10]Уточнение Пр.1-24-Пр.19-23'!G21</f>
        <v>4007</v>
      </c>
      <c r="H21" s="821">
        <f>'[10]Раз.пос.Пр.19-23    '!H21+'[10]Уточнение Пр.1-24-Пр.19-23'!H21</f>
        <v>5587</v>
      </c>
      <c r="I21" s="821">
        <f>'[10]Раз.пос.Пр.19-23    '!I21+'[10]Уточнение Пр.1-24-Пр.19-23'!I21</f>
        <v>0</v>
      </c>
      <c r="J21" s="821">
        <f>'[10]Раз.пос.Пр.19-23    '!J21+'[10]Уточнение Пр.1-24-Пр.19-23'!J21</f>
        <v>0</v>
      </c>
      <c r="K21" s="816">
        <f t="shared" si="4"/>
        <v>0</v>
      </c>
      <c r="L21" s="821">
        <f>'[10]Раз.пос.Пр.19-23    '!L21+'[10]Уточнение Пр.1-24-Пр.19-23'!L21</f>
        <v>0</v>
      </c>
      <c r="M21" s="821">
        <f>'[10]Раз.пос.Пр.19-23    '!M21+'[10]Уточнение Пр.1-24-Пр.19-23'!M21</f>
        <v>0</v>
      </c>
      <c r="N21" s="821">
        <f>'[10]Раз.пос.Пр.19-23    '!N21+'[10]Уточнение Пр.1-24-Пр.19-23'!N21</f>
        <v>0</v>
      </c>
      <c r="Q21" s="820"/>
    </row>
    <row r="22" spans="1:17" x14ac:dyDescent="0.2">
      <c r="A22" s="632">
        <v>12</v>
      </c>
      <c r="B22" s="636" t="s">
        <v>38</v>
      </c>
      <c r="C22" s="637" t="s">
        <v>39</v>
      </c>
      <c r="D22" s="816">
        <f t="shared" si="1"/>
        <v>27732</v>
      </c>
      <c r="E22" s="821">
        <f>'[10]Раз.пос.Пр.19-23    '!E22+'[10]Уточнение Пр.1-24-Пр.19-23'!E22</f>
        <v>0</v>
      </c>
      <c r="F22" s="821">
        <v>0</v>
      </c>
      <c r="G22" s="821">
        <f>'[10]Раз.пос.Пр.19-23    '!G22+'[10]Уточнение Пр.1-24-Пр.19-23'!G22</f>
        <v>2889</v>
      </c>
      <c r="H22" s="821">
        <f>'[10]Раз.пос.Пр.19-23    '!H22+'[10]Уточнение Пр.1-24-Пр.19-23'!H22</f>
        <v>23379</v>
      </c>
      <c r="I22" s="821">
        <f>'[10]Раз.пос.Пр.19-23    '!I22+'[10]Уточнение Пр.1-24-Пр.19-23'!I22</f>
        <v>1025</v>
      </c>
      <c r="J22" s="821">
        <f>'[10]Раз.пос.Пр.19-23    '!J22+'[10]Уточнение Пр.1-24-Пр.19-23'!J22</f>
        <v>439</v>
      </c>
      <c r="K22" s="816">
        <f t="shared" si="4"/>
        <v>0</v>
      </c>
      <c r="L22" s="821">
        <f>'[10]Раз.пос.Пр.19-23    '!L22+'[10]Уточнение Пр.1-24-Пр.19-23'!L22</f>
        <v>0</v>
      </c>
      <c r="M22" s="821">
        <f>'[10]Раз.пос.Пр.19-23    '!M22+'[10]Уточнение Пр.1-24-Пр.19-23'!M22</f>
        <v>0</v>
      </c>
      <c r="N22" s="821">
        <f>'[10]Раз.пос.Пр.19-23    '!N22+'[10]Уточнение Пр.1-24-Пр.19-23'!N22</f>
        <v>0</v>
      </c>
      <c r="Q22" s="820"/>
    </row>
    <row r="23" spans="1:17" x14ac:dyDescent="0.2">
      <c r="A23" s="639">
        <v>13</v>
      </c>
      <c r="B23" s="636" t="s">
        <v>40</v>
      </c>
      <c r="C23" s="637" t="s">
        <v>41</v>
      </c>
      <c r="D23" s="816">
        <f t="shared" si="1"/>
        <v>0</v>
      </c>
      <c r="E23" s="821">
        <f>'[10]Раз.пос.Пр.19-23    '!E23+'[10]Уточнение Пр.1-24-Пр.19-23'!E23</f>
        <v>0</v>
      </c>
      <c r="F23" s="821">
        <v>0</v>
      </c>
      <c r="G23" s="821">
        <f>'[10]Раз.пос.Пр.19-23    '!G23+'[10]Уточнение Пр.1-24-Пр.19-23'!G23</f>
        <v>0</v>
      </c>
      <c r="H23" s="821">
        <f>'[10]Раз.пос.Пр.19-23    '!H23+'[10]Уточнение Пр.1-24-Пр.19-23'!H23</f>
        <v>0</v>
      </c>
      <c r="I23" s="821">
        <f>'[10]Раз.пос.Пр.19-23    '!I23+'[10]Уточнение Пр.1-24-Пр.19-23'!I23</f>
        <v>0</v>
      </c>
      <c r="J23" s="821">
        <f>'[10]Раз.пос.Пр.19-23    '!J23+'[10]Уточнение Пр.1-24-Пр.19-23'!J23</f>
        <v>0</v>
      </c>
      <c r="K23" s="816">
        <f t="shared" si="4"/>
        <v>0</v>
      </c>
      <c r="L23" s="821">
        <f>'[10]Раз.пос.Пр.19-23    '!L23+'[10]Уточнение Пр.1-24-Пр.19-23'!L23</f>
        <v>0</v>
      </c>
      <c r="M23" s="821">
        <f>'[10]Раз.пос.Пр.19-23    '!M23+'[10]Уточнение Пр.1-24-Пр.19-23'!M23</f>
        <v>0</v>
      </c>
      <c r="N23" s="821">
        <f>'[10]Раз.пос.Пр.19-23    '!N23+'[10]Уточнение Пр.1-24-Пр.19-23'!N23</f>
        <v>0</v>
      </c>
      <c r="Q23" s="820"/>
    </row>
    <row r="24" spans="1:17" x14ac:dyDescent="0.2">
      <c r="A24" s="632">
        <v>14</v>
      </c>
      <c r="B24" s="633" t="s">
        <v>42</v>
      </c>
      <c r="C24" s="637" t="s">
        <v>43</v>
      </c>
      <c r="D24" s="816">
        <f t="shared" si="1"/>
        <v>0</v>
      </c>
      <c r="E24" s="821">
        <f>'[10]Раз.пос.Пр.19-23    '!E24+'[10]Уточнение Пр.1-24-Пр.19-23'!E24</f>
        <v>0</v>
      </c>
      <c r="F24" s="821">
        <v>0</v>
      </c>
      <c r="G24" s="821">
        <f>'[10]Раз.пос.Пр.19-23    '!G24+'[10]Уточнение Пр.1-24-Пр.19-23'!G24</f>
        <v>0</v>
      </c>
      <c r="H24" s="821">
        <f>'[10]Раз.пос.Пр.19-23    '!H24+'[10]Уточнение Пр.1-24-Пр.19-23'!H24</f>
        <v>0</v>
      </c>
      <c r="I24" s="821">
        <f>'[10]Раз.пос.Пр.19-23    '!I24+'[10]Уточнение Пр.1-24-Пр.19-23'!I24</f>
        <v>0</v>
      </c>
      <c r="J24" s="821">
        <f>'[10]Раз.пос.Пр.19-23    '!J24+'[10]Уточнение Пр.1-24-Пр.19-23'!J24</f>
        <v>0</v>
      </c>
      <c r="K24" s="816">
        <f t="shared" si="4"/>
        <v>0</v>
      </c>
      <c r="L24" s="821">
        <f>'[10]Раз.пос.Пр.19-23    '!L24+'[10]Уточнение Пр.1-24-Пр.19-23'!L24</f>
        <v>0</v>
      </c>
      <c r="M24" s="821">
        <f>'[10]Раз.пос.Пр.19-23    '!M24+'[10]Уточнение Пр.1-24-Пр.19-23'!M24</f>
        <v>0</v>
      </c>
      <c r="N24" s="821">
        <f>'[10]Раз.пос.Пр.19-23    '!N24+'[10]Уточнение Пр.1-24-Пр.19-23'!N24</f>
        <v>0</v>
      </c>
      <c r="Q24" s="820"/>
    </row>
    <row r="25" spans="1:17" x14ac:dyDescent="0.2">
      <c r="A25" s="639">
        <v>15</v>
      </c>
      <c r="B25" s="636" t="s">
        <v>44</v>
      </c>
      <c r="C25" s="637" t="s">
        <v>45</v>
      </c>
      <c r="D25" s="816">
        <f t="shared" si="1"/>
        <v>14284</v>
      </c>
      <c r="E25" s="821">
        <f>'[10]Раз.пос.Пр.19-23    '!E25+'[10]Уточнение Пр.1-24-Пр.19-23'!E25</f>
        <v>0</v>
      </c>
      <c r="F25" s="821">
        <v>0</v>
      </c>
      <c r="G25" s="821">
        <f>'[10]Раз.пос.Пр.19-23    '!G25+'[10]Уточнение Пр.1-24-Пр.19-23'!G25</f>
        <v>1234</v>
      </c>
      <c r="H25" s="821">
        <f>'[10]Раз.пос.Пр.19-23    '!H25+'[10]Уточнение Пр.1-24-Пр.19-23'!H25</f>
        <v>13050</v>
      </c>
      <c r="I25" s="821">
        <f>'[10]Раз.пос.Пр.19-23    '!I25+'[10]Уточнение Пр.1-24-Пр.19-23'!I25</f>
        <v>0</v>
      </c>
      <c r="J25" s="821">
        <f>'[10]Раз.пос.Пр.19-23    '!J25+'[10]Уточнение Пр.1-24-Пр.19-23'!J25</f>
        <v>0</v>
      </c>
      <c r="K25" s="816">
        <f t="shared" si="4"/>
        <v>0</v>
      </c>
      <c r="L25" s="821">
        <f>'[10]Раз.пос.Пр.19-23    '!L25+'[10]Уточнение Пр.1-24-Пр.19-23'!L25</f>
        <v>0</v>
      </c>
      <c r="M25" s="821">
        <f>'[10]Раз.пос.Пр.19-23    '!M25+'[10]Уточнение Пр.1-24-Пр.19-23'!M25</f>
        <v>0</v>
      </c>
      <c r="N25" s="821">
        <f>'[10]Раз.пос.Пр.19-23    '!N25+'[10]Уточнение Пр.1-24-Пр.19-23'!N25</f>
        <v>0</v>
      </c>
      <c r="Q25" s="820"/>
    </row>
    <row r="26" spans="1:17" x14ac:dyDescent="0.2">
      <c r="A26" s="632">
        <v>16</v>
      </c>
      <c r="B26" s="636" t="s">
        <v>46</v>
      </c>
      <c r="C26" s="637" t="s">
        <v>47</v>
      </c>
      <c r="D26" s="816">
        <f t="shared" si="1"/>
        <v>29170</v>
      </c>
      <c r="E26" s="821">
        <f>'[10]Раз.пос.Пр.19-23    '!E26+'[10]Уточнение Пр.1-24-Пр.19-23'!E26</f>
        <v>0</v>
      </c>
      <c r="F26" s="821">
        <v>0</v>
      </c>
      <c r="G26" s="821">
        <f>'[10]Раз.пос.Пр.19-23    '!G26+'[10]Уточнение Пр.1-24-Пр.19-23'!G26</f>
        <v>8985</v>
      </c>
      <c r="H26" s="821">
        <f>'[10]Раз.пос.Пр.19-23    '!H26+'[10]Уточнение Пр.1-24-Пр.19-23'!H26</f>
        <v>18786</v>
      </c>
      <c r="I26" s="821">
        <f>'[10]Раз.пос.Пр.19-23    '!I26+'[10]Уточнение Пр.1-24-Пр.19-23'!I26</f>
        <v>957</v>
      </c>
      <c r="J26" s="821">
        <f>'[10]Раз.пос.Пр.19-23    '!J26+'[10]Уточнение Пр.1-24-Пр.19-23'!J26</f>
        <v>442</v>
      </c>
      <c r="K26" s="816">
        <f t="shared" si="4"/>
        <v>0</v>
      </c>
      <c r="L26" s="821">
        <f>'[10]Раз.пос.Пр.19-23    '!L26+'[10]Уточнение Пр.1-24-Пр.19-23'!L26</f>
        <v>0</v>
      </c>
      <c r="M26" s="821">
        <f>'[10]Раз.пос.Пр.19-23    '!M26+'[10]Уточнение Пр.1-24-Пр.19-23'!M26</f>
        <v>0</v>
      </c>
      <c r="N26" s="821">
        <f>'[10]Раз.пос.Пр.19-23    '!N26+'[10]Уточнение Пр.1-24-Пр.19-23'!N26</f>
        <v>0</v>
      </c>
      <c r="Q26" s="820"/>
    </row>
    <row r="27" spans="1:17" x14ac:dyDescent="0.2">
      <c r="A27" s="639">
        <v>17</v>
      </c>
      <c r="B27" s="636" t="s">
        <v>48</v>
      </c>
      <c r="C27" s="637" t="s">
        <v>49</v>
      </c>
      <c r="D27" s="816">
        <f t="shared" si="1"/>
        <v>38417</v>
      </c>
      <c r="E27" s="821">
        <f>'[10]Раз.пос.Пр.19-23    '!E27+'[10]Уточнение Пр.1-24-Пр.19-23'!E27</f>
        <v>0</v>
      </c>
      <c r="F27" s="821">
        <v>0</v>
      </c>
      <c r="G27" s="821">
        <f>'[10]Раз.пос.Пр.19-23    '!G27+'[10]Уточнение Пр.1-24-Пр.19-23'!G27</f>
        <v>8411</v>
      </c>
      <c r="H27" s="821">
        <f>'[10]Раз.пос.Пр.19-23    '!H27+'[10]Уточнение Пр.1-24-Пр.19-23'!H27</f>
        <v>30006</v>
      </c>
      <c r="I27" s="821">
        <f>'[10]Раз.пос.Пр.19-23    '!I27+'[10]Уточнение Пр.1-24-Пр.19-23'!I27</f>
        <v>0</v>
      </c>
      <c r="J27" s="821">
        <f>'[10]Раз.пос.Пр.19-23    '!J27+'[10]Уточнение Пр.1-24-Пр.19-23'!J27</f>
        <v>0</v>
      </c>
      <c r="K27" s="816">
        <f t="shared" si="4"/>
        <v>0</v>
      </c>
      <c r="L27" s="821">
        <f>'[10]Раз.пос.Пр.19-23    '!L27+'[10]Уточнение Пр.1-24-Пр.19-23'!L27</f>
        <v>0</v>
      </c>
      <c r="M27" s="821">
        <f>'[10]Раз.пос.Пр.19-23    '!M27+'[10]Уточнение Пр.1-24-Пр.19-23'!M27</f>
        <v>0</v>
      </c>
      <c r="N27" s="821">
        <f>'[10]Раз.пос.Пр.19-23    '!N27+'[10]Уточнение Пр.1-24-Пр.19-23'!N27</f>
        <v>0</v>
      </c>
      <c r="Q27" s="820"/>
    </row>
    <row r="28" spans="1:17" x14ac:dyDescent="0.2">
      <c r="A28" s="632">
        <v>18</v>
      </c>
      <c r="B28" s="636" t="s">
        <v>50</v>
      </c>
      <c r="C28" s="637" t="s">
        <v>51</v>
      </c>
      <c r="D28" s="816">
        <f t="shared" si="1"/>
        <v>42875</v>
      </c>
      <c r="E28" s="821">
        <f>'[10]Раз.пос.Пр.19-23    '!E28+'[10]Уточнение Пр.1-24-Пр.19-23'!E28</f>
        <v>0</v>
      </c>
      <c r="F28" s="821">
        <v>0</v>
      </c>
      <c r="G28" s="821">
        <f>'[10]Раз.пос.Пр.19-23    '!G28+'[10]Уточнение Пр.1-24-Пр.19-23'!G28</f>
        <v>14845</v>
      </c>
      <c r="H28" s="821">
        <f>'[10]Раз.пос.Пр.19-23    '!H28+'[10]Уточнение Пр.1-24-Пр.19-23'!H28</f>
        <v>26257</v>
      </c>
      <c r="I28" s="821">
        <f>'[10]Раз.пос.Пр.19-23    '!I28+'[10]Уточнение Пр.1-24-Пр.19-23'!I28</f>
        <v>1025</v>
      </c>
      <c r="J28" s="821">
        <f>'[10]Раз.пос.Пр.19-23    '!J28+'[10]Уточнение Пр.1-24-Пр.19-23'!J28</f>
        <v>439</v>
      </c>
      <c r="K28" s="816">
        <f t="shared" si="4"/>
        <v>309</v>
      </c>
      <c r="L28" s="821">
        <f>'[10]Раз.пос.Пр.19-23    '!L28+'[10]Уточнение Пр.1-24-Пр.19-23'!L28</f>
        <v>0</v>
      </c>
      <c r="M28" s="821">
        <f>'[10]Раз.пос.Пр.19-23    '!M28+'[10]Уточнение Пр.1-24-Пр.19-23'!M28</f>
        <v>309</v>
      </c>
      <c r="N28" s="821">
        <f>'[10]Раз.пос.Пр.19-23    '!N28+'[10]Уточнение Пр.1-24-Пр.19-23'!N28</f>
        <v>0</v>
      </c>
      <c r="Q28" s="820"/>
    </row>
    <row r="29" spans="1:17" x14ac:dyDescent="0.2">
      <c r="A29" s="639">
        <v>19</v>
      </c>
      <c r="B29" s="633" t="s">
        <v>52</v>
      </c>
      <c r="C29" s="634" t="s">
        <v>53</v>
      </c>
      <c r="D29" s="816">
        <f t="shared" si="1"/>
        <v>12925</v>
      </c>
      <c r="E29" s="821">
        <f>'[10]Раз.пос.Пр.19-23    '!E29+'[10]Уточнение Пр.1-24-Пр.19-23'!E29</f>
        <v>0</v>
      </c>
      <c r="F29" s="821">
        <v>0</v>
      </c>
      <c r="G29" s="821">
        <f>'[10]Раз.пос.Пр.19-23    '!G29+'[10]Уточнение Пр.1-24-Пр.19-23'!G29</f>
        <v>2301</v>
      </c>
      <c r="H29" s="821">
        <f>'[10]Раз.пос.Пр.19-23    '!H29+'[10]Уточнение Пр.1-24-Пр.19-23'!H29</f>
        <v>10624</v>
      </c>
      <c r="I29" s="821">
        <f>'[10]Раз.пос.Пр.19-23    '!I29+'[10]Уточнение Пр.1-24-Пр.19-23'!I29</f>
        <v>0</v>
      </c>
      <c r="J29" s="821">
        <f>'[10]Раз.пос.Пр.19-23    '!J29+'[10]Уточнение Пр.1-24-Пр.19-23'!J29</f>
        <v>0</v>
      </c>
      <c r="K29" s="816">
        <f t="shared" si="4"/>
        <v>0</v>
      </c>
      <c r="L29" s="821">
        <f>'[10]Раз.пос.Пр.19-23    '!L29+'[10]Уточнение Пр.1-24-Пр.19-23'!L29</f>
        <v>0</v>
      </c>
      <c r="M29" s="821">
        <f>'[10]Раз.пос.Пр.19-23    '!M29+'[10]Уточнение Пр.1-24-Пр.19-23'!M29</f>
        <v>0</v>
      </c>
      <c r="N29" s="821">
        <f>'[10]Раз.пос.Пр.19-23    '!N29+'[10]Уточнение Пр.1-24-Пр.19-23'!N29</f>
        <v>0</v>
      </c>
      <c r="Q29" s="820"/>
    </row>
    <row r="30" spans="1:17" x14ac:dyDescent="0.2">
      <c r="A30" s="632">
        <v>20</v>
      </c>
      <c r="B30" s="633" t="s">
        <v>54</v>
      </c>
      <c r="C30" s="634" t="s">
        <v>55</v>
      </c>
      <c r="D30" s="816">
        <f t="shared" si="1"/>
        <v>7417</v>
      </c>
      <c r="E30" s="821">
        <f>'[10]Раз.пос.Пр.19-23    '!E30+'[10]Уточнение Пр.1-24-Пр.19-23'!E30</f>
        <v>0</v>
      </c>
      <c r="F30" s="821">
        <v>0</v>
      </c>
      <c r="G30" s="821">
        <f>'[10]Раз.пос.Пр.19-23    '!G30+'[10]Уточнение Пр.1-24-Пр.19-23'!G30</f>
        <v>1152</v>
      </c>
      <c r="H30" s="821">
        <f>'[10]Раз.пос.Пр.19-23    '!H30+'[10]Уточнение Пр.1-24-Пр.19-23'!H30</f>
        <v>6265</v>
      </c>
      <c r="I30" s="821">
        <f>'[10]Раз.пос.Пр.19-23    '!I30+'[10]Уточнение Пр.1-24-Пр.19-23'!I30</f>
        <v>0</v>
      </c>
      <c r="J30" s="821">
        <f>'[10]Раз.пос.Пр.19-23    '!J30+'[10]Уточнение Пр.1-24-Пр.19-23'!J30</f>
        <v>0</v>
      </c>
      <c r="K30" s="816">
        <f t="shared" si="4"/>
        <v>0</v>
      </c>
      <c r="L30" s="821">
        <f>'[10]Раз.пос.Пр.19-23    '!L30+'[10]Уточнение Пр.1-24-Пр.19-23'!L30</f>
        <v>0</v>
      </c>
      <c r="M30" s="821">
        <f>'[10]Раз.пос.Пр.19-23    '!M30+'[10]Уточнение Пр.1-24-Пр.19-23'!M30</f>
        <v>0</v>
      </c>
      <c r="N30" s="821">
        <f>'[10]Раз.пос.Пр.19-23    '!N30+'[10]Уточнение Пр.1-24-Пр.19-23'!N30</f>
        <v>0</v>
      </c>
      <c r="Q30" s="820"/>
    </row>
    <row r="31" spans="1:17" x14ac:dyDescent="0.2">
      <c r="A31" s="639">
        <v>21</v>
      </c>
      <c r="B31" s="633" t="s">
        <v>56</v>
      </c>
      <c r="C31" s="634" t="s">
        <v>57</v>
      </c>
      <c r="D31" s="816">
        <f t="shared" si="1"/>
        <v>43744</v>
      </c>
      <c r="E31" s="821">
        <f>'[10]Раз.пос.Пр.19-23    '!E31+'[10]Уточнение Пр.1-24-Пр.19-23'!E31</f>
        <v>0</v>
      </c>
      <c r="F31" s="821">
        <v>0</v>
      </c>
      <c r="G31" s="821">
        <f>'[10]Раз.пос.Пр.19-23    '!G31+'[10]Уточнение Пр.1-24-Пр.19-23'!G31</f>
        <v>11544</v>
      </c>
      <c r="H31" s="821">
        <f>'[10]Раз.пос.Пр.19-23    '!H31+'[10]Уточнение Пр.1-24-Пр.19-23'!H31</f>
        <v>30733</v>
      </c>
      <c r="I31" s="821">
        <f>'[10]Раз.пос.Пр.19-23    '!I31+'[10]Уточнение Пр.1-24-Пр.19-23'!I31</f>
        <v>1024</v>
      </c>
      <c r="J31" s="821">
        <f>'[10]Раз.пос.Пр.19-23    '!J31+'[10]Уточнение Пр.1-24-Пр.19-23'!J31</f>
        <v>443</v>
      </c>
      <c r="K31" s="816">
        <f t="shared" si="4"/>
        <v>0</v>
      </c>
      <c r="L31" s="821">
        <f>'[10]Раз.пос.Пр.19-23    '!L31+'[10]Уточнение Пр.1-24-Пр.19-23'!L31</f>
        <v>0</v>
      </c>
      <c r="M31" s="821">
        <f>'[10]Раз.пос.Пр.19-23    '!M31+'[10]Уточнение Пр.1-24-Пр.19-23'!M31</f>
        <v>0</v>
      </c>
      <c r="N31" s="821">
        <f>'[10]Раз.пос.Пр.19-23    '!N31+'[10]Уточнение Пр.1-24-Пр.19-23'!N31</f>
        <v>0</v>
      </c>
      <c r="Q31" s="820"/>
    </row>
    <row r="32" spans="1:17" x14ac:dyDescent="0.2">
      <c r="A32" s="632">
        <v>22</v>
      </c>
      <c r="B32" s="633" t="s">
        <v>58</v>
      </c>
      <c r="C32" s="634" t="s">
        <v>59</v>
      </c>
      <c r="D32" s="816">
        <f t="shared" si="1"/>
        <v>50960</v>
      </c>
      <c r="E32" s="821">
        <f>'[10]Раз.пос.Пр.19-23    '!E32+'[10]Уточнение Пр.1-24-Пр.19-23'!E32</f>
        <v>0</v>
      </c>
      <c r="F32" s="821">
        <v>0</v>
      </c>
      <c r="G32" s="821">
        <f>'[10]Раз.пос.Пр.19-23    '!G32+'[10]Уточнение Пр.1-24-Пр.19-23'!G32</f>
        <v>11012</v>
      </c>
      <c r="H32" s="821">
        <f>'[10]Раз.пос.Пр.19-23    '!H32+'[10]Уточнение Пр.1-24-Пр.19-23'!H32</f>
        <v>37855</v>
      </c>
      <c r="I32" s="821">
        <f>'[10]Раз.пос.Пр.19-23    '!I32+'[10]Уточнение Пр.1-24-Пр.19-23'!I32</f>
        <v>1025</v>
      </c>
      <c r="J32" s="821">
        <f>'[10]Раз.пос.Пр.19-23    '!J32+'[10]Уточнение Пр.1-24-Пр.19-23'!J32</f>
        <v>443</v>
      </c>
      <c r="K32" s="816">
        <f t="shared" si="4"/>
        <v>625</v>
      </c>
      <c r="L32" s="821">
        <f>'[10]Раз.пос.Пр.19-23    '!L32+'[10]Уточнение Пр.1-24-Пр.19-23'!L32</f>
        <v>0</v>
      </c>
      <c r="M32" s="821">
        <f>'[10]Раз.пос.Пр.19-23    '!M32+'[10]Уточнение Пр.1-24-Пр.19-23'!M32</f>
        <v>625</v>
      </c>
      <c r="N32" s="821">
        <f>'[10]Раз.пос.Пр.19-23    '!N32+'[10]Уточнение Пр.1-24-Пр.19-23'!N32</f>
        <v>0</v>
      </c>
      <c r="Q32" s="820"/>
    </row>
    <row r="33" spans="1:17" x14ac:dyDescent="0.2">
      <c r="A33" s="639">
        <v>23</v>
      </c>
      <c r="B33" s="636" t="s">
        <v>60</v>
      </c>
      <c r="C33" s="637" t="s">
        <v>61</v>
      </c>
      <c r="D33" s="816">
        <f t="shared" si="1"/>
        <v>14829</v>
      </c>
      <c r="E33" s="821">
        <f>'[10]Раз.пос.Пр.19-23    '!E33+'[10]Уточнение Пр.1-24-Пр.19-23'!E33</f>
        <v>0</v>
      </c>
      <c r="F33" s="821">
        <v>0</v>
      </c>
      <c r="G33" s="821">
        <f>'[10]Раз.пос.Пр.19-23    '!G33+'[10]Уточнение Пр.1-24-Пр.19-23'!G33</f>
        <v>8028</v>
      </c>
      <c r="H33" s="821">
        <f>'[10]Раз.пос.Пр.19-23    '!H33+'[10]Уточнение Пр.1-24-Пр.19-23'!H33</f>
        <v>6801</v>
      </c>
      <c r="I33" s="821">
        <f>'[10]Раз.пос.Пр.19-23    '!I33+'[10]Уточнение Пр.1-24-Пр.19-23'!I33</f>
        <v>0</v>
      </c>
      <c r="J33" s="821">
        <f>'[10]Раз.пос.Пр.19-23    '!J33+'[10]Уточнение Пр.1-24-Пр.19-23'!J33</f>
        <v>0</v>
      </c>
      <c r="K33" s="816">
        <f t="shared" si="4"/>
        <v>0</v>
      </c>
      <c r="L33" s="821">
        <f>'[10]Раз.пос.Пр.19-23    '!L33+'[10]Уточнение Пр.1-24-Пр.19-23'!L33</f>
        <v>0</v>
      </c>
      <c r="M33" s="821">
        <f>'[10]Раз.пос.Пр.19-23    '!M33+'[10]Уточнение Пр.1-24-Пр.19-23'!M33</f>
        <v>0</v>
      </c>
      <c r="N33" s="821">
        <f>'[10]Раз.пос.Пр.19-23    '!N33+'[10]Уточнение Пр.1-24-Пр.19-23'!N33</f>
        <v>0</v>
      </c>
      <c r="Q33" s="820"/>
    </row>
    <row r="34" spans="1:17" x14ac:dyDescent="0.2">
      <c r="A34" s="632">
        <v>24</v>
      </c>
      <c r="B34" s="636" t="s">
        <v>62</v>
      </c>
      <c r="C34" s="637" t="s">
        <v>63</v>
      </c>
      <c r="D34" s="816">
        <f t="shared" si="1"/>
        <v>0</v>
      </c>
      <c r="E34" s="821">
        <f>'[10]Раз.пос.Пр.19-23    '!E34+'[10]Уточнение Пр.1-24-Пр.19-23'!E34</f>
        <v>0</v>
      </c>
      <c r="F34" s="821">
        <v>0</v>
      </c>
      <c r="G34" s="821">
        <f>'[10]Раз.пос.Пр.19-23    '!G34+'[10]Уточнение Пр.1-24-Пр.19-23'!G34</f>
        <v>0</v>
      </c>
      <c r="H34" s="821">
        <f>'[10]Раз.пос.Пр.19-23    '!H34+'[10]Уточнение Пр.1-24-Пр.19-23'!H34</f>
        <v>0</v>
      </c>
      <c r="I34" s="821">
        <f>'[10]Раз.пос.Пр.19-23    '!I34+'[10]Уточнение Пр.1-24-Пр.19-23'!I34</f>
        <v>0</v>
      </c>
      <c r="J34" s="821">
        <f>'[10]Раз.пос.Пр.19-23    '!J34+'[10]Уточнение Пр.1-24-Пр.19-23'!J34</f>
        <v>0</v>
      </c>
      <c r="K34" s="816">
        <f t="shared" si="4"/>
        <v>0</v>
      </c>
      <c r="L34" s="821">
        <f>'[10]Раз.пос.Пр.19-23    '!L34+'[10]Уточнение Пр.1-24-Пр.19-23'!L34</f>
        <v>0</v>
      </c>
      <c r="M34" s="821">
        <f>'[10]Раз.пос.Пр.19-23    '!M34+'[10]Уточнение Пр.1-24-Пр.19-23'!M34</f>
        <v>0</v>
      </c>
      <c r="N34" s="821">
        <f>'[10]Раз.пос.Пр.19-23    '!N34+'[10]Уточнение Пр.1-24-Пр.19-23'!N34</f>
        <v>0</v>
      </c>
      <c r="Q34" s="820"/>
    </row>
    <row r="35" spans="1:17" ht="24" x14ac:dyDescent="0.2">
      <c r="A35" s="639">
        <v>25</v>
      </c>
      <c r="B35" s="636" t="s">
        <v>64</v>
      </c>
      <c r="C35" s="637" t="s">
        <v>65</v>
      </c>
      <c r="D35" s="816">
        <f t="shared" si="1"/>
        <v>0</v>
      </c>
      <c r="E35" s="821">
        <f>'[10]Раз.пос.Пр.19-23    '!E35+'[10]Уточнение Пр.1-24-Пр.19-23'!E35</f>
        <v>0</v>
      </c>
      <c r="F35" s="821">
        <v>0</v>
      </c>
      <c r="G35" s="821">
        <f>'[10]Раз.пос.Пр.19-23    '!G35+'[10]Уточнение Пр.1-24-Пр.19-23'!G35</f>
        <v>0</v>
      </c>
      <c r="H35" s="821">
        <f>'[10]Раз.пос.Пр.19-23    '!H35+'[10]Уточнение Пр.1-24-Пр.19-23'!H35</f>
        <v>0</v>
      </c>
      <c r="I35" s="821">
        <f>'[10]Раз.пос.Пр.19-23    '!I35+'[10]Уточнение Пр.1-24-Пр.19-23'!I35</f>
        <v>0</v>
      </c>
      <c r="J35" s="821">
        <f>'[10]Раз.пос.Пр.19-23    '!J35+'[10]Уточнение Пр.1-24-Пр.19-23'!J35</f>
        <v>0</v>
      </c>
      <c r="K35" s="816">
        <f t="shared" si="4"/>
        <v>0</v>
      </c>
      <c r="L35" s="821">
        <f>'[10]Раз.пос.Пр.19-23    '!L35+'[10]Уточнение Пр.1-24-Пр.19-23'!L35</f>
        <v>0</v>
      </c>
      <c r="M35" s="821">
        <f>'[10]Раз.пос.Пр.19-23    '!M35+'[10]Уточнение Пр.1-24-Пр.19-23'!M35</f>
        <v>0</v>
      </c>
      <c r="N35" s="821">
        <f>'[10]Раз.пос.Пр.19-23    '!N35+'[10]Уточнение Пр.1-24-Пр.19-23'!N35</f>
        <v>0</v>
      </c>
      <c r="Q35" s="820"/>
    </row>
    <row r="36" spans="1:17" x14ac:dyDescent="0.2">
      <c r="A36" s="632">
        <v>26</v>
      </c>
      <c r="B36" s="633" t="s">
        <v>66</v>
      </c>
      <c r="C36" s="32" t="s">
        <v>67</v>
      </c>
      <c r="D36" s="816">
        <f t="shared" si="1"/>
        <v>81135</v>
      </c>
      <c r="E36" s="821">
        <f>'[10]Раз.пос.Пр.19-23    '!E36+'[10]Уточнение Пр.1-24-Пр.19-23'!E36</f>
        <v>0</v>
      </c>
      <c r="F36" s="821">
        <v>0</v>
      </c>
      <c r="G36" s="821">
        <f>'[10]Раз.пос.Пр.19-23    '!G36+'[10]Уточнение Пр.1-24-Пр.19-23'!G36</f>
        <v>40240</v>
      </c>
      <c r="H36" s="821">
        <f>'[10]Раз.пос.Пр.19-23    '!H36+'[10]Уточнение Пр.1-24-Пр.19-23'!H36</f>
        <v>36012</v>
      </c>
      <c r="I36" s="821">
        <f>'[10]Раз.пос.Пр.19-23    '!I36+'[10]Уточнение Пр.1-24-Пр.19-23'!I36</f>
        <v>2120</v>
      </c>
      <c r="J36" s="821">
        <f>'[10]Раз.пос.Пр.19-23    '!J36+'[10]Уточнение Пр.1-24-Пр.19-23'!J36</f>
        <v>944</v>
      </c>
      <c r="K36" s="816">
        <f t="shared" si="4"/>
        <v>1819</v>
      </c>
      <c r="L36" s="821">
        <f>'[10]Раз.пос.Пр.19-23    '!L36+'[10]Уточнение Пр.1-24-Пр.19-23'!L36</f>
        <v>0</v>
      </c>
      <c r="M36" s="821">
        <f>'[10]Раз.пос.Пр.19-23    '!M36+'[10]Уточнение Пр.1-24-Пр.19-23'!M36</f>
        <v>1819</v>
      </c>
      <c r="N36" s="821">
        <f>'[10]Раз.пос.Пр.19-23    '!N36+'[10]Уточнение Пр.1-24-Пр.19-23'!N36</f>
        <v>0</v>
      </c>
      <c r="Q36" s="820"/>
    </row>
    <row r="37" spans="1:17" x14ac:dyDescent="0.2">
      <c r="A37" s="639">
        <v>27</v>
      </c>
      <c r="B37" s="636" t="s">
        <v>68</v>
      </c>
      <c r="C37" s="637" t="s">
        <v>69</v>
      </c>
      <c r="D37" s="816">
        <f t="shared" si="1"/>
        <v>27261</v>
      </c>
      <c r="E37" s="821">
        <f>'[10]Раз.пос.Пр.19-23    '!E37+'[10]Уточнение Пр.1-24-Пр.19-23'!E37</f>
        <v>0</v>
      </c>
      <c r="F37" s="821">
        <v>0</v>
      </c>
      <c r="G37" s="821">
        <f>'[10]Раз.пос.Пр.19-23    '!G37+'[10]Уточнение Пр.1-24-Пр.19-23'!G37</f>
        <v>12848</v>
      </c>
      <c r="H37" s="821">
        <f>'[10]Раз.пос.Пр.19-23    '!H37+'[10]Уточнение Пр.1-24-Пр.19-23'!H37</f>
        <v>11858</v>
      </c>
      <c r="I37" s="821">
        <f>'[10]Раз.пос.Пр.19-23    '!I37+'[10]Уточнение Пр.1-24-Пр.19-23'!I37</f>
        <v>689</v>
      </c>
      <c r="J37" s="821">
        <f>'[10]Раз.пос.Пр.19-23    '!J37+'[10]Уточнение Пр.1-24-Пр.19-23'!J37</f>
        <v>217</v>
      </c>
      <c r="K37" s="816">
        <f t="shared" si="4"/>
        <v>1649</v>
      </c>
      <c r="L37" s="821">
        <f>'[10]Раз.пос.Пр.19-23    '!L37+'[10]Уточнение Пр.1-24-Пр.19-23'!L37</f>
        <v>0</v>
      </c>
      <c r="M37" s="821">
        <f>'[10]Раз.пос.Пр.19-23    '!M37+'[10]Уточнение Пр.1-24-Пр.19-23'!M37</f>
        <v>1649</v>
      </c>
      <c r="N37" s="821">
        <f>'[10]Раз.пос.Пр.19-23    '!N37+'[10]Уточнение Пр.1-24-Пр.19-23'!N37</f>
        <v>0</v>
      </c>
      <c r="Q37" s="820"/>
    </row>
    <row r="38" spans="1:17" x14ac:dyDescent="0.2">
      <c r="A38" s="632">
        <v>28</v>
      </c>
      <c r="B38" s="636" t="s">
        <v>70</v>
      </c>
      <c r="C38" s="637" t="s">
        <v>71</v>
      </c>
      <c r="D38" s="816">
        <f t="shared" si="1"/>
        <v>42832</v>
      </c>
      <c r="E38" s="821">
        <f>'[10]Раз.пос.Пр.19-23    '!E38+'[10]Уточнение Пр.1-24-Пр.19-23'!E38</f>
        <v>0</v>
      </c>
      <c r="F38" s="821">
        <v>0</v>
      </c>
      <c r="G38" s="821">
        <f>'[10]Раз.пос.Пр.19-23    '!G38+'[10]Уточнение Пр.1-24-Пр.19-23'!G38</f>
        <v>2180</v>
      </c>
      <c r="H38" s="821">
        <f>'[10]Раз.пос.Пр.19-23    '!H38+'[10]Уточнение Пр.1-24-Пр.19-23'!H38</f>
        <v>38490</v>
      </c>
      <c r="I38" s="821">
        <f>'[10]Раз.пос.Пр.19-23    '!I38+'[10]Уточнение Пр.1-24-Пр.19-23'!I38</f>
        <v>0</v>
      </c>
      <c r="J38" s="821">
        <f>'[10]Раз.пос.Пр.19-23    '!J38+'[10]Уточнение Пр.1-24-Пр.19-23'!J38</f>
        <v>0</v>
      </c>
      <c r="K38" s="816">
        <f t="shared" si="4"/>
        <v>2162</v>
      </c>
      <c r="L38" s="821">
        <f>'[10]Раз.пос.Пр.19-23    '!L38+'[10]Уточнение Пр.1-24-Пр.19-23'!L38</f>
        <v>0</v>
      </c>
      <c r="M38" s="821">
        <f>'[10]Раз.пос.Пр.19-23    '!M38+'[10]Уточнение Пр.1-24-Пр.19-23'!M38</f>
        <v>2162</v>
      </c>
      <c r="N38" s="821">
        <f>'[10]Раз.пос.Пр.19-23    '!N38+'[10]Уточнение Пр.1-24-Пр.19-23'!N38</f>
        <v>0</v>
      </c>
      <c r="Q38" s="820"/>
    </row>
    <row r="39" spans="1:17" x14ac:dyDescent="0.2">
      <c r="A39" s="639">
        <v>29</v>
      </c>
      <c r="B39" s="635" t="s">
        <v>72</v>
      </c>
      <c r="C39" s="32" t="s">
        <v>73</v>
      </c>
      <c r="D39" s="816">
        <f t="shared" si="1"/>
        <v>10786</v>
      </c>
      <c r="E39" s="821">
        <f>'[10]Раз.пос.Пр.19-23    '!E39+'[10]Уточнение Пр.1-24-Пр.19-23'!E39</f>
        <v>10786</v>
      </c>
      <c r="F39" s="821">
        <v>0</v>
      </c>
      <c r="G39" s="821">
        <f>'[10]Раз.пос.Пр.19-23    '!G39+'[10]Уточнение Пр.1-24-Пр.19-23'!G39</f>
        <v>0</v>
      </c>
      <c r="H39" s="821">
        <f>'[10]Раз.пос.Пр.19-23    '!H39+'[10]Уточнение Пр.1-24-Пр.19-23'!H39</f>
        <v>0</v>
      </c>
      <c r="I39" s="821">
        <f>'[10]Раз.пос.Пр.19-23    '!I39+'[10]Уточнение Пр.1-24-Пр.19-23'!I39</f>
        <v>0</v>
      </c>
      <c r="J39" s="821">
        <f>'[10]Раз.пос.Пр.19-23    '!J39+'[10]Уточнение Пр.1-24-Пр.19-23'!J39</f>
        <v>0</v>
      </c>
      <c r="K39" s="816">
        <f t="shared" si="4"/>
        <v>0</v>
      </c>
      <c r="L39" s="821">
        <f>'[10]Раз.пос.Пр.19-23    '!L39+'[10]Уточнение Пр.1-24-Пр.19-23'!L39</f>
        <v>0</v>
      </c>
      <c r="M39" s="821">
        <f>'[10]Раз.пос.Пр.19-23    '!M39+'[10]Уточнение Пр.1-24-Пр.19-23'!M39</f>
        <v>0</v>
      </c>
      <c r="N39" s="821">
        <f>'[10]Раз.пос.Пр.19-23    '!N39+'[10]Уточнение Пр.1-24-Пр.19-23'!N39</f>
        <v>0</v>
      </c>
      <c r="Q39" s="820"/>
    </row>
    <row r="40" spans="1:17" x14ac:dyDescent="0.2">
      <c r="A40" s="632">
        <v>30</v>
      </c>
      <c r="B40" s="633" t="s">
        <v>74</v>
      </c>
      <c r="C40" s="634" t="s">
        <v>357</v>
      </c>
      <c r="D40" s="816">
        <f t="shared" si="1"/>
        <v>0</v>
      </c>
      <c r="E40" s="821">
        <f>'[10]Раз.пос.Пр.19-23    '!E40+'[10]Уточнение Пр.1-24-Пр.19-23'!E40</f>
        <v>0</v>
      </c>
      <c r="F40" s="821">
        <v>0</v>
      </c>
      <c r="G40" s="821">
        <f>'[10]Раз.пос.Пр.19-23    '!G40+'[10]Уточнение Пр.1-24-Пр.19-23'!G40</f>
        <v>0</v>
      </c>
      <c r="H40" s="821">
        <f>'[10]Раз.пос.Пр.19-23    '!H40+'[10]Уточнение Пр.1-24-Пр.19-23'!H40</f>
        <v>0</v>
      </c>
      <c r="I40" s="821">
        <f>'[10]Раз.пос.Пр.19-23    '!I40+'[10]Уточнение Пр.1-24-Пр.19-23'!I40</f>
        <v>0</v>
      </c>
      <c r="J40" s="821">
        <f>'[10]Раз.пос.Пр.19-23    '!J40+'[10]Уточнение Пр.1-24-Пр.19-23'!J40</f>
        <v>0</v>
      </c>
      <c r="K40" s="816">
        <f t="shared" si="4"/>
        <v>0</v>
      </c>
      <c r="L40" s="821">
        <f>'[10]Раз.пос.Пр.19-23    '!L40+'[10]Уточнение Пр.1-24-Пр.19-23'!L40</f>
        <v>0</v>
      </c>
      <c r="M40" s="821">
        <f>'[10]Раз.пос.Пр.19-23    '!M40+'[10]Уточнение Пр.1-24-Пр.19-23'!M40</f>
        <v>0</v>
      </c>
      <c r="N40" s="821">
        <f>'[10]Раз.пос.Пр.19-23    '!N40+'[10]Уточнение Пр.1-24-Пр.19-23'!N40</f>
        <v>0</v>
      </c>
      <c r="Q40" s="820"/>
    </row>
    <row r="41" spans="1:17" x14ac:dyDescent="0.2">
      <c r="A41" s="639">
        <v>31</v>
      </c>
      <c r="B41" s="636" t="s">
        <v>75</v>
      </c>
      <c r="C41" s="637" t="s">
        <v>76</v>
      </c>
      <c r="D41" s="816">
        <f t="shared" si="1"/>
        <v>5193</v>
      </c>
      <c r="E41" s="821">
        <f>'[10]Раз.пос.Пр.19-23    '!E41+'[10]Уточнение Пр.1-24-Пр.19-23'!E41</f>
        <v>0</v>
      </c>
      <c r="F41" s="821">
        <v>0</v>
      </c>
      <c r="G41" s="821">
        <f>'[10]Раз.пос.Пр.19-23    '!G41+'[10]Уточнение Пр.1-24-Пр.19-23'!G41</f>
        <v>458</v>
      </c>
      <c r="H41" s="821">
        <f>'[10]Раз.пос.Пр.19-23    '!H41+'[10]Уточнение Пр.1-24-Пр.19-23'!H41</f>
        <v>4735</v>
      </c>
      <c r="I41" s="821">
        <f>'[10]Раз.пос.Пр.19-23    '!I41+'[10]Уточнение Пр.1-24-Пр.19-23'!I41</f>
        <v>0</v>
      </c>
      <c r="J41" s="821">
        <f>'[10]Раз.пос.Пр.19-23    '!J41+'[10]Уточнение Пр.1-24-Пр.19-23'!J41</f>
        <v>0</v>
      </c>
      <c r="K41" s="816">
        <f t="shared" si="4"/>
        <v>0</v>
      </c>
      <c r="L41" s="821">
        <f>'[10]Раз.пос.Пр.19-23    '!L41+'[10]Уточнение Пр.1-24-Пр.19-23'!L41</f>
        <v>0</v>
      </c>
      <c r="M41" s="821">
        <f>'[10]Раз.пос.Пр.19-23    '!M41+'[10]Уточнение Пр.1-24-Пр.19-23'!M41</f>
        <v>0</v>
      </c>
      <c r="N41" s="821">
        <f>'[10]Раз.пос.Пр.19-23    '!N41+'[10]Уточнение Пр.1-24-Пр.19-23'!N41</f>
        <v>0</v>
      </c>
      <c r="Q41" s="820"/>
    </row>
    <row r="42" spans="1:17" x14ac:dyDescent="0.2">
      <c r="A42" s="632">
        <v>32</v>
      </c>
      <c r="B42" s="635" t="s">
        <v>77</v>
      </c>
      <c r="C42" s="634" t="s">
        <v>78</v>
      </c>
      <c r="D42" s="816">
        <f t="shared" si="1"/>
        <v>44267</v>
      </c>
      <c r="E42" s="821">
        <f>'[10]Раз.пос.Пр.19-23    '!E42+'[10]Уточнение Пр.1-24-Пр.19-23'!E42</f>
        <v>0</v>
      </c>
      <c r="F42" s="821">
        <v>0</v>
      </c>
      <c r="G42" s="821">
        <f>'[10]Раз.пос.Пр.19-23    '!G42+'[10]Уточнение Пр.1-24-Пр.19-23'!G42</f>
        <v>14166</v>
      </c>
      <c r="H42" s="821">
        <f>'[10]Раз.пос.Пр.19-23    '!H42+'[10]Уточнение Пр.1-24-Пр.19-23'!H42</f>
        <v>28550</v>
      </c>
      <c r="I42" s="821">
        <f>'[10]Раз.пос.Пр.19-23    '!I42+'[10]Уточнение Пр.1-24-Пр.19-23'!I42</f>
        <v>1025</v>
      </c>
      <c r="J42" s="821">
        <f>'[10]Раз.пос.Пр.19-23    '!J42+'[10]Уточнение Пр.1-24-Пр.19-23'!J42</f>
        <v>507</v>
      </c>
      <c r="K42" s="816">
        <f t="shared" si="4"/>
        <v>19</v>
      </c>
      <c r="L42" s="821">
        <f>'[10]Раз.пос.Пр.19-23    '!L42+'[10]Уточнение Пр.1-24-Пр.19-23'!L42</f>
        <v>0</v>
      </c>
      <c r="M42" s="821">
        <f>'[10]Раз.пос.Пр.19-23    '!M42+'[10]Уточнение Пр.1-24-Пр.19-23'!M42</f>
        <v>19</v>
      </c>
      <c r="N42" s="821">
        <f>'[10]Раз.пос.Пр.19-23    '!N42+'[10]Уточнение Пр.1-24-Пр.19-23'!N42</f>
        <v>0</v>
      </c>
      <c r="Q42" s="820"/>
    </row>
    <row r="43" spans="1:17" x14ac:dyDescent="0.2">
      <c r="A43" s="639">
        <v>33</v>
      </c>
      <c r="B43" s="638" t="s">
        <v>79</v>
      </c>
      <c r="C43" s="32" t="s">
        <v>80</v>
      </c>
      <c r="D43" s="816">
        <f t="shared" si="1"/>
        <v>78218</v>
      </c>
      <c r="E43" s="821">
        <f>'[10]Раз.пос.Пр.19-23    '!E43+'[10]Уточнение Пр.1-24-Пр.19-23'!E43</f>
        <v>0</v>
      </c>
      <c r="F43" s="821">
        <v>0</v>
      </c>
      <c r="G43" s="821">
        <f>'[10]Раз.пос.Пр.19-23    '!G43+'[10]Уточнение Пр.1-24-Пр.19-23'!G43</f>
        <v>21949</v>
      </c>
      <c r="H43" s="821">
        <f>'[10]Раз.пос.Пр.19-23    '!H43+'[10]Уточнение Пр.1-24-Пр.19-23'!H43</f>
        <v>54505</v>
      </c>
      <c r="I43" s="821">
        <f>'[10]Раз.пос.Пр.19-23    '!I43+'[10]Уточнение Пр.1-24-Пр.19-23'!I43</f>
        <v>1025</v>
      </c>
      <c r="J43" s="821">
        <f>'[10]Раз.пос.Пр.19-23    '!J43+'[10]Уточнение Пр.1-24-Пр.19-23'!J43</f>
        <v>439</v>
      </c>
      <c r="K43" s="816">
        <f t="shared" si="4"/>
        <v>300</v>
      </c>
      <c r="L43" s="821">
        <f>'[10]Раз.пос.Пр.19-23    '!L43+'[10]Уточнение Пр.1-24-Пр.19-23'!L43</f>
        <v>0</v>
      </c>
      <c r="M43" s="821">
        <f>'[10]Раз.пос.Пр.19-23    '!M43+'[10]Уточнение Пр.1-24-Пр.19-23'!M43</f>
        <v>300</v>
      </c>
      <c r="N43" s="821">
        <f>'[10]Раз.пос.Пр.19-23    '!N43+'[10]Уточнение Пр.1-24-Пр.19-23'!N43</f>
        <v>0</v>
      </c>
      <c r="Q43" s="820"/>
    </row>
    <row r="44" spans="1:17" x14ac:dyDescent="0.2">
      <c r="A44" s="632">
        <v>34</v>
      </c>
      <c r="B44" s="635" t="s">
        <v>81</v>
      </c>
      <c r="C44" s="634" t="s">
        <v>82</v>
      </c>
      <c r="D44" s="816">
        <f t="shared" si="1"/>
        <v>12837</v>
      </c>
      <c r="E44" s="821">
        <f>'[10]Раз.пос.Пр.19-23    '!E44+'[10]Уточнение Пр.1-24-Пр.19-23'!E44</f>
        <v>0</v>
      </c>
      <c r="F44" s="821">
        <v>0</v>
      </c>
      <c r="G44" s="821">
        <f>'[10]Раз.пос.Пр.19-23    '!G44+'[10]Уточнение Пр.1-24-Пр.19-23'!G44</f>
        <v>1629</v>
      </c>
      <c r="H44" s="821">
        <f>'[10]Раз.пос.Пр.19-23    '!H44+'[10]Уточнение Пр.1-24-Пр.19-23'!H44</f>
        <v>11208</v>
      </c>
      <c r="I44" s="821">
        <f>'[10]Раз.пос.Пр.19-23    '!I44+'[10]Уточнение Пр.1-24-Пр.19-23'!I44</f>
        <v>0</v>
      </c>
      <c r="J44" s="821">
        <f>'[10]Раз.пос.Пр.19-23    '!J44+'[10]Уточнение Пр.1-24-Пр.19-23'!J44</f>
        <v>0</v>
      </c>
      <c r="K44" s="816">
        <f t="shared" si="4"/>
        <v>0</v>
      </c>
      <c r="L44" s="821">
        <f>'[10]Раз.пос.Пр.19-23    '!L44+'[10]Уточнение Пр.1-24-Пр.19-23'!L44</f>
        <v>0</v>
      </c>
      <c r="M44" s="821">
        <f>'[10]Раз.пос.Пр.19-23    '!M44+'[10]Уточнение Пр.1-24-Пр.19-23'!M44</f>
        <v>0</v>
      </c>
      <c r="N44" s="821">
        <f>'[10]Раз.пос.Пр.19-23    '!N44+'[10]Уточнение Пр.1-24-Пр.19-23'!N44</f>
        <v>0</v>
      </c>
      <c r="Q44" s="820"/>
    </row>
    <row r="45" spans="1:17" x14ac:dyDescent="0.2">
      <c r="A45" s="639">
        <v>35</v>
      </c>
      <c r="B45" s="636" t="s">
        <v>83</v>
      </c>
      <c r="C45" s="637" t="s">
        <v>84</v>
      </c>
      <c r="D45" s="816">
        <f t="shared" si="1"/>
        <v>40429</v>
      </c>
      <c r="E45" s="821">
        <f>'[10]Раз.пос.Пр.19-23    '!E45+'[10]Уточнение Пр.1-24-Пр.19-23'!E45</f>
        <v>0</v>
      </c>
      <c r="F45" s="821">
        <v>0</v>
      </c>
      <c r="G45" s="821">
        <f>'[10]Раз.пос.Пр.19-23    '!G45+'[10]Уточнение Пр.1-24-Пр.19-23'!G45</f>
        <v>14413</v>
      </c>
      <c r="H45" s="821">
        <f>'[10]Раз.пос.Пр.19-23    '!H45+'[10]Уточнение Пр.1-24-Пр.19-23'!H45</f>
        <v>25934</v>
      </c>
      <c r="I45" s="821">
        <f>'[10]Раз.пос.Пр.19-23    '!I45+'[10]Уточнение Пр.1-24-Пр.19-23'!I45</f>
        <v>82</v>
      </c>
      <c r="J45" s="821">
        <f>'[10]Раз.пос.Пр.19-23    '!J45+'[10]Уточнение Пр.1-24-Пр.19-23'!J45</f>
        <v>0</v>
      </c>
      <c r="K45" s="816">
        <f t="shared" si="4"/>
        <v>0</v>
      </c>
      <c r="L45" s="821">
        <f>'[10]Раз.пос.Пр.19-23    '!L45+'[10]Уточнение Пр.1-24-Пр.19-23'!L45</f>
        <v>0</v>
      </c>
      <c r="M45" s="821">
        <f>'[10]Раз.пос.Пр.19-23    '!M45+'[10]Уточнение Пр.1-24-Пр.19-23'!M45</f>
        <v>0</v>
      </c>
      <c r="N45" s="821">
        <f>'[10]Раз.пос.Пр.19-23    '!N45+'[10]Уточнение Пр.1-24-Пр.19-23'!N45</f>
        <v>0</v>
      </c>
      <c r="Q45" s="820"/>
    </row>
    <row r="46" spans="1:17" x14ac:dyDescent="0.2">
      <c r="A46" s="632">
        <v>36</v>
      </c>
      <c r="B46" s="635" t="s">
        <v>85</v>
      </c>
      <c r="C46" s="634" t="s">
        <v>86</v>
      </c>
      <c r="D46" s="816">
        <f t="shared" si="1"/>
        <v>23286</v>
      </c>
      <c r="E46" s="821">
        <f>'[10]Раз.пос.Пр.19-23    '!E46+'[10]Уточнение Пр.1-24-Пр.19-23'!E46</f>
        <v>0</v>
      </c>
      <c r="F46" s="821">
        <v>0</v>
      </c>
      <c r="G46" s="821">
        <f>'[10]Раз.пос.Пр.19-23    '!G46+'[10]Уточнение Пр.1-24-Пр.19-23'!G46</f>
        <v>3269</v>
      </c>
      <c r="H46" s="821">
        <f>'[10]Раз.пос.Пр.19-23    '!H46+'[10]Уточнение Пр.1-24-Пр.19-23'!H46</f>
        <v>20017</v>
      </c>
      <c r="I46" s="821">
        <f>'[10]Раз.пос.Пр.19-23    '!I46+'[10]Уточнение Пр.1-24-Пр.19-23'!I46</f>
        <v>0</v>
      </c>
      <c r="J46" s="821">
        <f>'[10]Раз.пос.Пр.19-23    '!J46+'[10]Уточнение Пр.1-24-Пр.19-23'!J46</f>
        <v>0</v>
      </c>
      <c r="K46" s="816">
        <f t="shared" si="4"/>
        <v>0</v>
      </c>
      <c r="L46" s="821">
        <f>'[10]Раз.пос.Пр.19-23    '!L46+'[10]Уточнение Пр.1-24-Пр.19-23'!L46</f>
        <v>0</v>
      </c>
      <c r="M46" s="821">
        <f>'[10]Раз.пос.Пр.19-23    '!M46+'[10]Уточнение Пр.1-24-Пр.19-23'!M46</f>
        <v>0</v>
      </c>
      <c r="N46" s="821">
        <f>'[10]Раз.пос.Пр.19-23    '!N46+'[10]Уточнение Пр.1-24-Пр.19-23'!N46</f>
        <v>0</v>
      </c>
      <c r="Q46" s="820"/>
    </row>
    <row r="47" spans="1:17" x14ac:dyDescent="0.2">
      <c r="A47" s="639">
        <v>37</v>
      </c>
      <c r="B47" s="633" t="s">
        <v>87</v>
      </c>
      <c r="C47" s="634" t="s">
        <v>88</v>
      </c>
      <c r="D47" s="816">
        <f t="shared" si="1"/>
        <v>65782</v>
      </c>
      <c r="E47" s="821">
        <f>'[10]Раз.пос.Пр.19-23    '!E47+'[10]Уточнение Пр.1-24-Пр.19-23'!E47</f>
        <v>0</v>
      </c>
      <c r="F47" s="821">
        <v>0</v>
      </c>
      <c r="G47" s="821">
        <f>'[10]Раз.пос.Пр.19-23    '!G47+'[10]Уточнение Пр.1-24-Пр.19-23'!G47</f>
        <v>12286</v>
      </c>
      <c r="H47" s="821">
        <f>'[10]Раз.пос.Пр.19-23    '!H47+'[10]Уточнение Пр.1-24-Пр.19-23'!H47</f>
        <v>52032</v>
      </c>
      <c r="I47" s="821">
        <f>'[10]Раз.пос.Пр.19-23    '!I47+'[10]Уточнение Пр.1-24-Пр.19-23'!I47</f>
        <v>1025</v>
      </c>
      <c r="J47" s="821">
        <f>'[10]Раз.пос.Пр.19-23    '!J47+'[10]Уточнение Пр.1-24-Пр.19-23'!J47</f>
        <v>439</v>
      </c>
      <c r="K47" s="816">
        <f t="shared" si="4"/>
        <v>0</v>
      </c>
      <c r="L47" s="821">
        <f>'[10]Раз.пос.Пр.19-23    '!L47+'[10]Уточнение Пр.1-24-Пр.19-23'!L47</f>
        <v>0</v>
      </c>
      <c r="M47" s="821">
        <f>'[10]Раз.пос.Пр.19-23    '!M47+'[10]Уточнение Пр.1-24-Пр.19-23'!M47</f>
        <v>0</v>
      </c>
      <c r="N47" s="821">
        <f>'[10]Раз.пос.Пр.19-23    '!N47+'[10]Уточнение Пр.1-24-Пр.19-23'!N47</f>
        <v>0</v>
      </c>
      <c r="Q47" s="820"/>
    </row>
    <row r="48" spans="1:17" x14ac:dyDescent="0.2">
      <c r="A48" s="632">
        <v>38</v>
      </c>
      <c r="B48" s="640" t="s">
        <v>89</v>
      </c>
      <c r="C48" s="641" t="s">
        <v>90</v>
      </c>
      <c r="D48" s="816">
        <f t="shared" si="1"/>
        <v>10910</v>
      </c>
      <c r="E48" s="821">
        <f>'[10]Раз.пос.Пр.19-23    '!E48+'[10]Уточнение Пр.1-24-Пр.19-23'!E48</f>
        <v>0</v>
      </c>
      <c r="F48" s="821">
        <v>0</v>
      </c>
      <c r="G48" s="821">
        <f>'[10]Раз.пос.Пр.19-23    '!G48+'[10]Уточнение Пр.1-24-Пр.19-23'!G48</f>
        <v>3542</v>
      </c>
      <c r="H48" s="821">
        <f>'[10]Раз.пос.Пр.19-23    '!H48+'[10]Уточнение Пр.1-24-Пр.19-23'!H48</f>
        <v>7368</v>
      </c>
      <c r="I48" s="821">
        <f>'[10]Раз.пос.Пр.19-23    '!I48+'[10]Уточнение Пр.1-24-Пр.19-23'!I48</f>
        <v>0</v>
      </c>
      <c r="J48" s="821">
        <f>'[10]Раз.пос.Пр.19-23    '!J48+'[10]Уточнение Пр.1-24-Пр.19-23'!J48</f>
        <v>0</v>
      </c>
      <c r="K48" s="816">
        <f t="shared" si="4"/>
        <v>0</v>
      </c>
      <c r="L48" s="821">
        <f>'[10]Раз.пос.Пр.19-23    '!L48+'[10]Уточнение Пр.1-24-Пр.19-23'!L48</f>
        <v>0</v>
      </c>
      <c r="M48" s="821">
        <f>'[10]Раз.пос.Пр.19-23    '!M48+'[10]Уточнение Пр.1-24-Пр.19-23'!M48</f>
        <v>0</v>
      </c>
      <c r="N48" s="821">
        <f>'[10]Раз.пос.Пр.19-23    '!N48+'[10]Уточнение Пр.1-24-Пр.19-23'!N48</f>
        <v>0</v>
      </c>
      <c r="Q48" s="820"/>
    </row>
    <row r="49" spans="1:17" x14ac:dyDescent="0.2">
      <c r="A49" s="639">
        <v>39</v>
      </c>
      <c r="B49" s="633" t="s">
        <v>91</v>
      </c>
      <c r="C49" s="634" t="s">
        <v>92</v>
      </c>
      <c r="D49" s="816">
        <f t="shared" si="1"/>
        <v>9052</v>
      </c>
      <c r="E49" s="821">
        <f>'[10]Раз.пос.Пр.19-23    '!E49+'[10]Уточнение Пр.1-24-Пр.19-23'!E49</f>
        <v>0</v>
      </c>
      <c r="F49" s="821">
        <v>0</v>
      </c>
      <c r="G49" s="821">
        <f>'[10]Раз.пос.Пр.19-23    '!G49+'[10]Уточнение Пр.1-24-Пр.19-23'!G49</f>
        <v>924</v>
      </c>
      <c r="H49" s="821">
        <f>'[10]Раз.пос.Пр.19-23    '!H49+'[10]Уточнение Пр.1-24-Пр.19-23'!H49</f>
        <v>8128</v>
      </c>
      <c r="I49" s="821">
        <f>'[10]Раз.пос.Пр.19-23    '!I49+'[10]Уточнение Пр.1-24-Пр.19-23'!I49</f>
        <v>0</v>
      </c>
      <c r="J49" s="821">
        <f>'[10]Раз.пос.Пр.19-23    '!J49+'[10]Уточнение Пр.1-24-Пр.19-23'!J49</f>
        <v>0</v>
      </c>
      <c r="K49" s="816">
        <f t="shared" si="4"/>
        <v>0</v>
      </c>
      <c r="L49" s="821">
        <f>'[10]Раз.пос.Пр.19-23    '!L49+'[10]Уточнение Пр.1-24-Пр.19-23'!L49</f>
        <v>0</v>
      </c>
      <c r="M49" s="821">
        <f>'[10]Раз.пос.Пр.19-23    '!M49+'[10]Уточнение Пр.1-24-Пр.19-23'!M49</f>
        <v>0</v>
      </c>
      <c r="N49" s="821">
        <f>'[10]Раз.пос.Пр.19-23    '!N49+'[10]Уточнение Пр.1-24-Пр.19-23'!N49</f>
        <v>0</v>
      </c>
      <c r="Q49" s="820"/>
    </row>
    <row r="50" spans="1:17" x14ac:dyDescent="0.2">
      <c r="A50" s="632">
        <v>40</v>
      </c>
      <c r="B50" s="638" t="s">
        <v>93</v>
      </c>
      <c r="C50" s="32" t="s">
        <v>94</v>
      </c>
      <c r="D50" s="816">
        <f t="shared" si="1"/>
        <v>17717</v>
      </c>
      <c r="E50" s="821">
        <f>'[10]Раз.пос.Пр.19-23    '!E50+'[10]Уточнение Пр.1-24-Пр.19-23'!E50</f>
        <v>0</v>
      </c>
      <c r="F50" s="821">
        <v>0</v>
      </c>
      <c r="G50" s="821">
        <f>'[10]Раз.пос.Пр.19-23    '!G50+'[10]Уточнение Пр.1-24-Пр.19-23'!G50</f>
        <v>1963</v>
      </c>
      <c r="H50" s="821">
        <f>'[10]Раз.пос.Пр.19-23    '!H50+'[10]Уточнение Пр.1-24-Пр.19-23'!H50</f>
        <v>15650</v>
      </c>
      <c r="I50" s="821">
        <f>'[10]Раз.пос.Пр.19-23    '!I50+'[10]Уточнение Пр.1-24-Пр.19-23'!I50</f>
        <v>73</v>
      </c>
      <c r="J50" s="821">
        <f>'[10]Раз.пос.Пр.19-23    '!J50+'[10]Уточнение Пр.1-24-Пр.19-23'!J50</f>
        <v>31</v>
      </c>
      <c r="K50" s="816">
        <f t="shared" si="4"/>
        <v>0</v>
      </c>
      <c r="L50" s="821">
        <f>'[10]Раз.пос.Пр.19-23    '!L50+'[10]Уточнение Пр.1-24-Пр.19-23'!L50</f>
        <v>0</v>
      </c>
      <c r="M50" s="821">
        <f>'[10]Раз.пос.Пр.19-23    '!M50+'[10]Уточнение Пр.1-24-Пр.19-23'!M50</f>
        <v>0</v>
      </c>
      <c r="N50" s="821">
        <f>'[10]Раз.пос.Пр.19-23    '!N50+'[10]Уточнение Пр.1-24-Пр.19-23'!N50</f>
        <v>0</v>
      </c>
      <c r="Q50" s="820"/>
    </row>
    <row r="51" spans="1:17" x14ac:dyDescent="0.2">
      <c r="A51" s="639">
        <v>41</v>
      </c>
      <c r="B51" s="636" t="s">
        <v>95</v>
      </c>
      <c r="C51" s="637" t="s">
        <v>96</v>
      </c>
      <c r="D51" s="816">
        <f t="shared" si="1"/>
        <v>7628</v>
      </c>
      <c r="E51" s="821">
        <f>'[10]Раз.пос.Пр.19-23    '!E51+'[10]Уточнение Пр.1-24-Пр.19-23'!E51</f>
        <v>0</v>
      </c>
      <c r="F51" s="821">
        <v>0</v>
      </c>
      <c r="G51" s="821">
        <f>'[10]Раз.пос.Пр.19-23    '!G51+'[10]Уточнение Пр.1-24-Пр.19-23'!G51</f>
        <v>1576</v>
      </c>
      <c r="H51" s="821">
        <f>'[10]Раз.пос.Пр.19-23    '!H51+'[10]Уточнение Пр.1-24-Пр.19-23'!H51</f>
        <v>6052</v>
      </c>
      <c r="I51" s="821">
        <f>'[10]Раз.пос.Пр.19-23    '!I51+'[10]Уточнение Пр.1-24-Пр.19-23'!I51</f>
        <v>0</v>
      </c>
      <c r="J51" s="821">
        <f>'[10]Раз.пос.Пр.19-23    '!J51+'[10]Уточнение Пр.1-24-Пр.19-23'!J51</f>
        <v>0</v>
      </c>
      <c r="K51" s="816">
        <f t="shared" si="4"/>
        <v>0</v>
      </c>
      <c r="L51" s="821">
        <f>'[10]Раз.пос.Пр.19-23    '!L51+'[10]Уточнение Пр.1-24-Пр.19-23'!L51</f>
        <v>0</v>
      </c>
      <c r="M51" s="821">
        <f>'[10]Раз.пос.Пр.19-23    '!M51+'[10]Уточнение Пр.1-24-Пр.19-23'!M51</f>
        <v>0</v>
      </c>
      <c r="N51" s="821">
        <f>'[10]Раз.пос.Пр.19-23    '!N51+'[10]Уточнение Пр.1-24-Пр.19-23'!N51</f>
        <v>0</v>
      </c>
      <c r="Q51" s="820"/>
    </row>
    <row r="52" spans="1:17" x14ac:dyDescent="0.2">
      <c r="A52" s="632">
        <v>42</v>
      </c>
      <c r="B52" s="635" t="s">
        <v>97</v>
      </c>
      <c r="C52" s="634" t="s">
        <v>98</v>
      </c>
      <c r="D52" s="816">
        <f t="shared" si="1"/>
        <v>9260</v>
      </c>
      <c r="E52" s="821">
        <f>'[10]Раз.пос.Пр.19-23    '!E52+'[10]Уточнение Пр.1-24-Пр.19-23'!E52</f>
        <v>0</v>
      </c>
      <c r="F52" s="821">
        <v>0</v>
      </c>
      <c r="G52" s="821">
        <f>'[10]Раз.пос.Пр.19-23    '!G52+'[10]Уточнение Пр.1-24-Пр.19-23'!G52</f>
        <v>222</v>
      </c>
      <c r="H52" s="821">
        <f>'[10]Раз.пос.Пр.19-23    '!H52+'[10]Уточнение Пр.1-24-Пр.19-23'!H52</f>
        <v>9038</v>
      </c>
      <c r="I52" s="821">
        <f>'[10]Раз.пос.Пр.19-23    '!I52+'[10]Уточнение Пр.1-24-Пр.19-23'!I52</f>
        <v>0</v>
      </c>
      <c r="J52" s="821">
        <f>'[10]Раз.пос.Пр.19-23    '!J52+'[10]Уточнение Пр.1-24-Пр.19-23'!J52</f>
        <v>0</v>
      </c>
      <c r="K52" s="816">
        <f t="shared" si="4"/>
        <v>0</v>
      </c>
      <c r="L52" s="821">
        <f>'[10]Раз.пос.Пр.19-23    '!L52+'[10]Уточнение Пр.1-24-Пр.19-23'!L52</f>
        <v>0</v>
      </c>
      <c r="M52" s="821">
        <f>'[10]Раз.пос.Пр.19-23    '!M52+'[10]Уточнение Пр.1-24-Пр.19-23'!M52</f>
        <v>0</v>
      </c>
      <c r="N52" s="821">
        <f>'[10]Раз.пос.Пр.19-23    '!N52+'[10]Уточнение Пр.1-24-Пр.19-23'!N52</f>
        <v>0</v>
      </c>
      <c r="Q52" s="820"/>
    </row>
    <row r="53" spans="1:17" x14ac:dyDescent="0.2">
      <c r="A53" s="639">
        <v>43</v>
      </c>
      <c r="B53" s="636" t="s">
        <v>99</v>
      </c>
      <c r="C53" s="637" t="s">
        <v>100</v>
      </c>
      <c r="D53" s="816">
        <f t="shared" si="1"/>
        <v>68815</v>
      </c>
      <c r="E53" s="821">
        <f>'[10]Раз.пос.Пр.19-23    '!E53+'[10]Уточнение Пр.1-24-Пр.19-23'!E53</f>
        <v>0</v>
      </c>
      <c r="F53" s="821">
        <v>0</v>
      </c>
      <c r="G53" s="821">
        <f>'[10]Раз.пос.Пр.19-23    '!G53+'[10]Уточнение Пр.1-24-Пр.19-23'!G53</f>
        <v>9828</v>
      </c>
      <c r="H53" s="821">
        <f>'[10]Раз.пос.Пр.19-23    '!H53+'[10]Уточнение Пр.1-24-Пр.19-23'!H53</f>
        <v>57448</v>
      </c>
      <c r="I53" s="821">
        <f>'[10]Раз.пос.Пр.19-23    '!I53+'[10]Уточнение Пр.1-24-Пр.19-23'!I53</f>
        <v>978</v>
      </c>
      <c r="J53" s="821">
        <f>'[10]Раз.пос.Пр.19-23    '!J53+'[10]Уточнение Пр.1-24-Пр.19-23'!J53</f>
        <v>486</v>
      </c>
      <c r="K53" s="816">
        <f t="shared" si="4"/>
        <v>75</v>
      </c>
      <c r="L53" s="821">
        <f>'[10]Раз.пос.Пр.19-23    '!L53+'[10]Уточнение Пр.1-24-Пр.19-23'!L53</f>
        <v>0</v>
      </c>
      <c r="M53" s="821">
        <f>'[10]Раз.пос.Пр.19-23    '!M53+'[10]Уточнение Пр.1-24-Пр.19-23'!M53</f>
        <v>75</v>
      </c>
      <c r="N53" s="821">
        <f>'[10]Раз.пос.Пр.19-23    '!N53+'[10]Уточнение Пр.1-24-Пр.19-23'!N53</f>
        <v>0</v>
      </c>
      <c r="Q53" s="820"/>
    </row>
    <row r="54" spans="1:17" x14ac:dyDescent="0.2">
      <c r="A54" s="632">
        <v>44</v>
      </c>
      <c r="B54" s="633" t="s">
        <v>101</v>
      </c>
      <c r="C54" s="634" t="s">
        <v>102</v>
      </c>
      <c r="D54" s="816">
        <f t="shared" si="1"/>
        <v>16456</v>
      </c>
      <c r="E54" s="821">
        <f>'[10]Раз.пос.Пр.19-23    '!E54+'[10]Уточнение Пр.1-24-Пр.19-23'!E54</f>
        <v>0</v>
      </c>
      <c r="F54" s="821">
        <v>0</v>
      </c>
      <c r="G54" s="821">
        <f>'[10]Раз.пос.Пр.19-23    '!G54+'[10]Уточнение Пр.1-24-Пр.19-23'!G54</f>
        <v>1413</v>
      </c>
      <c r="H54" s="821">
        <f>'[10]Раз.пос.Пр.19-23    '!H54+'[10]Уточнение Пр.1-24-Пр.19-23'!H54</f>
        <v>15043</v>
      </c>
      <c r="I54" s="821">
        <f>'[10]Раз.пос.Пр.19-23    '!I54+'[10]Уточнение Пр.1-24-Пр.19-23'!I54</f>
        <v>0</v>
      </c>
      <c r="J54" s="821">
        <f>'[10]Раз.пос.Пр.19-23    '!J54+'[10]Уточнение Пр.1-24-Пр.19-23'!J54</f>
        <v>0</v>
      </c>
      <c r="K54" s="816">
        <f t="shared" si="4"/>
        <v>0</v>
      </c>
      <c r="L54" s="821">
        <f>'[10]Раз.пос.Пр.19-23    '!L54+'[10]Уточнение Пр.1-24-Пр.19-23'!L54</f>
        <v>0</v>
      </c>
      <c r="M54" s="821">
        <f>'[10]Раз.пос.Пр.19-23    '!M54+'[10]Уточнение Пр.1-24-Пр.19-23'!M54</f>
        <v>0</v>
      </c>
      <c r="N54" s="821">
        <f>'[10]Раз.пос.Пр.19-23    '!N54+'[10]Уточнение Пр.1-24-Пр.19-23'!N54</f>
        <v>0</v>
      </c>
      <c r="Q54" s="820"/>
    </row>
    <row r="55" spans="1:17" x14ac:dyDescent="0.2">
      <c r="A55" s="639">
        <v>45</v>
      </c>
      <c r="B55" s="633" t="s">
        <v>103</v>
      </c>
      <c r="C55" s="634" t="s">
        <v>104</v>
      </c>
      <c r="D55" s="816">
        <f t="shared" si="1"/>
        <v>71430</v>
      </c>
      <c r="E55" s="821">
        <f>'[10]Раз.пос.Пр.19-23    '!E55+'[10]Уточнение Пр.1-24-Пр.19-23'!E55</f>
        <v>0</v>
      </c>
      <c r="F55" s="821">
        <v>0</v>
      </c>
      <c r="G55" s="821">
        <f>'[10]Раз.пос.Пр.19-23    '!G55+'[10]Уточнение Пр.1-24-Пр.19-23'!G55</f>
        <v>13818</v>
      </c>
      <c r="H55" s="821">
        <f>'[10]Раз.пос.Пр.19-23    '!H55+'[10]Уточнение Пр.1-24-Пр.19-23'!H55</f>
        <v>56183</v>
      </c>
      <c r="I55" s="821">
        <f>'[10]Раз.пос.Пр.19-23    '!I55+'[10]Уточнение Пр.1-24-Пр.19-23'!I55</f>
        <v>1025</v>
      </c>
      <c r="J55" s="821">
        <f>'[10]Раз.пос.Пр.19-23    '!J55+'[10]Уточнение Пр.1-24-Пр.19-23'!J55</f>
        <v>404</v>
      </c>
      <c r="K55" s="816">
        <f t="shared" si="4"/>
        <v>0</v>
      </c>
      <c r="L55" s="821">
        <f>'[10]Раз.пос.Пр.19-23    '!L55+'[10]Уточнение Пр.1-24-Пр.19-23'!L55</f>
        <v>0</v>
      </c>
      <c r="M55" s="821">
        <f>'[10]Раз.пос.Пр.19-23    '!M55+'[10]Уточнение Пр.1-24-Пр.19-23'!M55</f>
        <v>0</v>
      </c>
      <c r="N55" s="821">
        <f>'[10]Раз.пос.Пр.19-23    '!N55+'[10]Уточнение Пр.1-24-Пр.19-23'!N55</f>
        <v>0</v>
      </c>
      <c r="Q55" s="820"/>
    </row>
    <row r="56" spans="1:17" x14ac:dyDescent="0.2">
      <c r="A56" s="632">
        <v>46</v>
      </c>
      <c r="B56" s="636" t="s">
        <v>105</v>
      </c>
      <c r="C56" s="637" t="s">
        <v>106</v>
      </c>
      <c r="D56" s="816">
        <f t="shared" si="1"/>
        <v>11768</v>
      </c>
      <c r="E56" s="821">
        <f>'[10]Раз.пос.Пр.19-23    '!E56+'[10]Уточнение Пр.1-24-Пр.19-23'!E56</f>
        <v>0</v>
      </c>
      <c r="F56" s="821">
        <v>0</v>
      </c>
      <c r="G56" s="821">
        <f>'[10]Раз.пос.Пр.19-23    '!G56+'[10]Уточнение Пр.1-24-Пр.19-23'!G56</f>
        <v>1684</v>
      </c>
      <c r="H56" s="821">
        <f>'[10]Раз.пос.Пр.19-23    '!H56+'[10]Уточнение Пр.1-24-Пр.19-23'!H56</f>
        <v>10084</v>
      </c>
      <c r="I56" s="821">
        <f>'[10]Раз.пос.Пр.19-23    '!I56+'[10]Уточнение Пр.1-24-Пр.19-23'!I56</f>
        <v>0</v>
      </c>
      <c r="J56" s="821">
        <f>'[10]Раз.пос.Пр.19-23    '!J56+'[10]Уточнение Пр.1-24-Пр.19-23'!J56</f>
        <v>0</v>
      </c>
      <c r="K56" s="816">
        <f t="shared" si="4"/>
        <v>0</v>
      </c>
      <c r="L56" s="821">
        <f>'[10]Раз.пос.Пр.19-23    '!L56+'[10]Уточнение Пр.1-24-Пр.19-23'!L56</f>
        <v>0</v>
      </c>
      <c r="M56" s="821">
        <f>'[10]Раз.пос.Пр.19-23    '!M56+'[10]Уточнение Пр.1-24-Пр.19-23'!M56</f>
        <v>0</v>
      </c>
      <c r="N56" s="821">
        <f>'[10]Раз.пос.Пр.19-23    '!N56+'[10]Уточнение Пр.1-24-Пр.19-23'!N56</f>
        <v>0</v>
      </c>
      <c r="Q56" s="820"/>
    </row>
    <row r="57" spans="1:17" x14ac:dyDescent="0.2">
      <c r="A57" s="639">
        <v>47</v>
      </c>
      <c r="B57" s="636" t="s">
        <v>107</v>
      </c>
      <c r="C57" s="637" t="s">
        <v>108</v>
      </c>
      <c r="D57" s="816">
        <f t="shared" si="1"/>
        <v>14654</v>
      </c>
      <c r="E57" s="821">
        <f>'[10]Раз.пос.Пр.19-23    '!E57+'[10]Уточнение Пр.1-24-Пр.19-23'!E57</f>
        <v>0</v>
      </c>
      <c r="F57" s="821">
        <v>0</v>
      </c>
      <c r="G57" s="821">
        <f>'[10]Раз.пос.Пр.19-23    '!G57+'[10]Уточнение Пр.1-24-Пр.19-23'!G57</f>
        <v>7037</v>
      </c>
      <c r="H57" s="821">
        <f>'[10]Раз.пос.Пр.19-23    '!H57+'[10]Уточнение Пр.1-24-Пр.19-23'!H57</f>
        <v>7453</v>
      </c>
      <c r="I57" s="821">
        <f>'[10]Раз.пос.Пр.19-23    '!I57+'[10]Уточнение Пр.1-24-Пр.19-23'!I57</f>
        <v>114</v>
      </c>
      <c r="J57" s="821">
        <f>'[10]Раз.пос.Пр.19-23    '!J57+'[10]Уточнение Пр.1-24-Пр.19-23'!J57</f>
        <v>50</v>
      </c>
      <c r="K57" s="816">
        <f t="shared" si="4"/>
        <v>0</v>
      </c>
      <c r="L57" s="821">
        <f>'[10]Раз.пос.Пр.19-23    '!L57+'[10]Уточнение Пр.1-24-Пр.19-23'!L57</f>
        <v>0</v>
      </c>
      <c r="M57" s="821">
        <f>'[10]Раз.пос.Пр.19-23    '!M57+'[10]Уточнение Пр.1-24-Пр.19-23'!M57</f>
        <v>0</v>
      </c>
      <c r="N57" s="821">
        <f>'[10]Раз.пос.Пр.19-23    '!N57+'[10]Уточнение Пр.1-24-Пр.19-23'!N57</f>
        <v>0</v>
      </c>
      <c r="Q57" s="820"/>
    </row>
    <row r="58" spans="1:17" x14ac:dyDescent="0.2">
      <c r="A58" s="632">
        <v>48</v>
      </c>
      <c r="B58" s="635" t="s">
        <v>109</v>
      </c>
      <c r="C58" s="634" t="s">
        <v>110</v>
      </c>
      <c r="D58" s="816">
        <f t="shared" si="1"/>
        <v>36755</v>
      </c>
      <c r="E58" s="821">
        <f>'[10]Раз.пос.Пр.19-23    '!E58+'[10]Уточнение Пр.1-24-Пр.19-23'!E58</f>
        <v>0</v>
      </c>
      <c r="F58" s="821">
        <v>0</v>
      </c>
      <c r="G58" s="821">
        <f>'[10]Раз.пос.Пр.19-23    '!G58+'[10]Уточнение Пр.1-24-Пр.19-23'!G58</f>
        <v>6242</v>
      </c>
      <c r="H58" s="821">
        <f>'[10]Раз.пос.Пр.19-23    '!H58+'[10]Уточнение Пр.1-24-Пр.19-23'!H58</f>
        <v>29074</v>
      </c>
      <c r="I58" s="821">
        <f>'[10]Раз.пос.Пр.19-23    '!I58+'[10]Уточнение Пр.1-24-Пр.19-23'!I58</f>
        <v>1019</v>
      </c>
      <c r="J58" s="821">
        <f>'[10]Раз.пос.Пр.19-23    '!J58+'[10]Уточнение Пр.1-24-Пр.19-23'!J58</f>
        <v>420</v>
      </c>
      <c r="K58" s="816">
        <f t="shared" si="4"/>
        <v>0</v>
      </c>
      <c r="L58" s="821">
        <f>'[10]Раз.пос.Пр.19-23    '!L58+'[10]Уточнение Пр.1-24-Пр.19-23'!L58</f>
        <v>0</v>
      </c>
      <c r="M58" s="821">
        <f>'[10]Раз.пос.Пр.19-23    '!M58+'[10]Уточнение Пр.1-24-Пр.19-23'!M58</f>
        <v>0</v>
      </c>
      <c r="N58" s="821">
        <f>'[10]Раз.пос.Пр.19-23    '!N58+'[10]Уточнение Пр.1-24-Пр.19-23'!N58</f>
        <v>0</v>
      </c>
      <c r="Q58" s="820"/>
    </row>
    <row r="59" spans="1:17" x14ac:dyDescent="0.2">
      <c r="A59" s="639">
        <v>49</v>
      </c>
      <c r="B59" s="636" t="s">
        <v>111</v>
      </c>
      <c r="C59" s="637" t="s">
        <v>112</v>
      </c>
      <c r="D59" s="816">
        <f t="shared" si="1"/>
        <v>4066</v>
      </c>
      <c r="E59" s="821">
        <f>'[10]Раз.пос.Пр.19-23    '!E59+'[10]Уточнение Пр.1-24-Пр.19-23'!E59</f>
        <v>0</v>
      </c>
      <c r="F59" s="821">
        <v>0</v>
      </c>
      <c r="G59" s="821">
        <f>'[10]Раз.пос.Пр.19-23    '!G59+'[10]Уточнение Пр.1-24-Пр.19-23'!G59</f>
        <v>809</v>
      </c>
      <c r="H59" s="821">
        <f>'[10]Раз.пос.Пр.19-23    '!H59+'[10]Уточнение Пр.1-24-Пр.19-23'!H59</f>
        <v>3257</v>
      </c>
      <c r="I59" s="821">
        <f>'[10]Раз.пос.Пр.19-23    '!I59+'[10]Уточнение Пр.1-24-Пр.19-23'!I59</f>
        <v>0</v>
      </c>
      <c r="J59" s="821">
        <f>'[10]Раз.пос.Пр.19-23    '!J59+'[10]Уточнение Пр.1-24-Пр.19-23'!J59</f>
        <v>0</v>
      </c>
      <c r="K59" s="816">
        <f t="shared" si="4"/>
        <v>0</v>
      </c>
      <c r="L59" s="821">
        <f>'[10]Раз.пос.Пр.19-23    '!L59+'[10]Уточнение Пр.1-24-Пр.19-23'!L59</f>
        <v>0</v>
      </c>
      <c r="M59" s="821">
        <f>'[10]Раз.пос.Пр.19-23    '!M59+'[10]Уточнение Пр.1-24-Пр.19-23'!M59</f>
        <v>0</v>
      </c>
      <c r="N59" s="821">
        <f>'[10]Раз.пос.Пр.19-23    '!N59+'[10]Уточнение Пр.1-24-Пр.19-23'!N59</f>
        <v>0</v>
      </c>
      <c r="Q59" s="820"/>
    </row>
    <row r="60" spans="1:17" x14ac:dyDescent="0.2">
      <c r="A60" s="632">
        <v>50</v>
      </c>
      <c r="B60" s="635" t="s">
        <v>113</v>
      </c>
      <c r="C60" s="634" t="s">
        <v>114</v>
      </c>
      <c r="D60" s="816">
        <f t="shared" si="1"/>
        <v>15900</v>
      </c>
      <c r="E60" s="821">
        <f>'[10]Раз.пос.Пр.19-23    '!E60+'[10]Уточнение Пр.1-24-Пр.19-23'!E60</f>
        <v>0</v>
      </c>
      <c r="F60" s="821">
        <v>0</v>
      </c>
      <c r="G60" s="821">
        <f>'[10]Раз.пос.Пр.19-23    '!G60+'[10]Уточнение Пр.1-24-Пр.19-23'!G60</f>
        <v>2138</v>
      </c>
      <c r="H60" s="821">
        <f>'[10]Раз.пос.Пр.19-23    '!H60+'[10]Уточнение Пр.1-24-Пр.19-23'!H60</f>
        <v>12298</v>
      </c>
      <c r="I60" s="821">
        <f>'[10]Раз.пос.Пр.19-23    '!I60+'[10]Уточнение Пр.1-24-Пр.19-23'!I60</f>
        <v>1025</v>
      </c>
      <c r="J60" s="821">
        <f>'[10]Раз.пос.Пр.19-23    '!J60+'[10]Уточнение Пр.1-24-Пр.19-23'!J60</f>
        <v>439</v>
      </c>
      <c r="K60" s="816">
        <f t="shared" si="4"/>
        <v>0</v>
      </c>
      <c r="L60" s="821">
        <f>'[10]Раз.пос.Пр.19-23    '!L60+'[10]Уточнение Пр.1-24-Пр.19-23'!L60</f>
        <v>0</v>
      </c>
      <c r="M60" s="821">
        <f>'[10]Раз.пос.Пр.19-23    '!M60+'[10]Уточнение Пр.1-24-Пр.19-23'!M60</f>
        <v>0</v>
      </c>
      <c r="N60" s="821">
        <f>'[10]Раз.пос.Пр.19-23    '!N60+'[10]Уточнение Пр.1-24-Пр.19-23'!N60</f>
        <v>0</v>
      </c>
      <c r="Q60" s="820"/>
    </row>
    <row r="61" spans="1:17" x14ac:dyDescent="0.2">
      <c r="A61" s="639">
        <v>51</v>
      </c>
      <c r="B61" s="636" t="s">
        <v>115</v>
      </c>
      <c r="C61" s="637" t="s">
        <v>116</v>
      </c>
      <c r="D61" s="816">
        <f t="shared" si="1"/>
        <v>16099</v>
      </c>
      <c r="E61" s="821">
        <f>'[10]Раз.пос.Пр.19-23    '!E61+'[10]Уточнение Пр.1-24-Пр.19-23'!E61</f>
        <v>0</v>
      </c>
      <c r="F61" s="821">
        <v>0</v>
      </c>
      <c r="G61" s="821">
        <f>'[10]Раз.пос.Пр.19-23    '!G61+'[10]Уточнение Пр.1-24-Пр.19-23'!G61</f>
        <v>2344</v>
      </c>
      <c r="H61" s="821">
        <f>'[10]Раз.пос.Пр.19-23    '!H61+'[10]Уточнение Пр.1-24-Пр.19-23'!H61</f>
        <v>13755</v>
      </c>
      <c r="I61" s="821">
        <f>'[10]Раз.пос.Пр.19-23    '!I61+'[10]Уточнение Пр.1-24-Пр.19-23'!I61</f>
        <v>0</v>
      </c>
      <c r="J61" s="821">
        <f>'[10]Раз.пос.Пр.19-23    '!J61+'[10]Уточнение Пр.1-24-Пр.19-23'!J61</f>
        <v>0</v>
      </c>
      <c r="K61" s="816">
        <f t="shared" si="4"/>
        <v>0</v>
      </c>
      <c r="L61" s="821">
        <f>'[10]Раз.пос.Пр.19-23    '!L61+'[10]Уточнение Пр.1-24-Пр.19-23'!L61</f>
        <v>0</v>
      </c>
      <c r="M61" s="821">
        <f>'[10]Раз.пос.Пр.19-23    '!M61+'[10]Уточнение Пр.1-24-Пр.19-23'!M61</f>
        <v>0</v>
      </c>
      <c r="N61" s="821">
        <f>'[10]Раз.пос.Пр.19-23    '!N61+'[10]Уточнение Пр.1-24-Пр.19-23'!N61</f>
        <v>0</v>
      </c>
      <c r="Q61" s="820"/>
    </row>
    <row r="62" spans="1:17" x14ac:dyDescent="0.2">
      <c r="A62" s="632">
        <v>52</v>
      </c>
      <c r="B62" s="636" t="s">
        <v>117</v>
      </c>
      <c r="C62" s="637" t="s">
        <v>118</v>
      </c>
      <c r="D62" s="816">
        <f t="shared" si="1"/>
        <v>96020</v>
      </c>
      <c r="E62" s="821">
        <f>'[10]Раз.пос.Пр.19-23    '!E62+'[10]Уточнение Пр.1-24-Пр.19-23'!E62</f>
        <v>0</v>
      </c>
      <c r="F62" s="821">
        <v>0</v>
      </c>
      <c r="G62" s="821">
        <f>'[10]Раз.пос.Пр.19-23    '!G62+'[10]Уточнение Пр.1-24-Пр.19-23'!G62</f>
        <v>25872</v>
      </c>
      <c r="H62" s="821">
        <f>'[10]Раз.пос.Пр.19-23    '!H62+'[10]Уточнение Пр.1-24-Пр.19-23'!H62</f>
        <v>68265</v>
      </c>
      <c r="I62" s="821">
        <f>'[10]Раз.пос.Пр.19-23    '!I62+'[10]Уточнение Пр.1-24-Пр.19-23'!I62</f>
        <v>1025</v>
      </c>
      <c r="J62" s="821">
        <f>'[10]Раз.пос.Пр.19-23    '!J62+'[10]Уточнение Пр.1-24-Пр.19-23'!J62</f>
        <v>0</v>
      </c>
      <c r="K62" s="816">
        <f t="shared" si="4"/>
        <v>858</v>
      </c>
      <c r="L62" s="821">
        <f>'[10]Раз.пос.Пр.19-23    '!L62+'[10]Уточнение Пр.1-24-Пр.19-23'!L62</f>
        <v>0</v>
      </c>
      <c r="M62" s="821">
        <f>'[10]Раз.пос.Пр.19-23    '!M62+'[10]Уточнение Пр.1-24-Пр.19-23'!M62</f>
        <v>858</v>
      </c>
      <c r="N62" s="821">
        <f>'[10]Раз.пос.Пр.19-23    '!N62+'[10]Уточнение Пр.1-24-Пр.19-23'!N62</f>
        <v>0</v>
      </c>
      <c r="Q62" s="820"/>
    </row>
    <row r="63" spans="1:17" x14ac:dyDescent="0.2">
      <c r="A63" s="639">
        <v>53</v>
      </c>
      <c r="B63" s="636" t="s">
        <v>119</v>
      </c>
      <c r="C63" s="637" t="s">
        <v>120</v>
      </c>
      <c r="D63" s="816">
        <f t="shared" si="1"/>
        <v>8155</v>
      </c>
      <c r="E63" s="821">
        <f>'[10]Раз.пос.Пр.19-23    '!E63+'[10]Уточнение Пр.1-24-Пр.19-23'!E63</f>
        <v>0</v>
      </c>
      <c r="F63" s="821">
        <v>0</v>
      </c>
      <c r="G63" s="821">
        <f>'[10]Раз.пос.Пр.19-23    '!G63+'[10]Уточнение Пр.1-24-Пр.19-23'!G63</f>
        <v>3518</v>
      </c>
      <c r="H63" s="821">
        <f>'[10]Раз.пос.Пр.19-23    '!H63+'[10]Уточнение Пр.1-24-Пр.19-23'!H63</f>
        <v>4590</v>
      </c>
      <c r="I63" s="821">
        <f>'[10]Раз.пос.Пр.19-23    '!I63+'[10]Уточнение Пр.1-24-Пр.19-23'!I63</f>
        <v>47</v>
      </c>
      <c r="J63" s="821">
        <f>'[10]Раз.пос.Пр.19-23    '!J63+'[10]Уточнение Пр.1-24-Пр.19-23'!J63</f>
        <v>0</v>
      </c>
      <c r="K63" s="816">
        <f t="shared" si="4"/>
        <v>0</v>
      </c>
      <c r="L63" s="821">
        <f>'[10]Раз.пос.Пр.19-23    '!L63+'[10]Уточнение Пр.1-24-Пр.19-23'!L63</f>
        <v>0</v>
      </c>
      <c r="M63" s="821">
        <f>'[10]Раз.пос.Пр.19-23    '!M63+'[10]Уточнение Пр.1-24-Пр.19-23'!M63</f>
        <v>0</v>
      </c>
      <c r="N63" s="821">
        <f>'[10]Раз.пос.Пр.19-23    '!N63+'[10]Уточнение Пр.1-24-Пр.19-23'!N63</f>
        <v>0</v>
      </c>
      <c r="Q63" s="820"/>
    </row>
    <row r="64" spans="1:17" x14ac:dyDescent="0.2">
      <c r="A64" s="632">
        <v>54</v>
      </c>
      <c r="B64" s="636" t="s">
        <v>121</v>
      </c>
      <c r="C64" s="637" t="s">
        <v>122</v>
      </c>
      <c r="D64" s="816">
        <f t="shared" si="1"/>
        <v>0</v>
      </c>
      <c r="E64" s="821">
        <f>'[10]Раз.пос.Пр.19-23    '!E64+'[10]Уточнение Пр.1-24-Пр.19-23'!E64</f>
        <v>0</v>
      </c>
      <c r="F64" s="821">
        <v>0</v>
      </c>
      <c r="G64" s="821">
        <f>'[10]Раз.пос.Пр.19-23    '!G64+'[10]Уточнение Пр.1-24-Пр.19-23'!G64</f>
        <v>0</v>
      </c>
      <c r="H64" s="821">
        <f>'[10]Раз.пос.Пр.19-23    '!H64+'[10]Уточнение Пр.1-24-Пр.19-23'!H64</f>
        <v>0</v>
      </c>
      <c r="I64" s="821">
        <f>'[10]Раз.пос.Пр.19-23    '!I64+'[10]Уточнение Пр.1-24-Пр.19-23'!I64</f>
        <v>0</v>
      </c>
      <c r="J64" s="821">
        <f>'[10]Раз.пос.Пр.19-23    '!J64+'[10]Уточнение Пр.1-24-Пр.19-23'!J64</f>
        <v>0</v>
      </c>
      <c r="K64" s="816">
        <f t="shared" si="4"/>
        <v>0</v>
      </c>
      <c r="L64" s="821">
        <f>'[10]Раз.пос.Пр.19-23    '!L64+'[10]Уточнение Пр.1-24-Пр.19-23'!L64</f>
        <v>0</v>
      </c>
      <c r="M64" s="821">
        <f>'[10]Раз.пос.Пр.19-23    '!M64+'[10]Уточнение Пр.1-24-Пр.19-23'!M64</f>
        <v>0</v>
      </c>
      <c r="N64" s="821">
        <f>'[10]Раз.пос.Пр.19-23    '!N64+'[10]Уточнение Пр.1-24-Пр.19-23'!N64</f>
        <v>0</v>
      </c>
      <c r="Q64" s="820"/>
    </row>
    <row r="65" spans="1:17" x14ac:dyDescent="0.2">
      <c r="A65" s="639">
        <v>55</v>
      </c>
      <c r="B65" s="636" t="s">
        <v>123</v>
      </c>
      <c r="C65" s="637" t="s">
        <v>124</v>
      </c>
      <c r="D65" s="816">
        <f t="shared" si="1"/>
        <v>0</v>
      </c>
      <c r="E65" s="821">
        <f>'[10]Раз.пос.Пр.19-23    '!E65+'[10]Уточнение Пр.1-24-Пр.19-23'!E65</f>
        <v>0</v>
      </c>
      <c r="F65" s="821">
        <v>0</v>
      </c>
      <c r="G65" s="821">
        <f>'[10]Раз.пос.Пр.19-23    '!G65+'[10]Уточнение Пр.1-24-Пр.19-23'!G65</f>
        <v>0</v>
      </c>
      <c r="H65" s="821">
        <f>'[10]Раз.пос.Пр.19-23    '!H65+'[10]Уточнение Пр.1-24-Пр.19-23'!H65</f>
        <v>0</v>
      </c>
      <c r="I65" s="821">
        <f>'[10]Раз.пос.Пр.19-23    '!I65+'[10]Уточнение Пр.1-24-Пр.19-23'!I65</f>
        <v>0</v>
      </c>
      <c r="J65" s="821">
        <f>'[10]Раз.пос.Пр.19-23    '!J65+'[10]Уточнение Пр.1-24-Пр.19-23'!J65</f>
        <v>0</v>
      </c>
      <c r="K65" s="816">
        <f t="shared" si="4"/>
        <v>0</v>
      </c>
      <c r="L65" s="821">
        <f>'[10]Раз.пос.Пр.19-23    '!L65+'[10]Уточнение Пр.1-24-Пр.19-23'!L65</f>
        <v>0</v>
      </c>
      <c r="M65" s="821">
        <f>'[10]Раз.пос.Пр.19-23    '!M65+'[10]Уточнение Пр.1-24-Пр.19-23'!M65</f>
        <v>0</v>
      </c>
      <c r="N65" s="821">
        <f>'[10]Раз.пос.Пр.19-23    '!N65+'[10]Уточнение Пр.1-24-Пр.19-23'!N65</f>
        <v>0</v>
      </c>
      <c r="Q65" s="820"/>
    </row>
    <row r="66" spans="1:17" x14ac:dyDescent="0.2">
      <c r="A66" s="632">
        <v>56</v>
      </c>
      <c r="B66" s="642" t="s">
        <v>125</v>
      </c>
      <c r="C66" s="32" t="s">
        <v>126</v>
      </c>
      <c r="D66" s="816">
        <f t="shared" si="1"/>
        <v>0</v>
      </c>
      <c r="E66" s="821">
        <f>'[10]Раз.пос.Пр.19-23    '!E66+'[10]Уточнение Пр.1-24-Пр.19-23'!E66</f>
        <v>0</v>
      </c>
      <c r="F66" s="821">
        <v>0</v>
      </c>
      <c r="G66" s="821">
        <f>'[10]Раз.пос.Пр.19-23    '!G66+'[10]Уточнение Пр.1-24-Пр.19-23'!G66</f>
        <v>0</v>
      </c>
      <c r="H66" s="821">
        <f>'[10]Раз.пос.Пр.19-23    '!H66+'[10]Уточнение Пр.1-24-Пр.19-23'!H66</f>
        <v>0</v>
      </c>
      <c r="I66" s="821">
        <f>'[10]Раз.пос.Пр.19-23    '!I66+'[10]Уточнение Пр.1-24-Пр.19-23'!I66</f>
        <v>0</v>
      </c>
      <c r="J66" s="821">
        <f>'[10]Раз.пос.Пр.19-23    '!J66+'[10]Уточнение Пр.1-24-Пр.19-23'!J66</f>
        <v>0</v>
      </c>
      <c r="K66" s="816">
        <f t="shared" si="4"/>
        <v>0</v>
      </c>
      <c r="L66" s="821">
        <f>'[10]Раз.пос.Пр.19-23    '!L66+'[10]Уточнение Пр.1-24-Пр.19-23'!L66</f>
        <v>0</v>
      </c>
      <c r="M66" s="821">
        <f>'[10]Раз.пос.Пр.19-23    '!M66+'[10]Уточнение Пр.1-24-Пр.19-23'!M66</f>
        <v>0</v>
      </c>
      <c r="N66" s="821">
        <f>'[10]Раз.пос.Пр.19-23    '!N66+'[10]Уточнение Пр.1-24-Пр.19-23'!N66</f>
        <v>0</v>
      </c>
      <c r="Q66" s="820"/>
    </row>
    <row r="67" spans="1:17" x14ac:dyDescent="0.2">
      <c r="A67" s="639">
        <v>57</v>
      </c>
      <c r="B67" s="636" t="s">
        <v>127</v>
      </c>
      <c r="C67" s="637" t="s">
        <v>128</v>
      </c>
      <c r="D67" s="816">
        <f t="shared" si="1"/>
        <v>60172</v>
      </c>
      <c r="E67" s="821">
        <f>'[10]Раз.пос.Пр.19-23    '!E67+'[10]Уточнение Пр.1-24-Пр.19-23'!E67</f>
        <v>0</v>
      </c>
      <c r="F67" s="821">
        <v>0</v>
      </c>
      <c r="G67" s="821">
        <f>'[10]Раз.пос.Пр.19-23    '!G67+'[10]Уточнение Пр.1-24-Пр.19-23'!G67</f>
        <v>3000</v>
      </c>
      <c r="H67" s="821">
        <f>'[10]Раз.пос.Пр.19-23    '!H67+'[10]Уточнение Пр.1-24-Пр.19-23'!H67</f>
        <v>56425</v>
      </c>
      <c r="I67" s="821">
        <f>'[10]Раз.пос.Пр.19-23    '!I67+'[10]Уточнение Пр.1-24-Пр.19-23'!I67</f>
        <v>0</v>
      </c>
      <c r="J67" s="821">
        <f>'[10]Раз.пос.Пр.19-23    '!J67+'[10]Уточнение Пр.1-24-Пр.19-23'!J67</f>
        <v>0</v>
      </c>
      <c r="K67" s="816">
        <f t="shared" si="4"/>
        <v>747</v>
      </c>
      <c r="L67" s="821">
        <f>'[10]Раз.пос.Пр.19-23    '!L67+'[10]Уточнение Пр.1-24-Пр.19-23'!L67</f>
        <v>0</v>
      </c>
      <c r="M67" s="821">
        <f>'[10]Раз.пос.Пр.19-23    '!M67+'[10]Уточнение Пр.1-24-Пр.19-23'!M67</f>
        <v>747</v>
      </c>
      <c r="N67" s="821">
        <f>'[10]Раз.пос.Пр.19-23    '!N67+'[10]Уточнение Пр.1-24-Пр.19-23'!N67</f>
        <v>0</v>
      </c>
      <c r="Q67" s="820"/>
    </row>
    <row r="68" spans="1:17" x14ac:dyDescent="0.2">
      <c r="A68" s="632">
        <v>58</v>
      </c>
      <c r="B68" s="635" t="s">
        <v>129</v>
      </c>
      <c r="C68" s="637" t="s">
        <v>130</v>
      </c>
      <c r="D68" s="816">
        <f t="shared" si="1"/>
        <v>54395</v>
      </c>
      <c r="E68" s="821">
        <f>'[10]Раз.пос.Пр.19-23    '!E68+'[10]Уточнение Пр.1-24-Пр.19-23'!E68</f>
        <v>0</v>
      </c>
      <c r="F68" s="821">
        <v>0</v>
      </c>
      <c r="G68" s="821">
        <f>'[10]Раз.пос.Пр.19-23    '!G68+'[10]Уточнение Пр.1-24-Пр.19-23'!G68</f>
        <v>1360</v>
      </c>
      <c r="H68" s="821">
        <f>'[10]Раз.пос.Пр.19-23    '!H68+'[10]Уточнение Пр.1-24-Пр.19-23'!H68</f>
        <v>53035</v>
      </c>
      <c r="I68" s="821">
        <f>'[10]Раз.пос.Пр.19-23    '!I68+'[10]Уточнение Пр.1-24-Пр.19-23'!I68</f>
        <v>0</v>
      </c>
      <c r="J68" s="821">
        <f>'[10]Раз.пос.Пр.19-23    '!J68+'[10]Уточнение Пр.1-24-Пр.19-23'!J68</f>
        <v>0</v>
      </c>
      <c r="K68" s="816">
        <f t="shared" si="4"/>
        <v>0</v>
      </c>
      <c r="L68" s="821">
        <f>'[10]Раз.пос.Пр.19-23    '!L68+'[10]Уточнение Пр.1-24-Пр.19-23'!L68</f>
        <v>0</v>
      </c>
      <c r="M68" s="821">
        <f>'[10]Раз.пос.Пр.19-23    '!M68+'[10]Уточнение Пр.1-24-Пр.19-23'!M68</f>
        <v>0</v>
      </c>
      <c r="N68" s="821">
        <f>'[10]Раз.пос.Пр.19-23    '!N68+'[10]Уточнение Пр.1-24-Пр.19-23'!N68</f>
        <v>0</v>
      </c>
      <c r="Q68" s="820"/>
    </row>
    <row r="69" spans="1:17" x14ac:dyDescent="0.2">
      <c r="A69" s="639">
        <v>59</v>
      </c>
      <c r="B69" s="638" t="s">
        <v>131</v>
      </c>
      <c r="C69" s="32" t="s">
        <v>132</v>
      </c>
      <c r="D69" s="816">
        <f t="shared" si="1"/>
        <v>71864</v>
      </c>
      <c r="E69" s="821">
        <f>'[10]Раз.пос.Пр.19-23    '!E69+'[10]Уточнение Пр.1-24-Пр.19-23'!E69</f>
        <v>0</v>
      </c>
      <c r="F69" s="821">
        <v>0</v>
      </c>
      <c r="G69" s="821">
        <f>'[10]Раз.пос.Пр.19-23    '!G69+'[10]Уточнение Пр.1-24-Пр.19-23'!G69</f>
        <v>8400</v>
      </c>
      <c r="H69" s="821">
        <f>'[10]Раз.пос.Пр.19-23    '!H69+'[10]Уточнение Пр.1-24-Пр.19-23'!H69</f>
        <v>63464</v>
      </c>
      <c r="I69" s="821">
        <f>'[10]Раз.пос.Пр.19-23    '!I69+'[10]Уточнение Пр.1-24-Пр.19-23'!I69</f>
        <v>0</v>
      </c>
      <c r="J69" s="821">
        <f>'[10]Раз.пос.Пр.19-23    '!J69+'[10]Уточнение Пр.1-24-Пр.19-23'!J69</f>
        <v>0</v>
      </c>
      <c r="K69" s="816">
        <f t="shared" si="4"/>
        <v>0</v>
      </c>
      <c r="L69" s="821">
        <f>'[10]Раз.пос.Пр.19-23    '!L69+'[10]Уточнение Пр.1-24-Пр.19-23'!L69</f>
        <v>0</v>
      </c>
      <c r="M69" s="821">
        <f>'[10]Раз.пос.Пр.19-23    '!M69+'[10]Уточнение Пр.1-24-Пр.19-23'!M69</f>
        <v>0</v>
      </c>
      <c r="N69" s="821">
        <f>'[10]Раз.пос.Пр.19-23    '!N69+'[10]Уточнение Пр.1-24-Пр.19-23'!N69</f>
        <v>0</v>
      </c>
      <c r="Q69" s="820"/>
    </row>
    <row r="70" spans="1:17" x14ac:dyDescent="0.2">
      <c r="A70" s="632">
        <v>60</v>
      </c>
      <c r="B70" s="635" t="s">
        <v>133</v>
      </c>
      <c r="C70" s="637" t="s">
        <v>134</v>
      </c>
      <c r="D70" s="816">
        <f t="shared" si="1"/>
        <v>78952</v>
      </c>
      <c r="E70" s="821">
        <f>'[10]Раз.пос.Пр.19-23    '!E70+'[10]Уточнение Пр.1-24-Пр.19-23'!E70</f>
        <v>0</v>
      </c>
      <c r="F70" s="821">
        <v>0</v>
      </c>
      <c r="G70" s="821">
        <f>'[10]Раз.пос.Пр.19-23    '!G70+'[10]Уточнение Пр.1-24-Пр.19-23'!G70</f>
        <v>12941</v>
      </c>
      <c r="H70" s="821">
        <f>'[10]Раз.пос.Пр.19-23    '!H70+'[10]Уточнение Пр.1-24-Пр.19-23'!H70</f>
        <v>66011</v>
      </c>
      <c r="I70" s="821">
        <f>'[10]Раз.пос.Пр.19-23    '!I70+'[10]Уточнение Пр.1-24-Пр.19-23'!I70</f>
        <v>0</v>
      </c>
      <c r="J70" s="821">
        <f>'[10]Раз.пос.Пр.19-23    '!J70+'[10]Уточнение Пр.1-24-Пр.19-23'!J70</f>
        <v>0</v>
      </c>
      <c r="K70" s="816">
        <f t="shared" si="4"/>
        <v>0</v>
      </c>
      <c r="L70" s="821">
        <f>'[10]Раз.пос.Пр.19-23    '!L70+'[10]Уточнение Пр.1-24-Пр.19-23'!L70</f>
        <v>0</v>
      </c>
      <c r="M70" s="821">
        <f>'[10]Раз.пос.Пр.19-23    '!M70+'[10]Уточнение Пр.1-24-Пр.19-23'!M70</f>
        <v>0</v>
      </c>
      <c r="N70" s="821">
        <f>'[10]Раз.пос.Пр.19-23    '!N70+'[10]Уточнение Пр.1-24-Пр.19-23'!N70</f>
        <v>0</v>
      </c>
      <c r="Q70" s="820"/>
    </row>
    <row r="71" spans="1:17" ht="24" x14ac:dyDescent="0.2">
      <c r="A71" s="639">
        <v>61</v>
      </c>
      <c r="B71" s="636" t="s">
        <v>135</v>
      </c>
      <c r="C71" s="637" t="s">
        <v>136</v>
      </c>
      <c r="D71" s="816">
        <f t="shared" si="1"/>
        <v>44417</v>
      </c>
      <c r="E71" s="821">
        <f>'[10]Раз.пос.Пр.19-23    '!E71+'[10]Уточнение Пр.1-24-Пр.19-23'!E71</f>
        <v>0</v>
      </c>
      <c r="F71" s="821">
        <v>0</v>
      </c>
      <c r="G71" s="821">
        <f>'[10]Раз.пос.Пр.19-23    '!G71+'[10]Уточнение Пр.1-24-Пр.19-23'!G71</f>
        <v>4635</v>
      </c>
      <c r="H71" s="821">
        <f>'[10]Раз.пос.Пр.19-23    '!H71+'[10]Уточнение Пр.1-24-Пр.19-23'!H71</f>
        <v>39782</v>
      </c>
      <c r="I71" s="821">
        <f>'[10]Раз.пос.Пр.19-23    '!I71+'[10]Уточнение Пр.1-24-Пр.19-23'!I71</f>
        <v>0</v>
      </c>
      <c r="J71" s="821">
        <f>'[10]Раз.пос.Пр.19-23    '!J71+'[10]Уточнение Пр.1-24-Пр.19-23'!J71</f>
        <v>0</v>
      </c>
      <c r="K71" s="816">
        <f t="shared" si="4"/>
        <v>0</v>
      </c>
      <c r="L71" s="821">
        <f>'[10]Раз.пос.Пр.19-23    '!L71+'[10]Уточнение Пр.1-24-Пр.19-23'!L71</f>
        <v>0</v>
      </c>
      <c r="M71" s="821">
        <f>'[10]Раз.пос.Пр.19-23    '!M71+'[10]Уточнение Пр.1-24-Пр.19-23'!M71</f>
        <v>0</v>
      </c>
      <c r="N71" s="821">
        <f>'[10]Раз.пос.Пр.19-23    '!N71+'[10]Уточнение Пр.1-24-Пр.19-23'!N71</f>
        <v>0</v>
      </c>
      <c r="Q71" s="820"/>
    </row>
    <row r="72" spans="1:17" ht="24" x14ac:dyDescent="0.2">
      <c r="A72" s="632">
        <v>62</v>
      </c>
      <c r="B72" s="633" t="s">
        <v>137</v>
      </c>
      <c r="C72" s="637" t="s">
        <v>138</v>
      </c>
      <c r="D72" s="816">
        <f t="shared" si="1"/>
        <v>40219</v>
      </c>
      <c r="E72" s="821">
        <f>'[10]Раз.пос.Пр.19-23    '!E72+'[10]Уточнение Пр.1-24-Пр.19-23'!E72</f>
        <v>40219</v>
      </c>
      <c r="F72" s="821">
        <v>0</v>
      </c>
      <c r="G72" s="821">
        <f>'[10]Раз.пос.Пр.19-23    '!G72+'[10]Уточнение Пр.1-24-Пр.19-23'!G72</f>
        <v>0</v>
      </c>
      <c r="H72" s="821">
        <f>'[10]Раз.пос.Пр.19-23    '!H72+'[10]Уточнение Пр.1-24-Пр.19-23'!H72</f>
        <v>0</v>
      </c>
      <c r="I72" s="821">
        <f>'[10]Раз.пос.Пр.19-23    '!I72+'[10]Уточнение Пр.1-24-Пр.19-23'!I72</f>
        <v>0</v>
      </c>
      <c r="J72" s="821">
        <f>'[10]Раз.пос.Пр.19-23    '!J72+'[10]Уточнение Пр.1-24-Пр.19-23'!J72</f>
        <v>0</v>
      </c>
      <c r="K72" s="816">
        <f t="shared" si="4"/>
        <v>0</v>
      </c>
      <c r="L72" s="821">
        <f>'[10]Раз.пос.Пр.19-23    '!L72+'[10]Уточнение Пр.1-24-Пр.19-23'!L72</f>
        <v>0</v>
      </c>
      <c r="M72" s="821">
        <f>'[10]Раз.пос.Пр.19-23    '!M72+'[10]Уточнение Пр.1-24-Пр.19-23'!M72</f>
        <v>0</v>
      </c>
      <c r="N72" s="821">
        <f>'[10]Раз.пос.Пр.19-23    '!N72+'[10]Уточнение Пр.1-24-Пр.19-23'!N72</f>
        <v>0</v>
      </c>
      <c r="Q72" s="820"/>
    </row>
    <row r="73" spans="1:17" ht="24" x14ac:dyDescent="0.2">
      <c r="A73" s="639">
        <v>63</v>
      </c>
      <c r="B73" s="633" t="s">
        <v>139</v>
      </c>
      <c r="C73" s="637" t="s">
        <v>140</v>
      </c>
      <c r="D73" s="816">
        <f t="shared" ref="D73:D136" si="5">E73+G73+H73+I73+J73+K73</f>
        <v>17059</v>
      </c>
      <c r="E73" s="821">
        <f>'[10]Раз.пос.Пр.19-23    '!E73+'[10]Уточнение Пр.1-24-Пр.19-23'!E73</f>
        <v>17059</v>
      </c>
      <c r="F73" s="821">
        <v>0</v>
      </c>
      <c r="G73" s="821">
        <f>'[10]Раз.пос.Пр.19-23    '!G73+'[10]Уточнение Пр.1-24-Пр.19-23'!G73</f>
        <v>0</v>
      </c>
      <c r="H73" s="821">
        <f>'[10]Раз.пос.Пр.19-23    '!H73+'[10]Уточнение Пр.1-24-Пр.19-23'!H73</f>
        <v>0</v>
      </c>
      <c r="I73" s="821">
        <f>'[10]Раз.пос.Пр.19-23    '!I73+'[10]Уточнение Пр.1-24-Пр.19-23'!I73</f>
        <v>0</v>
      </c>
      <c r="J73" s="821">
        <f>'[10]Раз.пос.Пр.19-23    '!J73+'[10]Уточнение Пр.1-24-Пр.19-23'!J73</f>
        <v>0</v>
      </c>
      <c r="K73" s="816">
        <f t="shared" si="4"/>
        <v>0</v>
      </c>
      <c r="L73" s="821">
        <f>'[10]Раз.пос.Пр.19-23    '!L73+'[10]Уточнение Пр.1-24-Пр.19-23'!L73</f>
        <v>0</v>
      </c>
      <c r="M73" s="821">
        <f>'[10]Раз.пос.Пр.19-23    '!M73+'[10]Уточнение Пр.1-24-Пр.19-23'!M73</f>
        <v>0</v>
      </c>
      <c r="N73" s="821">
        <f>'[10]Раз.пос.Пр.19-23    '!N73+'[10]Уточнение Пр.1-24-Пр.19-23'!N73</f>
        <v>0</v>
      </c>
      <c r="Q73" s="820"/>
    </row>
    <row r="74" spans="1:17" x14ac:dyDescent="0.2">
      <c r="A74" s="632">
        <v>64</v>
      </c>
      <c r="B74" s="635" t="s">
        <v>141</v>
      </c>
      <c r="C74" s="637" t="s">
        <v>142</v>
      </c>
      <c r="D74" s="816">
        <f t="shared" si="5"/>
        <v>50316</v>
      </c>
      <c r="E74" s="821">
        <f>'[10]Раз.пос.Пр.19-23    '!E74+'[10]Уточнение Пр.1-24-Пр.19-23'!E74</f>
        <v>0</v>
      </c>
      <c r="F74" s="821">
        <v>0</v>
      </c>
      <c r="G74" s="821">
        <f>'[10]Раз.пос.Пр.19-23    '!G74+'[10]Уточнение Пр.1-24-Пр.19-23'!G74</f>
        <v>14749</v>
      </c>
      <c r="H74" s="821">
        <f>'[10]Раз.пос.Пр.19-23    '!H74+'[10]Уточнение Пр.1-24-Пр.19-23'!H74</f>
        <v>34089</v>
      </c>
      <c r="I74" s="821">
        <f>'[10]Раз.пос.Пр.19-23    '!I74+'[10]Уточнение Пр.1-24-Пр.19-23'!I74</f>
        <v>1025</v>
      </c>
      <c r="J74" s="821">
        <f>'[10]Раз.пос.Пр.19-23    '!J74+'[10]Уточнение Пр.1-24-Пр.19-23'!J74</f>
        <v>453</v>
      </c>
      <c r="K74" s="816">
        <f t="shared" si="4"/>
        <v>0</v>
      </c>
      <c r="L74" s="821">
        <f>'[10]Раз.пос.Пр.19-23    '!L74+'[10]Уточнение Пр.1-24-Пр.19-23'!L74</f>
        <v>0</v>
      </c>
      <c r="M74" s="821">
        <f>'[10]Раз.пос.Пр.19-23    '!M74+'[10]Уточнение Пр.1-24-Пр.19-23'!M74</f>
        <v>0</v>
      </c>
      <c r="N74" s="821">
        <f>'[10]Раз.пос.Пр.19-23    '!N74+'[10]Уточнение Пр.1-24-Пр.19-23'!N74</f>
        <v>0</v>
      </c>
      <c r="Q74" s="820"/>
    </row>
    <row r="75" spans="1:17" x14ac:dyDescent="0.2">
      <c r="A75" s="639">
        <v>65</v>
      </c>
      <c r="B75" s="635" t="s">
        <v>143</v>
      </c>
      <c r="C75" s="634" t="s">
        <v>144</v>
      </c>
      <c r="D75" s="816">
        <f t="shared" si="5"/>
        <v>9878</v>
      </c>
      <c r="E75" s="821">
        <f>'[10]Раз.пос.Пр.19-23    '!E75+'[10]Уточнение Пр.1-24-Пр.19-23'!E75</f>
        <v>0</v>
      </c>
      <c r="F75" s="821">
        <v>0</v>
      </c>
      <c r="G75" s="821">
        <f>'[10]Раз.пос.Пр.19-23    '!G75+'[10]Уточнение Пр.1-24-Пр.19-23'!G75</f>
        <v>2998</v>
      </c>
      <c r="H75" s="821">
        <f>'[10]Раз.пос.Пр.19-23    '!H75+'[10]Уточнение Пр.1-24-Пр.19-23'!H75</f>
        <v>5416</v>
      </c>
      <c r="I75" s="821">
        <f>'[10]Раз.пос.Пр.19-23    '!I75+'[10]Уточнение Пр.1-24-Пр.19-23'!I75</f>
        <v>1025</v>
      </c>
      <c r="J75" s="821">
        <f>'[10]Раз.пос.Пр.19-23    '!J75+'[10]Уточнение Пр.1-24-Пр.19-23'!J75</f>
        <v>439</v>
      </c>
      <c r="K75" s="816">
        <f t="shared" si="4"/>
        <v>0</v>
      </c>
      <c r="L75" s="821">
        <f>'[10]Раз.пос.Пр.19-23    '!L75+'[10]Уточнение Пр.1-24-Пр.19-23'!L75</f>
        <v>0</v>
      </c>
      <c r="M75" s="821">
        <f>'[10]Раз.пос.Пр.19-23    '!M75+'[10]Уточнение Пр.1-24-Пр.19-23'!M75</f>
        <v>0</v>
      </c>
      <c r="N75" s="821">
        <f>'[10]Раз.пос.Пр.19-23    '!N75+'[10]Уточнение Пр.1-24-Пр.19-23'!N75</f>
        <v>0</v>
      </c>
      <c r="Q75" s="820"/>
    </row>
    <row r="76" spans="1:17" x14ac:dyDescent="0.2">
      <c r="A76" s="632">
        <v>66</v>
      </c>
      <c r="B76" s="635" t="s">
        <v>145</v>
      </c>
      <c r="C76" s="637" t="s">
        <v>146</v>
      </c>
      <c r="D76" s="816">
        <f t="shared" si="5"/>
        <v>34756</v>
      </c>
      <c r="E76" s="821">
        <f>'[10]Раз.пос.Пр.19-23    '!E76+'[10]Уточнение Пр.1-24-Пр.19-23'!E76</f>
        <v>0</v>
      </c>
      <c r="F76" s="821">
        <v>0</v>
      </c>
      <c r="G76" s="821">
        <f>'[10]Раз.пос.Пр.19-23    '!G76+'[10]Уточнение Пр.1-24-Пр.19-23'!G76</f>
        <v>16593</v>
      </c>
      <c r="H76" s="821">
        <f>'[10]Раз.пос.Пр.19-23    '!H76+'[10]Уточнение Пр.1-24-Пр.19-23'!H76</f>
        <v>16449</v>
      </c>
      <c r="I76" s="821">
        <f>'[10]Раз.пос.Пр.19-23    '!I76+'[10]Уточнение Пр.1-24-Пр.19-23'!I76</f>
        <v>1151</v>
      </c>
      <c r="J76" s="821">
        <f>'[10]Раз.пос.Пр.19-23    '!J76+'[10]Уточнение Пр.1-24-Пр.19-23'!J76</f>
        <v>563</v>
      </c>
      <c r="K76" s="816">
        <f t="shared" si="4"/>
        <v>0</v>
      </c>
      <c r="L76" s="821">
        <f>'[10]Раз.пос.Пр.19-23    '!L76+'[10]Уточнение Пр.1-24-Пр.19-23'!L76</f>
        <v>0</v>
      </c>
      <c r="M76" s="821">
        <f>'[10]Раз.пос.Пр.19-23    '!M76+'[10]Уточнение Пр.1-24-Пр.19-23'!M76</f>
        <v>0</v>
      </c>
      <c r="N76" s="821">
        <f>'[10]Раз.пос.Пр.19-23    '!N76+'[10]Уточнение Пр.1-24-Пр.19-23'!N76</f>
        <v>0</v>
      </c>
      <c r="Q76" s="820"/>
    </row>
    <row r="77" spans="1:17" ht="24" x14ac:dyDescent="0.2">
      <c r="A77" s="639">
        <v>67</v>
      </c>
      <c r="B77" s="635" t="s">
        <v>147</v>
      </c>
      <c r="C77" s="637" t="s">
        <v>148</v>
      </c>
      <c r="D77" s="816">
        <f t="shared" si="5"/>
        <v>2142</v>
      </c>
      <c r="E77" s="821">
        <f>'[10]Раз.пос.Пр.19-23    '!E77+'[10]Уточнение Пр.1-24-Пр.19-23'!E77</f>
        <v>2142</v>
      </c>
      <c r="F77" s="821">
        <v>0</v>
      </c>
      <c r="G77" s="821">
        <f>'[10]Раз.пос.Пр.19-23    '!G77+'[10]Уточнение Пр.1-24-Пр.19-23'!G77</f>
        <v>0</v>
      </c>
      <c r="H77" s="821">
        <f>'[10]Раз.пос.Пр.19-23    '!H77+'[10]Уточнение Пр.1-24-Пр.19-23'!H77</f>
        <v>0</v>
      </c>
      <c r="I77" s="821">
        <f>'[10]Раз.пос.Пр.19-23    '!I77+'[10]Уточнение Пр.1-24-Пр.19-23'!I77</f>
        <v>0</v>
      </c>
      <c r="J77" s="821">
        <f>'[10]Раз.пос.Пр.19-23    '!J77+'[10]Уточнение Пр.1-24-Пр.19-23'!J77</f>
        <v>0</v>
      </c>
      <c r="K77" s="816">
        <f t="shared" si="4"/>
        <v>0</v>
      </c>
      <c r="L77" s="821">
        <f>'[10]Раз.пос.Пр.19-23    '!L77+'[10]Уточнение Пр.1-24-Пр.19-23'!L77</f>
        <v>0</v>
      </c>
      <c r="M77" s="821">
        <f>'[10]Раз.пос.Пр.19-23    '!M77+'[10]Уточнение Пр.1-24-Пр.19-23'!M77</f>
        <v>0</v>
      </c>
      <c r="N77" s="821">
        <f>'[10]Раз.пос.Пр.19-23    '!N77+'[10]Уточнение Пр.1-24-Пр.19-23'!N77</f>
        <v>0</v>
      </c>
      <c r="Q77" s="820"/>
    </row>
    <row r="78" spans="1:17" ht="24" x14ac:dyDescent="0.2">
      <c r="A78" s="632">
        <v>68</v>
      </c>
      <c r="B78" s="633" t="s">
        <v>149</v>
      </c>
      <c r="C78" s="637" t="s">
        <v>150</v>
      </c>
      <c r="D78" s="816">
        <f t="shared" si="5"/>
        <v>3875</v>
      </c>
      <c r="E78" s="821">
        <f>'[10]Раз.пос.Пр.19-23    '!E78+'[10]Уточнение Пр.1-24-Пр.19-23'!E78</f>
        <v>3875</v>
      </c>
      <c r="F78" s="821">
        <v>0</v>
      </c>
      <c r="G78" s="821">
        <f>'[10]Раз.пос.Пр.19-23    '!G78+'[10]Уточнение Пр.1-24-Пр.19-23'!G78</f>
        <v>0</v>
      </c>
      <c r="H78" s="821">
        <f>'[10]Раз.пос.Пр.19-23    '!H78+'[10]Уточнение Пр.1-24-Пр.19-23'!H78</f>
        <v>0</v>
      </c>
      <c r="I78" s="821">
        <f>'[10]Раз.пос.Пр.19-23    '!I78+'[10]Уточнение Пр.1-24-Пр.19-23'!I78</f>
        <v>0</v>
      </c>
      <c r="J78" s="821">
        <f>'[10]Раз.пос.Пр.19-23    '!J78+'[10]Уточнение Пр.1-24-Пр.19-23'!J78</f>
        <v>0</v>
      </c>
      <c r="K78" s="816">
        <f t="shared" ref="K78:K141" si="6">L78+M78</f>
        <v>0</v>
      </c>
      <c r="L78" s="821">
        <f>'[10]Раз.пос.Пр.19-23    '!L78+'[10]Уточнение Пр.1-24-Пр.19-23'!L78</f>
        <v>0</v>
      </c>
      <c r="M78" s="821">
        <f>'[10]Раз.пос.Пр.19-23    '!M78+'[10]Уточнение Пр.1-24-Пр.19-23'!M78</f>
        <v>0</v>
      </c>
      <c r="N78" s="821">
        <f>'[10]Раз.пос.Пр.19-23    '!N78+'[10]Уточнение Пр.1-24-Пр.19-23'!N78</f>
        <v>0</v>
      </c>
      <c r="Q78" s="820"/>
    </row>
    <row r="79" spans="1:17" ht="24" x14ac:dyDescent="0.2">
      <c r="A79" s="639">
        <v>69</v>
      </c>
      <c r="B79" s="635" t="s">
        <v>151</v>
      </c>
      <c r="C79" s="637" t="s">
        <v>152</v>
      </c>
      <c r="D79" s="816">
        <f t="shared" si="5"/>
        <v>3744</v>
      </c>
      <c r="E79" s="821">
        <f>'[10]Раз.пос.Пр.19-23    '!E79+'[10]Уточнение Пр.1-24-Пр.19-23'!E79</f>
        <v>3744</v>
      </c>
      <c r="F79" s="821">
        <v>0</v>
      </c>
      <c r="G79" s="821">
        <f>'[10]Раз.пос.Пр.19-23    '!G79+'[10]Уточнение Пр.1-24-Пр.19-23'!G79</f>
        <v>0</v>
      </c>
      <c r="H79" s="821">
        <f>'[10]Раз.пос.Пр.19-23    '!H79+'[10]Уточнение Пр.1-24-Пр.19-23'!H79</f>
        <v>0</v>
      </c>
      <c r="I79" s="821">
        <f>'[10]Раз.пос.Пр.19-23    '!I79+'[10]Уточнение Пр.1-24-Пр.19-23'!I79</f>
        <v>0</v>
      </c>
      <c r="J79" s="821">
        <f>'[10]Раз.пос.Пр.19-23    '!J79+'[10]Уточнение Пр.1-24-Пр.19-23'!J79</f>
        <v>0</v>
      </c>
      <c r="K79" s="816">
        <f t="shared" si="6"/>
        <v>0</v>
      </c>
      <c r="L79" s="821">
        <f>'[10]Раз.пос.Пр.19-23    '!L79+'[10]Уточнение Пр.1-24-Пр.19-23'!L79</f>
        <v>0</v>
      </c>
      <c r="M79" s="821">
        <f>'[10]Раз.пос.Пр.19-23    '!M79+'[10]Уточнение Пр.1-24-Пр.19-23'!M79</f>
        <v>0</v>
      </c>
      <c r="N79" s="821">
        <f>'[10]Раз.пос.Пр.19-23    '!N79+'[10]Уточнение Пр.1-24-Пр.19-23'!N79</f>
        <v>0</v>
      </c>
      <c r="Q79" s="820"/>
    </row>
    <row r="80" spans="1:17" ht="24" x14ac:dyDescent="0.2">
      <c r="A80" s="632">
        <v>70</v>
      </c>
      <c r="B80" s="635" t="s">
        <v>153</v>
      </c>
      <c r="C80" s="637" t="s">
        <v>154</v>
      </c>
      <c r="D80" s="816">
        <f t="shared" si="5"/>
        <v>2605</v>
      </c>
      <c r="E80" s="821">
        <f>'[10]Раз.пос.Пр.19-23    '!E80+'[10]Уточнение Пр.1-24-Пр.19-23'!E80</f>
        <v>2605</v>
      </c>
      <c r="F80" s="821">
        <v>0</v>
      </c>
      <c r="G80" s="821">
        <f>'[10]Раз.пос.Пр.19-23    '!G80+'[10]Уточнение Пр.1-24-Пр.19-23'!G80</f>
        <v>0</v>
      </c>
      <c r="H80" s="821">
        <f>'[10]Раз.пос.Пр.19-23    '!H80+'[10]Уточнение Пр.1-24-Пр.19-23'!H80</f>
        <v>0</v>
      </c>
      <c r="I80" s="821">
        <f>'[10]Раз.пос.Пр.19-23    '!I80+'[10]Уточнение Пр.1-24-Пр.19-23'!I80</f>
        <v>0</v>
      </c>
      <c r="J80" s="821">
        <f>'[10]Раз.пос.Пр.19-23    '!J80+'[10]Уточнение Пр.1-24-Пр.19-23'!J80</f>
        <v>0</v>
      </c>
      <c r="K80" s="816">
        <f t="shared" si="6"/>
        <v>0</v>
      </c>
      <c r="L80" s="821">
        <f>'[10]Раз.пос.Пр.19-23    '!L80+'[10]Уточнение Пр.1-24-Пр.19-23'!L80</f>
        <v>0</v>
      </c>
      <c r="M80" s="821">
        <f>'[10]Раз.пос.Пр.19-23    '!M80+'[10]Уточнение Пр.1-24-Пр.19-23'!M80</f>
        <v>0</v>
      </c>
      <c r="N80" s="821">
        <f>'[10]Раз.пос.Пр.19-23    '!N80+'[10]Уточнение Пр.1-24-Пр.19-23'!N80</f>
        <v>0</v>
      </c>
      <c r="Q80" s="820"/>
    </row>
    <row r="81" spans="1:17" ht="24" x14ac:dyDescent="0.2">
      <c r="A81" s="639">
        <v>71</v>
      </c>
      <c r="B81" s="633" t="s">
        <v>155</v>
      </c>
      <c r="C81" s="637" t="s">
        <v>156</v>
      </c>
      <c r="D81" s="816">
        <f t="shared" si="5"/>
        <v>16575</v>
      </c>
      <c r="E81" s="821">
        <f>'[10]Раз.пос.Пр.19-23    '!E81+'[10]Уточнение Пр.1-24-Пр.19-23'!E81</f>
        <v>16575</v>
      </c>
      <c r="F81" s="821">
        <v>0</v>
      </c>
      <c r="G81" s="821">
        <f>'[10]Раз.пос.Пр.19-23    '!G81+'[10]Уточнение Пр.1-24-Пр.19-23'!G81</f>
        <v>0</v>
      </c>
      <c r="H81" s="821">
        <f>'[10]Раз.пос.Пр.19-23    '!H81+'[10]Уточнение Пр.1-24-Пр.19-23'!H81</f>
        <v>0</v>
      </c>
      <c r="I81" s="821">
        <f>'[10]Раз.пос.Пр.19-23    '!I81+'[10]Уточнение Пр.1-24-Пр.19-23'!I81</f>
        <v>0</v>
      </c>
      <c r="J81" s="821">
        <f>'[10]Раз.пос.Пр.19-23    '!J81+'[10]Уточнение Пр.1-24-Пр.19-23'!J81</f>
        <v>0</v>
      </c>
      <c r="K81" s="816">
        <f t="shared" si="6"/>
        <v>0</v>
      </c>
      <c r="L81" s="821">
        <f>'[10]Раз.пос.Пр.19-23    '!L81+'[10]Уточнение Пр.1-24-Пр.19-23'!L81</f>
        <v>0</v>
      </c>
      <c r="M81" s="821">
        <f>'[10]Раз.пос.Пр.19-23    '!M81+'[10]Уточнение Пр.1-24-Пр.19-23'!M81</f>
        <v>0</v>
      </c>
      <c r="N81" s="821">
        <f>'[10]Раз.пос.Пр.19-23    '!N81+'[10]Уточнение Пр.1-24-Пр.19-23'!N81</f>
        <v>0</v>
      </c>
      <c r="Q81" s="820"/>
    </row>
    <row r="82" spans="1:17" ht="24" x14ac:dyDescent="0.2">
      <c r="A82" s="632">
        <v>72</v>
      </c>
      <c r="B82" s="633" t="s">
        <v>157</v>
      </c>
      <c r="C82" s="637" t="s">
        <v>158</v>
      </c>
      <c r="D82" s="816">
        <f t="shared" si="5"/>
        <v>3624</v>
      </c>
      <c r="E82" s="821">
        <f>'[10]Раз.пос.Пр.19-23    '!E82+'[10]Уточнение Пр.1-24-Пр.19-23'!E82</f>
        <v>3624</v>
      </c>
      <c r="F82" s="821">
        <v>0</v>
      </c>
      <c r="G82" s="821">
        <f>'[10]Раз.пос.Пр.19-23    '!G82+'[10]Уточнение Пр.1-24-Пр.19-23'!G82</f>
        <v>0</v>
      </c>
      <c r="H82" s="821">
        <f>'[10]Раз.пос.Пр.19-23    '!H82+'[10]Уточнение Пр.1-24-Пр.19-23'!H82</f>
        <v>0</v>
      </c>
      <c r="I82" s="821">
        <f>'[10]Раз.пос.Пр.19-23    '!I82+'[10]Уточнение Пр.1-24-Пр.19-23'!I82</f>
        <v>0</v>
      </c>
      <c r="J82" s="821">
        <f>'[10]Раз.пос.Пр.19-23    '!J82+'[10]Уточнение Пр.1-24-Пр.19-23'!J82</f>
        <v>0</v>
      </c>
      <c r="K82" s="816">
        <f t="shared" si="6"/>
        <v>0</v>
      </c>
      <c r="L82" s="821">
        <f>'[10]Раз.пос.Пр.19-23    '!L82+'[10]Уточнение Пр.1-24-Пр.19-23'!L82</f>
        <v>0</v>
      </c>
      <c r="M82" s="821">
        <f>'[10]Раз.пос.Пр.19-23    '!M82+'[10]Уточнение Пр.1-24-Пр.19-23'!M82</f>
        <v>0</v>
      </c>
      <c r="N82" s="821">
        <f>'[10]Раз.пос.Пр.19-23    '!N82+'[10]Уточнение Пр.1-24-Пр.19-23'!N82</f>
        <v>0</v>
      </c>
      <c r="Q82" s="820"/>
    </row>
    <row r="83" spans="1:17" ht="24" x14ac:dyDescent="0.2">
      <c r="A83" s="639">
        <v>73</v>
      </c>
      <c r="B83" s="633" t="s">
        <v>159</v>
      </c>
      <c r="C83" s="637" t="s">
        <v>160</v>
      </c>
      <c r="D83" s="816">
        <f t="shared" si="5"/>
        <v>7182</v>
      </c>
      <c r="E83" s="821">
        <f>'[10]Раз.пос.Пр.19-23    '!E83+'[10]Уточнение Пр.1-24-Пр.19-23'!E83</f>
        <v>7182</v>
      </c>
      <c r="F83" s="821">
        <v>0</v>
      </c>
      <c r="G83" s="821">
        <f>'[10]Раз.пос.Пр.19-23    '!G83+'[10]Уточнение Пр.1-24-Пр.19-23'!G83</f>
        <v>0</v>
      </c>
      <c r="H83" s="821">
        <f>'[10]Раз.пос.Пр.19-23    '!H83+'[10]Уточнение Пр.1-24-Пр.19-23'!H83</f>
        <v>0</v>
      </c>
      <c r="I83" s="821">
        <f>'[10]Раз.пос.Пр.19-23    '!I83+'[10]Уточнение Пр.1-24-Пр.19-23'!I83</f>
        <v>0</v>
      </c>
      <c r="J83" s="821">
        <f>'[10]Раз.пос.Пр.19-23    '!J83+'[10]Уточнение Пр.1-24-Пр.19-23'!J83</f>
        <v>0</v>
      </c>
      <c r="K83" s="816">
        <f t="shared" si="6"/>
        <v>0</v>
      </c>
      <c r="L83" s="821">
        <f>'[10]Раз.пос.Пр.19-23    '!L83+'[10]Уточнение Пр.1-24-Пр.19-23'!L83</f>
        <v>0</v>
      </c>
      <c r="M83" s="821">
        <f>'[10]Раз.пос.Пр.19-23    '!M83+'[10]Уточнение Пр.1-24-Пр.19-23'!M83</f>
        <v>0</v>
      </c>
      <c r="N83" s="821">
        <f>'[10]Раз.пос.Пр.19-23    '!N83+'[10]Уточнение Пр.1-24-Пр.19-23'!N83</f>
        <v>0</v>
      </c>
      <c r="Q83" s="820"/>
    </row>
    <row r="84" spans="1:17" x14ac:dyDescent="0.2">
      <c r="A84" s="632">
        <v>74</v>
      </c>
      <c r="B84" s="636" t="s">
        <v>161</v>
      </c>
      <c r="C84" s="637" t="s">
        <v>162</v>
      </c>
      <c r="D84" s="816">
        <f t="shared" si="5"/>
        <v>56600</v>
      </c>
      <c r="E84" s="821">
        <f>'[10]Раз.пос.Пр.19-23    '!E84+'[10]Уточнение Пр.1-24-Пр.19-23'!E84</f>
        <v>0</v>
      </c>
      <c r="F84" s="821">
        <v>0</v>
      </c>
      <c r="G84" s="821">
        <f>'[10]Раз.пос.Пр.19-23    '!G84+'[10]Уточнение Пр.1-24-Пр.19-23'!G84</f>
        <v>8821</v>
      </c>
      <c r="H84" s="821">
        <f>'[10]Раз.пос.Пр.19-23    '!H84+'[10]Уточнение Пр.1-24-Пр.19-23'!H84</f>
        <v>47654</v>
      </c>
      <c r="I84" s="821">
        <f>'[10]Раз.пос.Пр.19-23    '!I84+'[10]Уточнение Пр.1-24-Пр.19-23'!I84</f>
        <v>125</v>
      </c>
      <c r="J84" s="821">
        <f>'[10]Раз.пос.Пр.19-23    '!J84+'[10]Уточнение Пр.1-24-Пр.19-23'!J84</f>
        <v>0</v>
      </c>
      <c r="K84" s="816">
        <f t="shared" si="6"/>
        <v>0</v>
      </c>
      <c r="L84" s="821">
        <f>'[10]Раз.пос.Пр.19-23    '!L84+'[10]Уточнение Пр.1-24-Пр.19-23'!L84</f>
        <v>0</v>
      </c>
      <c r="M84" s="821">
        <f>'[10]Раз.пос.Пр.19-23    '!M84+'[10]Уточнение Пр.1-24-Пр.19-23'!M84</f>
        <v>0</v>
      </c>
      <c r="N84" s="821">
        <f>'[10]Раз.пос.Пр.19-23    '!N84+'[10]Уточнение Пр.1-24-Пр.19-23'!N84</f>
        <v>0</v>
      </c>
      <c r="Q84" s="820"/>
    </row>
    <row r="85" spans="1:17" x14ac:dyDescent="0.2">
      <c r="A85" s="639">
        <v>75</v>
      </c>
      <c r="B85" s="633" t="s">
        <v>163</v>
      </c>
      <c r="C85" s="637" t="s">
        <v>164</v>
      </c>
      <c r="D85" s="816">
        <f t="shared" si="5"/>
        <v>66063</v>
      </c>
      <c r="E85" s="821">
        <f>'[10]Раз.пос.Пр.19-23    '!E85+'[10]Уточнение Пр.1-24-Пр.19-23'!E85</f>
        <v>0</v>
      </c>
      <c r="F85" s="821">
        <v>0</v>
      </c>
      <c r="G85" s="821">
        <f>'[10]Раз.пос.Пр.19-23    '!G85+'[10]Уточнение Пр.1-24-Пр.19-23'!G85</f>
        <v>31723</v>
      </c>
      <c r="H85" s="821">
        <f>'[10]Раз.пос.Пр.19-23    '!H85+'[10]Уточнение Пр.1-24-Пр.19-23'!H85</f>
        <v>27054</v>
      </c>
      <c r="I85" s="821">
        <f>'[10]Раз.пос.Пр.19-23    '!I85+'[10]Уточнение Пр.1-24-Пр.19-23'!I85</f>
        <v>3247</v>
      </c>
      <c r="J85" s="821">
        <f>'[10]Раз.пос.Пр.19-23    '!J85+'[10]Уточнение Пр.1-24-Пр.19-23'!J85</f>
        <v>1565</v>
      </c>
      <c r="K85" s="816">
        <f t="shared" si="6"/>
        <v>2474</v>
      </c>
      <c r="L85" s="821">
        <f>'[10]Раз.пос.Пр.19-23    '!L85+'[10]Уточнение Пр.1-24-Пр.19-23'!L85</f>
        <v>0</v>
      </c>
      <c r="M85" s="821">
        <f>'[10]Раз.пос.Пр.19-23    '!M85+'[10]Уточнение Пр.1-24-Пр.19-23'!M85</f>
        <v>2474</v>
      </c>
      <c r="N85" s="821">
        <f>'[10]Раз.пос.Пр.19-23    '!N85+'[10]Уточнение Пр.1-24-Пр.19-23'!N85</f>
        <v>0</v>
      </c>
      <c r="Q85" s="820"/>
    </row>
    <row r="86" spans="1:17" x14ac:dyDescent="0.2">
      <c r="A86" s="632">
        <v>76</v>
      </c>
      <c r="B86" s="636" t="s">
        <v>165</v>
      </c>
      <c r="C86" s="637" t="s">
        <v>166</v>
      </c>
      <c r="D86" s="816">
        <f t="shared" si="5"/>
        <v>30825</v>
      </c>
      <c r="E86" s="821">
        <f>'[10]Раз.пос.Пр.19-23    '!E86+'[10]Уточнение Пр.1-24-Пр.19-23'!E86</f>
        <v>0</v>
      </c>
      <c r="F86" s="821">
        <v>0</v>
      </c>
      <c r="G86" s="821">
        <f>'[10]Раз.пос.Пр.19-23    '!G86+'[10]Уточнение Пр.1-24-Пр.19-23'!G86</f>
        <v>13222</v>
      </c>
      <c r="H86" s="821">
        <f>'[10]Раз.пос.Пр.19-23    '!H86+'[10]Уточнение Пр.1-24-Пр.19-23'!H86</f>
        <v>15205</v>
      </c>
      <c r="I86" s="821">
        <f>'[10]Раз.пос.Пр.19-23    '!I86+'[10]Уточнение Пр.1-24-Пр.19-23'!I86</f>
        <v>1049</v>
      </c>
      <c r="J86" s="821">
        <f>'[10]Раз.пос.Пр.19-23    '!J86+'[10]Уточнение Пр.1-24-Пр.19-23'!J86</f>
        <v>557</v>
      </c>
      <c r="K86" s="816">
        <f t="shared" si="6"/>
        <v>792</v>
      </c>
      <c r="L86" s="821">
        <f>'[10]Раз.пос.Пр.19-23    '!L86+'[10]Уточнение Пр.1-24-Пр.19-23'!L86</f>
        <v>0</v>
      </c>
      <c r="M86" s="821">
        <f>'[10]Раз.пос.Пр.19-23    '!M86+'[10]Уточнение Пр.1-24-Пр.19-23'!M86</f>
        <v>792</v>
      </c>
      <c r="N86" s="821">
        <f>'[10]Раз.пос.Пр.19-23    '!N86+'[10]Уточнение Пр.1-24-Пр.19-23'!N86</f>
        <v>0</v>
      </c>
      <c r="Q86" s="820"/>
    </row>
    <row r="87" spans="1:17" x14ac:dyDescent="0.2">
      <c r="A87" s="639">
        <v>77</v>
      </c>
      <c r="B87" s="638" t="s">
        <v>167</v>
      </c>
      <c r="C87" s="32" t="s">
        <v>168</v>
      </c>
      <c r="D87" s="816">
        <f t="shared" si="5"/>
        <v>12188</v>
      </c>
      <c r="E87" s="821">
        <f>'[10]Раз.пос.Пр.19-23    '!E87+'[10]Уточнение Пр.1-24-Пр.19-23'!E87</f>
        <v>0</v>
      </c>
      <c r="F87" s="821">
        <v>0</v>
      </c>
      <c r="G87" s="821">
        <f>'[10]Раз.пос.Пр.19-23    '!G87+'[10]Уточнение Пр.1-24-Пр.19-23'!G87</f>
        <v>3120</v>
      </c>
      <c r="H87" s="821">
        <f>'[10]Раз.пос.Пр.19-23    '!H87+'[10]Уточнение Пр.1-24-Пр.19-23'!H87</f>
        <v>9068</v>
      </c>
      <c r="I87" s="821">
        <f>'[10]Раз.пос.Пр.19-23    '!I87+'[10]Уточнение Пр.1-24-Пр.19-23'!I87</f>
        <v>0</v>
      </c>
      <c r="J87" s="821">
        <f>'[10]Раз.пос.Пр.19-23    '!J87+'[10]Уточнение Пр.1-24-Пр.19-23'!J87</f>
        <v>0</v>
      </c>
      <c r="K87" s="816">
        <f t="shared" si="6"/>
        <v>0</v>
      </c>
      <c r="L87" s="821">
        <f>'[10]Раз.пос.Пр.19-23    '!L87+'[10]Уточнение Пр.1-24-Пр.19-23'!L87</f>
        <v>0</v>
      </c>
      <c r="M87" s="821">
        <f>'[10]Раз.пос.Пр.19-23    '!M87+'[10]Уточнение Пр.1-24-Пр.19-23'!M87</f>
        <v>0</v>
      </c>
      <c r="N87" s="821">
        <f>'[10]Раз.пос.Пр.19-23    '!N87+'[10]Уточнение Пр.1-24-Пр.19-23'!N87</f>
        <v>0</v>
      </c>
      <c r="Q87" s="820"/>
    </row>
    <row r="88" spans="1:17" x14ac:dyDescent="0.2">
      <c r="A88" s="632">
        <v>78</v>
      </c>
      <c r="B88" s="633" t="s">
        <v>169</v>
      </c>
      <c r="C88" s="637" t="s">
        <v>170</v>
      </c>
      <c r="D88" s="816">
        <f t="shared" si="5"/>
        <v>65233</v>
      </c>
      <c r="E88" s="821">
        <f>'[10]Раз.пос.Пр.19-23    '!E88+'[10]Уточнение Пр.1-24-Пр.19-23'!E88</f>
        <v>0</v>
      </c>
      <c r="F88" s="821">
        <v>0</v>
      </c>
      <c r="G88" s="821">
        <f>'[10]Раз.пос.Пр.19-23    '!G88+'[10]Уточнение Пр.1-24-Пр.19-23'!G88</f>
        <v>28969</v>
      </c>
      <c r="H88" s="821">
        <f>'[10]Раз.пос.Пр.19-23    '!H88+'[10]Уточнение Пр.1-24-Пр.19-23'!H88</f>
        <v>18544</v>
      </c>
      <c r="I88" s="821">
        <f>'[10]Раз.пос.Пр.19-23    '!I88+'[10]Уточнение Пр.1-24-Пр.19-23'!I88</f>
        <v>2050</v>
      </c>
      <c r="J88" s="821">
        <f>'[10]Раз.пос.Пр.19-23    '!J88+'[10]Уточнение Пр.1-24-Пр.19-23'!J88</f>
        <v>1121</v>
      </c>
      <c r="K88" s="816">
        <f t="shared" si="6"/>
        <v>14549</v>
      </c>
      <c r="L88" s="821">
        <f>'[10]Раз.пос.Пр.19-23    '!L88+'[10]Уточнение Пр.1-24-Пр.19-23'!L88</f>
        <v>4818</v>
      </c>
      <c r="M88" s="821">
        <f>'[10]Раз.пос.Пр.19-23    '!M88+'[10]Уточнение Пр.1-24-Пр.19-23'!M88</f>
        <v>9731</v>
      </c>
      <c r="N88" s="821">
        <f>'[10]Раз.пос.Пр.19-23    '!N88+'[10]Уточнение Пр.1-24-Пр.19-23'!N88</f>
        <v>0</v>
      </c>
      <c r="Q88" s="820"/>
    </row>
    <row r="89" spans="1:17" x14ac:dyDescent="0.2">
      <c r="A89" s="639">
        <v>79</v>
      </c>
      <c r="B89" s="638" t="s">
        <v>171</v>
      </c>
      <c r="C89" s="32" t="s">
        <v>172</v>
      </c>
      <c r="D89" s="816">
        <f t="shared" si="5"/>
        <v>60400</v>
      </c>
      <c r="E89" s="821">
        <f>'[10]Раз.пос.Пр.19-23    '!E89+'[10]Уточнение Пр.1-24-Пр.19-23'!E89</f>
        <v>0</v>
      </c>
      <c r="F89" s="821">
        <v>0</v>
      </c>
      <c r="G89" s="821">
        <f>'[10]Раз.пос.Пр.19-23    '!G89+'[10]Уточнение Пр.1-24-Пр.19-23'!G89</f>
        <v>3970</v>
      </c>
      <c r="H89" s="821">
        <f>'[10]Раз.пос.Пр.19-23    '!H89+'[10]Уточнение Пр.1-24-Пр.19-23'!H89</f>
        <v>56430</v>
      </c>
      <c r="I89" s="821">
        <f>'[10]Раз.пос.Пр.19-23    '!I89+'[10]Уточнение Пр.1-24-Пр.19-23'!I89</f>
        <v>0</v>
      </c>
      <c r="J89" s="821">
        <f>'[10]Раз.пос.Пр.19-23    '!J89+'[10]Уточнение Пр.1-24-Пр.19-23'!J89</f>
        <v>0</v>
      </c>
      <c r="K89" s="816">
        <f t="shared" si="6"/>
        <v>0</v>
      </c>
      <c r="L89" s="821">
        <f>'[10]Раз.пос.Пр.19-23    '!L89+'[10]Уточнение Пр.1-24-Пр.19-23'!L89</f>
        <v>0</v>
      </c>
      <c r="M89" s="821">
        <f>'[10]Раз.пос.Пр.19-23    '!M89+'[10]Уточнение Пр.1-24-Пр.19-23'!M89</f>
        <v>0</v>
      </c>
      <c r="N89" s="821">
        <f>'[10]Раз.пос.Пр.19-23    '!N89+'[10]Уточнение Пр.1-24-Пр.19-23'!N89</f>
        <v>0</v>
      </c>
      <c r="Q89" s="820"/>
    </row>
    <row r="90" spans="1:17" x14ac:dyDescent="0.2">
      <c r="A90" s="632">
        <v>80</v>
      </c>
      <c r="B90" s="633" t="s">
        <v>173</v>
      </c>
      <c r="C90" s="637" t="s">
        <v>174</v>
      </c>
      <c r="D90" s="816">
        <f t="shared" si="5"/>
        <v>27744</v>
      </c>
      <c r="E90" s="821">
        <f>'[10]Раз.пос.Пр.19-23    '!E90+'[10]Уточнение Пр.1-24-Пр.19-23'!E90</f>
        <v>0</v>
      </c>
      <c r="F90" s="821">
        <v>0</v>
      </c>
      <c r="G90" s="821">
        <f>'[10]Раз.пос.Пр.19-23    '!G90+'[10]Уточнение Пр.1-24-Пр.19-23'!G90</f>
        <v>15837</v>
      </c>
      <c r="H90" s="821">
        <f>'[10]Раз.пос.Пр.19-23    '!H90+'[10]Уточнение Пр.1-24-Пр.19-23'!H90</f>
        <v>8907</v>
      </c>
      <c r="I90" s="821">
        <f>'[10]Раз.пос.Пр.19-23    '!I90+'[10]Уточнение Пр.1-24-Пр.19-23'!I90</f>
        <v>0</v>
      </c>
      <c r="J90" s="821">
        <f>'[10]Раз.пос.Пр.19-23    '!J90+'[10]Уточнение Пр.1-24-Пр.19-23'!J90</f>
        <v>0</v>
      </c>
      <c r="K90" s="816">
        <f t="shared" si="6"/>
        <v>3000</v>
      </c>
      <c r="L90" s="821">
        <f>'[10]Раз.пос.Пр.19-23    '!L90+'[10]Уточнение Пр.1-24-Пр.19-23'!L90</f>
        <v>0</v>
      </c>
      <c r="M90" s="821">
        <f>'[10]Раз.пос.Пр.19-23    '!M90+'[10]Уточнение Пр.1-24-Пр.19-23'!M90</f>
        <v>3000</v>
      </c>
      <c r="N90" s="821">
        <f>'[10]Раз.пос.Пр.19-23    '!N90+'[10]Уточнение Пр.1-24-Пр.19-23'!N90</f>
        <v>0</v>
      </c>
      <c r="Q90" s="820"/>
    </row>
    <row r="91" spans="1:17" x14ac:dyDescent="0.2">
      <c r="A91" s="639">
        <v>81</v>
      </c>
      <c r="B91" s="638" t="s">
        <v>175</v>
      </c>
      <c r="C91" s="32" t="s">
        <v>742</v>
      </c>
      <c r="D91" s="816">
        <f t="shared" si="5"/>
        <v>14047</v>
      </c>
      <c r="E91" s="821">
        <f>'[10]Раз.пос.Пр.19-23    '!E91+'[10]Уточнение Пр.1-24-Пр.19-23'!E91</f>
        <v>14047</v>
      </c>
      <c r="F91" s="821">
        <v>0</v>
      </c>
      <c r="G91" s="821">
        <f>'[10]Раз.пос.Пр.19-23    '!G91+'[10]Уточнение Пр.1-24-Пр.19-23'!G91</f>
        <v>0</v>
      </c>
      <c r="H91" s="821">
        <f>'[10]Раз.пос.Пр.19-23    '!H91+'[10]Уточнение Пр.1-24-Пр.19-23'!H91</f>
        <v>0</v>
      </c>
      <c r="I91" s="821">
        <f>'[10]Раз.пос.Пр.19-23    '!I91+'[10]Уточнение Пр.1-24-Пр.19-23'!I91</f>
        <v>0</v>
      </c>
      <c r="J91" s="821">
        <f>'[10]Раз.пос.Пр.19-23    '!J91+'[10]Уточнение Пр.1-24-Пр.19-23'!J91</f>
        <v>0</v>
      </c>
      <c r="K91" s="816">
        <f t="shared" si="6"/>
        <v>0</v>
      </c>
      <c r="L91" s="821">
        <f>'[10]Раз.пос.Пр.19-23    '!L91+'[10]Уточнение Пр.1-24-Пр.19-23'!L91</f>
        <v>0</v>
      </c>
      <c r="M91" s="821">
        <f>'[10]Раз.пос.Пр.19-23    '!M91+'[10]Уточнение Пр.1-24-Пр.19-23'!M91</f>
        <v>0</v>
      </c>
      <c r="N91" s="821">
        <f>'[10]Раз.пос.Пр.19-23    '!N91+'[10]Уточнение Пр.1-24-Пр.19-23'!N91</f>
        <v>0</v>
      </c>
      <c r="Q91" s="820"/>
    </row>
    <row r="92" spans="1:17" x14ac:dyDescent="0.2">
      <c r="A92" s="632">
        <v>82</v>
      </c>
      <c r="B92" s="635" t="s">
        <v>177</v>
      </c>
      <c r="C92" s="637" t="s">
        <v>358</v>
      </c>
      <c r="D92" s="816">
        <f t="shared" si="5"/>
        <v>0</v>
      </c>
      <c r="E92" s="821">
        <f>'[10]Раз.пос.Пр.19-23    '!E92+'[10]Уточнение Пр.1-24-Пр.19-23'!E92</f>
        <v>0</v>
      </c>
      <c r="F92" s="821">
        <v>0</v>
      </c>
      <c r="G92" s="821">
        <f>'[10]Раз.пос.Пр.19-23    '!G92+'[10]Уточнение Пр.1-24-Пр.19-23'!G92</f>
        <v>0</v>
      </c>
      <c r="H92" s="821">
        <f>'[10]Раз.пос.Пр.19-23    '!H92+'[10]Уточнение Пр.1-24-Пр.19-23'!H92</f>
        <v>0</v>
      </c>
      <c r="I92" s="821">
        <f>'[10]Раз.пос.Пр.19-23    '!I92+'[10]Уточнение Пр.1-24-Пр.19-23'!I92</f>
        <v>0</v>
      </c>
      <c r="J92" s="821">
        <f>'[10]Раз.пос.Пр.19-23    '!J92+'[10]Уточнение Пр.1-24-Пр.19-23'!J92</f>
        <v>0</v>
      </c>
      <c r="K92" s="816">
        <f t="shared" si="6"/>
        <v>0</v>
      </c>
      <c r="L92" s="821">
        <f>'[10]Раз.пос.Пр.19-23    '!L92+'[10]Уточнение Пр.1-24-Пр.19-23'!L92</f>
        <v>0</v>
      </c>
      <c r="M92" s="821">
        <f>'[10]Раз.пос.Пр.19-23    '!M92+'[10]Уточнение Пр.1-24-Пр.19-23'!M92</f>
        <v>0</v>
      </c>
      <c r="N92" s="821">
        <f>'[10]Раз.пос.Пр.19-23    '!N92+'[10]Уточнение Пр.1-24-Пр.19-23'!N92</f>
        <v>0</v>
      </c>
      <c r="Q92" s="820"/>
    </row>
    <row r="93" spans="1:17" ht="36" x14ac:dyDescent="0.2">
      <c r="A93" s="1070">
        <v>83</v>
      </c>
      <c r="B93" s="1073" t="s">
        <v>178</v>
      </c>
      <c r="C93" s="1" t="s">
        <v>740</v>
      </c>
      <c r="D93" s="816">
        <f t="shared" si="5"/>
        <v>13013</v>
      </c>
      <c r="E93" s="821">
        <f>'[10]Раз.пос.Пр.19-23    '!E93+'[10]Уточнение Пр.1-24-Пр.19-23'!E93</f>
        <v>0</v>
      </c>
      <c r="F93" s="821">
        <v>0</v>
      </c>
      <c r="G93" s="821">
        <f>'[10]Раз.пос.Пр.19-23    '!G93+'[10]Уточнение Пр.1-24-Пр.19-23'!G93</f>
        <v>1265</v>
      </c>
      <c r="H93" s="821">
        <f>'[10]Раз.пос.Пр.19-23    '!H93+'[10]Уточнение Пр.1-24-Пр.19-23'!H93</f>
        <v>3575</v>
      </c>
      <c r="I93" s="821">
        <f>'[10]Раз.пос.Пр.19-23    '!I93+'[10]Уточнение Пр.1-24-Пр.19-23'!I93</f>
        <v>0</v>
      </c>
      <c r="J93" s="821">
        <f>'[10]Раз.пос.Пр.19-23    '!J93+'[10]Уточнение Пр.1-24-Пр.19-23'!J93</f>
        <v>0</v>
      </c>
      <c r="K93" s="816">
        <f t="shared" si="6"/>
        <v>8173</v>
      </c>
      <c r="L93" s="821">
        <f>'[10]Раз.пос.Пр.19-23    '!L93+'[10]Уточнение Пр.1-24-Пр.19-23'!L93</f>
        <v>0</v>
      </c>
      <c r="M93" s="821">
        <f>'[10]Раз.пос.Пр.19-23    '!M93+'[10]Уточнение Пр.1-24-Пр.19-23'!M93</f>
        <v>8173</v>
      </c>
      <c r="N93" s="821">
        <f>'[10]Раз.пос.Пр.19-23    '!N93+'[10]Уточнение Пр.1-24-Пр.19-23'!N93</f>
        <v>0</v>
      </c>
      <c r="Q93" s="820"/>
    </row>
    <row r="94" spans="1:17" ht="24" x14ac:dyDescent="0.2">
      <c r="A94" s="1071"/>
      <c r="B94" s="1074"/>
      <c r="C94" s="637" t="s">
        <v>180</v>
      </c>
      <c r="D94" s="816">
        <f t="shared" si="5"/>
        <v>3735</v>
      </c>
      <c r="E94" s="821">
        <f>'[10]Раз.пос.Пр.19-23    '!E94+'[10]Уточнение Пр.1-24-Пр.19-23'!E94</f>
        <v>3735</v>
      </c>
      <c r="F94" s="821">
        <v>0</v>
      </c>
      <c r="G94" s="821">
        <f>'[10]Раз.пос.Пр.19-23    '!G94+'[10]Уточнение Пр.1-24-Пр.19-23'!G94</f>
        <v>0</v>
      </c>
      <c r="H94" s="821">
        <f>'[10]Раз.пос.Пр.19-23    '!H94+'[10]Уточнение Пр.1-24-Пр.19-23'!H94</f>
        <v>0</v>
      </c>
      <c r="I94" s="821">
        <f>'[10]Раз.пос.Пр.19-23    '!I94+'[10]Уточнение Пр.1-24-Пр.19-23'!I94</f>
        <v>0</v>
      </c>
      <c r="J94" s="821">
        <f>'[10]Раз.пос.Пр.19-23    '!J94+'[10]Уточнение Пр.1-24-Пр.19-23'!J94</f>
        <v>0</v>
      </c>
      <c r="K94" s="816">
        <f t="shared" si="6"/>
        <v>0</v>
      </c>
      <c r="L94" s="821">
        <f>'[10]Раз.пос.Пр.19-23    '!L94+'[10]Уточнение Пр.1-24-Пр.19-23'!L94</f>
        <v>0</v>
      </c>
      <c r="M94" s="821">
        <f>'[10]Раз.пос.Пр.19-23    '!M94+'[10]Уточнение Пр.1-24-Пр.19-23'!M94</f>
        <v>0</v>
      </c>
      <c r="N94" s="821">
        <f>'[10]Раз.пос.Пр.19-23    '!N94+'[10]Уточнение Пр.1-24-Пр.19-23'!N94</f>
        <v>0</v>
      </c>
      <c r="Q94" s="820"/>
    </row>
    <row r="95" spans="1:17" ht="36" x14ac:dyDescent="0.2">
      <c r="A95" s="1072"/>
      <c r="B95" s="1075"/>
      <c r="C95" s="225" t="s">
        <v>507</v>
      </c>
      <c r="D95" s="816">
        <f t="shared" si="5"/>
        <v>8000</v>
      </c>
      <c r="E95" s="821">
        <f>'[10]Раз.пос.Пр.19-23    '!E95+'[10]Уточнение Пр.1-24-Пр.19-23'!E95</f>
        <v>0</v>
      </c>
      <c r="F95" s="821">
        <v>0</v>
      </c>
      <c r="G95" s="821">
        <f>'[10]Раз.пос.Пр.19-23    '!G95+'[10]Уточнение Пр.1-24-Пр.19-23'!G95</f>
        <v>0</v>
      </c>
      <c r="H95" s="821">
        <f>'[10]Раз.пос.Пр.19-23    '!H95+'[10]Уточнение Пр.1-24-Пр.19-23'!H95</f>
        <v>0</v>
      </c>
      <c r="I95" s="821">
        <f>'[10]Раз.пос.Пр.19-23    '!I95+'[10]Уточнение Пр.1-24-Пр.19-23'!I95</f>
        <v>0</v>
      </c>
      <c r="J95" s="821">
        <f>'[10]Раз.пос.Пр.19-23    '!J95+'[10]Уточнение Пр.1-24-Пр.19-23'!J95</f>
        <v>0</v>
      </c>
      <c r="K95" s="816">
        <f t="shared" si="6"/>
        <v>8000</v>
      </c>
      <c r="L95" s="821">
        <f>'[10]Раз.пос.Пр.19-23    '!L95+'[10]Уточнение Пр.1-24-Пр.19-23'!L95</f>
        <v>0</v>
      </c>
      <c r="M95" s="821">
        <f>'[10]Раз.пос.Пр.19-23    '!M95+'[10]Уточнение Пр.1-24-Пр.19-23'!M95</f>
        <v>8000</v>
      </c>
      <c r="N95" s="821">
        <f>'[10]Раз.пос.Пр.19-23    '!N95+'[10]Уточнение Пр.1-24-Пр.19-23'!N95</f>
        <v>0</v>
      </c>
      <c r="Q95" s="820"/>
    </row>
    <row r="96" spans="1:17" ht="24" x14ac:dyDescent="0.2">
      <c r="A96" s="632">
        <v>84</v>
      </c>
      <c r="B96" s="635" t="s">
        <v>181</v>
      </c>
      <c r="C96" s="634" t="s">
        <v>182</v>
      </c>
      <c r="D96" s="816">
        <f t="shared" si="5"/>
        <v>8142</v>
      </c>
      <c r="E96" s="821">
        <f>'[10]Раз.пос.Пр.19-23    '!E96+'[10]Уточнение Пр.1-24-Пр.19-23'!E96</f>
        <v>8142</v>
      </c>
      <c r="F96" s="821">
        <v>0</v>
      </c>
      <c r="G96" s="821">
        <f>'[10]Раз.пос.Пр.19-23    '!G96+'[10]Уточнение Пр.1-24-Пр.19-23'!G96</f>
        <v>0</v>
      </c>
      <c r="H96" s="821">
        <f>'[10]Раз.пос.Пр.19-23    '!H96+'[10]Уточнение Пр.1-24-Пр.19-23'!H96</f>
        <v>0</v>
      </c>
      <c r="I96" s="821">
        <f>'[10]Раз.пос.Пр.19-23    '!I96+'[10]Уточнение Пр.1-24-Пр.19-23'!I96</f>
        <v>0</v>
      </c>
      <c r="J96" s="821">
        <f>'[10]Раз.пос.Пр.19-23    '!J96+'[10]Уточнение Пр.1-24-Пр.19-23'!J96</f>
        <v>0</v>
      </c>
      <c r="K96" s="816">
        <f t="shared" si="6"/>
        <v>0</v>
      </c>
      <c r="L96" s="821">
        <f>'[10]Раз.пос.Пр.19-23    '!L96+'[10]Уточнение Пр.1-24-Пр.19-23'!L96</f>
        <v>0</v>
      </c>
      <c r="M96" s="821">
        <f>'[10]Раз.пос.Пр.19-23    '!M96+'[10]Уточнение Пр.1-24-Пр.19-23'!M96</f>
        <v>0</v>
      </c>
      <c r="N96" s="821">
        <f>'[10]Раз.пос.Пр.19-23    '!N96+'[10]Уточнение Пр.1-24-Пр.19-23'!N96</f>
        <v>0</v>
      </c>
      <c r="Q96" s="820"/>
    </row>
    <row r="97" spans="1:17" x14ac:dyDescent="0.2">
      <c r="A97" s="632">
        <v>85</v>
      </c>
      <c r="B97" s="635" t="s">
        <v>183</v>
      </c>
      <c r="C97" s="32" t="s">
        <v>184</v>
      </c>
      <c r="D97" s="816">
        <f t="shared" si="5"/>
        <v>5613</v>
      </c>
      <c r="E97" s="821">
        <f>'[10]Раз.пос.Пр.19-23    '!E97+'[10]Уточнение Пр.1-24-Пр.19-23'!E97</f>
        <v>0</v>
      </c>
      <c r="F97" s="821">
        <v>0</v>
      </c>
      <c r="G97" s="821">
        <f>'[10]Раз.пос.Пр.19-23    '!G97+'[10]Уточнение Пр.1-24-Пр.19-23'!G97</f>
        <v>1650</v>
      </c>
      <c r="H97" s="821">
        <f>'[10]Раз.пос.Пр.19-23    '!H97+'[10]Уточнение Пр.1-24-Пр.19-23'!H97</f>
        <v>3963</v>
      </c>
      <c r="I97" s="821">
        <f>'[10]Раз.пос.Пр.19-23    '!I97+'[10]Уточнение Пр.1-24-Пр.19-23'!I97</f>
        <v>0</v>
      </c>
      <c r="J97" s="821">
        <f>'[10]Раз.пос.Пр.19-23    '!J97+'[10]Уточнение Пр.1-24-Пр.19-23'!J97</f>
        <v>0</v>
      </c>
      <c r="K97" s="816">
        <f t="shared" si="6"/>
        <v>0</v>
      </c>
      <c r="L97" s="821">
        <f>'[10]Раз.пос.Пр.19-23    '!L97+'[10]Уточнение Пр.1-24-Пр.19-23'!L97</f>
        <v>0</v>
      </c>
      <c r="M97" s="821">
        <f>'[10]Раз.пос.Пр.19-23    '!M97+'[10]Уточнение Пр.1-24-Пр.19-23'!M97</f>
        <v>0</v>
      </c>
      <c r="N97" s="821">
        <f>'[10]Раз.пос.Пр.19-23    '!N97+'[10]Уточнение Пр.1-24-Пр.19-23'!N97</f>
        <v>0</v>
      </c>
      <c r="Q97" s="820"/>
    </row>
    <row r="98" spans="1:17" x14ac:dyDescent="0.2">
      <c r="A98" s="632">
        <v>86</v>
      </c>
      <c r="B98" s="636" t="s">
        <v>185</v>
      </c>
      <c r="C98" s="637" t="s">
        <v>186</v>
      </c>
      <c r="D98" s="816">
        <f t="shared" si="5"/>
        <v>12978</v>
      </c>
      <c r="E98" s="821">
        <f>'[10]Раз.пос.Пр.19-23    '!E98+'[10]Уточнение Пр.1-24-Пр.19-23'!E98</f>
        <v>0</v>
      </c>
      <c r="F98" s="821">
        <v>0</v>
      </c>
      <c r="G98" s="821">
        <f>'[10]Раз.пос.Пр.19-23    '!G98+'[10]Уточнение Пр.1-24-Пр.19-23'!G98</f>
        <v>3397</v>
      </c>
      <c r="H98" s="821">
        <f>'[10]Раз.пос.Пр.19-23    '!H98+'[10]Уточнение Пр.1-24-Пр.19-23'!H98</f>
        <v>8116</v>
      </c>
      <c r="I98" s="821">
        <f>'[10]Раз.пос.Пр.19-23    '!I98+'[10]Уточнение Пр.1-24-Пр.19-23'!I98</f>
        <v>1026</v>
      </c>
      <c r="J98" s="821">
        <f>'[10]Раз.пос.Пр.19-23    '!J98+'[10]Уточнение Пр.1-24-Пр.19-23'!J98</f>
        <v>439</v>
      </c>
      <c r="K98" s="816">
        <f t="shared" si="6"/>
        <v>0</v>
      </c>
      <c r="L98" s="821">
        <f>'[10]Раз.пос.Пр.19-23    '!L98+'[10]Уточнение Пр.1-24-Пр.19-23'!L98</f>
        <v>0</v>
      </c>
      <c r="M98" s="821">
        <f>'[10]Раз.пос.Пр.19-23    '!M98+'[10]Уточнение Пр.1-24-Пр.19-23'!M98</f>
        <v>0</v>
      </c>
      <c r="N98" s="821">
        <f>'[10]Раз.пос.Пр.19-23    '!N98+'[10]Уточнение Пр.1-24-Пр.19-23'!N98</f>
        <v>0</v>
      </c>
      <c r="Q98" s="820"/>
    </row>
    <row r="99" spans="1:17" x14ac:dyDescent="0.2">
      <c r="A99" s="632">
        <v>87</v>
      </c>
      <c r="B99" s="635" t="s">
        <v>187</v>
      </c>
      <c r="C99" s="634" t="s">
        <v>188</v>
      </c>
      <c r="D99" s="816">
        <f t="shared" si="5"/>
        <v>13167</v>
      </c>
      <c r="E99" s="821">
        <f>'[10]Раз.пос.Пр.19-23    '!E99+'[10]Уточнение Пр.1-24-Пр.19-23'!E99</f>
        <v>0</v>
      </c>
      <c r="F99" s="821">
        <v>0</v>
      </c>
      <c r="G99" s="821">
        <f>'[10]Раз.пос.Пр.19-23    '!G99+'[10]Уточнение Пр.1-24-Пр.19-23'!G99</f>
        <v>2344</v>
      </c>
      <c r="H99" s="821">
        <f>'[10]Раз.пос.Пр.19-23    '!H99+'[10]Уточнение Пр.1-24-Пр.19-23'!H99</f>
        <v>10823</v>
      </c>
      <c r="I99" s="821">
        <f>'[10]Раз.пос.Пр.19-23    '!I99+'[10]Уточнение Пр.1-24-Пр.19-23'!I99</f>
        <v>0</v>
      </c>
      <c r="J99" s="821">
        <f>'[10]Раз.пос.Пр.19-23    '!J99+'[10]Уточнение Пр.1-24-Пр.19-23'!J99</f>
        <v>0</v>
      </c>
      <c r="K99" s="816">
        <f t="shared" si="6"/>
        <v>0</v>
      </c>
      <c r="L99" s="821">
        <f>'[10]Раз.пос.Пр.19-23    '!L99+'[10]Уточнение Пр.1-24-Пр.19-23'!L99</f>
        <v>0</v>
      </c>
      <c r="M99" s="821">
        <f>'[10]Раз.пос.Пр.19-23    '!M99+'[10]Уточнение Пр.1-24-Пр.19-23'!M99</f>
        <v>0</v>
      </c>
      <c r="N99" s="821">
        <f>'[10]Раз.пос.Пр.19-23    '!N99+'[10]Уточнение Пр.1-24-Пр.19-23'!N99</f>
        <v>0</v>
      </c>
      <c r="Q99" s="820"/>
    </row>
    <row r="100" spans="1:17" x14ac:dyDescent="0.2">
      <c r="A100" s="632">
        <v>88</v>
      </c>
      <c r="B100" s="636" t="s">
        <v>189</v>
      </c>
      <c r="C100" s="637" t="s">
        <v>190</v>
      </c>
      <c r="D100" s="816">
        <f t="shared" si="5"/>
        <v>11683</v>
      </c>
      <c r="E100" s="821">
        <f>'[10]Раз.пос.Пр.19-23    '!E100+'[10]Уточнение Пр.1-24-Пр.19-23'!E100</f>
        <v>0</v>
      </c>
      <c r="F100" s="821">
        <v>0</v>
      </c>
      <c r="G100" s="821">
        <f>'[10]Раз.пос.Пр.19-23    '!G100+'[10]Уточнение Пр.1-24-Пр.19-23'!G100</f>
        <v>1519</v>
      </c>
      <c r="H100" s="821">
        <f>'[10]Раз.пос.Пр.19-23    '!H100+'[10]Уточнение Пр.1-24-Пр.19-23'!H100</f>
        <v>10164</v>
      </c>
      <c r="I100" s="821">
        <f>'[10]Раз.пос.Пр.19-23    '!I100+'[10]Уточнение Пр.1-24-Пр.19-23'!I100</f>
        <v>0</v>
      </c>
      <c r="J100" s="821">
        <f>'[10]Раз.пос.Пр.19-23    '!J100+'[10]Уточнение Пр.1-24-Пр.19-23'!J100</f>
        <v>0</v>
      </c>
      <c r="K100" s="816">
        <f t="shared" si="6"/>
        <v>0</v>
      </c>
      <c r="L100" s="821">
        <f>'[10]Раз.пос.Пр.19-23    '!L100+'[10]Уточнение Пр.1-24-Пр.19-23'!L100</f>
        <v>0</v>
      </c>
      <c r="M100" s="821">
        <f>'[10]Раз.пос.Пр.19-23    '!M100+'[10]Уточнение Пр.1-24-Пр.19-23'!M100</f>
        <v>0</v>
      </c>
      <c r="N100" s="821">
        <f>'[10]Раз.пос.Пр.19-23    '!N100+'[10]Уточнение Пр.1-24-Пр.19-23'!N100</f>
        <v>0</v>
      </c>
      <c r="Q100" s="820"/>
    </row>
    <row r="101" spans="1:17" x14ac:dyDescent="0.2">
      <c r="A101" s="632">
        <v>89</v>
      </c>
      <c r="B101" s="636" t="s">
        <v>191</v>
      </c>
      <c r="C101" s="637" t="s">
        <v>192</v>
      </c>
      <c r="D101" s="816">
        <f t="shared" si="5"/>
        <v>32007</v>
      </c>
      <c r="E101" s="821">
        <f>'[10]Раз.пос.Пр.19-23    '!E101+'[10]Уточнение Пр.1-24-Пр.19-23'!E101</f>
        <v>0</v>
      </c>
      <c r="F101" s="821">
        <v>0</v>
      </c>
      <c r="G101" s="821">
        <f>'[10]Раз.пос.Пр.19-23    '!G101+'[10]Уточнение Пр.1-24-Пр.19-23'!G101</f>
        <v>11680</v>
      </c>
      <c r="H101" s="821">
        <f>'[10]Раз.пос.Пр.19-23    '!H101+'[10]Уточнение Пр.1-24-Пр.19-23'!H101</f>
        <v>20327</v>
      </c>
      <c r="I101" s="821">
        <f>'[10]Раз.пос.Пр.19-23    '!I101+'[10]Уточнение Пр.1-24-Пр.19-23'!I101</f>
        <v>0</v>
      </c>
      <c r="J101" s="821">
        <f>'[10]Раз.пос.Пр.19-23    '!J101+'[10]Уточнение Пр.1-24-Пр.19-23'!J101</f>
        <v>0</v>
      </c>
      <c r="K101" s="816">
        <f t="shared" si="6"/>
        <v>0</v>
      </c>
      <c r="L101" s="821">
        <f>'[10]Раз.пос.Пр.19-23    '!L101+'[10]Уточнение Пр.1-24-Пр.19-23'!L101</f>
        <v>0</v>
      </c>
      <c r="M101" s="821">
        <f>'[10]Раз.пос.Пр.19-23    '!M101+'[10]Уточнение Пр.1-24-Пр.19-23'!M101</f>
        <v>0</v>
      </c>
      <c r="N101" s="821">
        <f>'[10]Раз.пос.Пр.19-23    '!N101+'[10]Уточнение Пр.1-24-Пр.19-23'!N101</f>
        <v>0</v>
      </c>
      <c r="Q101" s="820"/>
    </row>
    <row r="102" spans="1:17" x14ac:dyDescent="0.2">
      <c r="A102" s="632">
        <v>90</v>
      </c>
      <c r="B102" s="635" t="s">
        <v>193</v>
      </c>
      <c r="C102" s="32" t="s">
        <v>194</v>
      </c>
      <c r="D102" s="816">
        <f t="shared" si="5"/>
        <v>10296</v>
      </c>
      <c r="E102" s="821">
        <f>'[10]Раз.пос.Пр.19-23    '!E102+'[10]Уточнение Пр.1-24-Пр.19-23'!E102</f>
        <v>0</v>
      </c>
      <c r="F102" s="821">
        <v>0</v>
      </c>
      <c r="G102" s="821">
        <f>'[10]Раз.пос.Пр.19-23    '!G102+'[10]Уточнение Пр.1-24-Пр.19-23'!G102</f>
        <v>2361</v>
      </c>
      <c r="H102" s="821">
        <f>'[10]Раз.пос.Пр.19-23    '!H102+'[10]Уточнение Пр.1-24-Пр.19-23'!H102</f>
        <v>6979</v>
      </c>
      <c r="I102" s="821">
        <f>'[10]Раз.пос.Пр.19-23    '!I102+'[10]Уточнение Пр.1-24-Пр.19-23'!I102</f>
        <v>956</v>
      </c>
      <c r="J102" s="821">
        <f>'[10]Раз.пос.Пр.19-23    '!J102+'[10]Уточнение Пр.1-24-Пр.19-23'!J102</f>
        <v>0</v>
      </c>
      <c r="K102" s="816">
        <f t="shared" si="6"/>
        <v>0</v>
      </c>
      <c r="L102" s="821">
        <f>'[10]Раз.пос.Пр.19-23    '!L102+'[10]Уточнение Пр.1-24-Пр.19-23'!L102</f>
        <v>0</v>
      </c>
      <c r="M102" s="821">
        <f>'[10]Раз.пос.Пр.19-23    '!M102+'[10]Уточнение Пр.1-24-Пр.19-23'!M102</f>
        <v>0</v>
      </c>
      <c r="N102" s="821">
        <f>'[10]Раз.пос.Пр.19-23    '!N102+'[10]Уточнение Пр.1-24-Пр.19-23'!N102</f>
        <v>0</v>
      </c>
      <c r="Q102" s="820"/>
    </row>
    <row r="103" spans="1:17" x14ac:dyDescent="0.2">
      <c r="A103" s="632">
        <v>91</v>
      </c>
      <c r="B103" s="635" t="s">
        <v>195</v>
      </c>
      <c r="C103" s="634" t="s">
        <v>196</v>
      </c>
      <c r="D103" s="816">
        <f t="shared" si="5"/>
        <v>18886</v>
      </c>
      <c r="E103" s="821">
        <f>'[10]Раз.пос.Пр.19-23    '!E103+'[10]Уточнение Пр.1-24-Пр.19-23'!E103</f>
        <v>0</v>
      </c>
      <c r="F103" s="821">
        <v>0</v>
      </c>
      <c r="G103" s="821">
        <f>'[10]Раз.пос.Пр.19-23    '!G103+'[10]Уточнение Пр.1-24-Пр.19-23'!G103</f>
        <v>5156</v>
      </c>
      <c r="H103" s="821">
        <f>'[10]Раз.пос.Пр.19-23    '!H103+'[10]Уточнение Пр.1-24-Пр.19-23'!H103</f>
        <v>11969</v>
      </c>
      <c r="I103" s="821">
        <f>'[10]Раз.пос.Пр.19-23    '!I103+'[10]Уточнение Пр.1-24-Пр.19-23'!I103</f>
        <v>1025</v>
      </c>
      <c r="J103" s="821">
        <f>'[10]Раз.пос.Пр.19-23    '!J103+'[10]Уточнение Пр.1-24-Пр.19-23'!J103</f>
        <v>736</v>
      </c>
      <c r="K103" s="816">
        <f t="shared" si="6"/>
        <v>0</v>
      </c>
      <c r="L103" s="821">
        <f>'[10]Раз.пос.Пр.19-23    '!L103+'[10]Уточнение Пр.1-24-Пр.19-23'!L103</f>
        <v>0</v>
      </c>
      <c r="M103" s="821">
        <f>'[10]Раз.пос.Пр.19-23    '!M103+'[10]Уточнение Пр.1-24-Пр.19-23'!M103</f>
        <v>0</v>
      </c>
      <c r="N103" s="821">
        <f>'[10]Раз.пос.Пр.19-23    '!N103+'[10]Уточнение Пр.1-24-Пр.19-23'!N103</f>
        <v>0</v>
      </c>
      <c r="Q103" s="820"/>
    </row>
    <row r="104" spans="1:17" x14ac:dyDescent="0.2">
      <c r="A104" s="632">
        <v>92</v>
      </c>
      <c r="B104" s="633" t="s">
        <v>197</v>
      </c>
      <c r="C104" s="634" t="s">
        <v>198</v>
      </c>
      <c r="D104" s="816">
        <f t="shared" si="5"/>
        <v>43852</v>
      </c>
      <c r="E104" s="821">
        <f>'[10]Раз.пос.Пр.19-23    '!E104+'[10]Уточнение Пр.1-24-Пр.19-23'!E104</f>
        <v>0</v>
      </c>
      <c r="F104" s="821">
        <v>0</v>
      </c>
      <c r="G104" s="821">
        <f>'[10]Раз.пос.Пр.19-23    '!G104+'[10]Уточнение Пр.1-24-Пр.19-23'!G104</f>
        <v>2868</v>
      </c>
      <c r="H104" s="821">
        <f>'[10]Раз.пос.Пр.19-23    '!H104+'[10]Уточнение Пр.1-24-Пр.19-23'!H104</f>
        <v>40984</v>
      </c>
      <c r="I104" s="821">
        <f>'[10]Раз.пос.Пр.19-23    '!I104+'[10]Уточнение Пр.1-24-Пр.19-23'!I104</f>
        <v>0</v>
      </c>
      <c r="J104" s="821">
        <f>'[10]Раз.пос.Пр.19-23    '!J104+'[10]Уточнение Пр.1-24-Пр.19-23'!J104</f>
        <v>0</v>
      </c>
      <c r="K104" s="816">
        <f t="shared" si="6"/>
        <v>0</v>
      </c>
      <c r="L104" s="821">
        <f>'[10]Раз.пос.Пр.19-23    '!L104+'[10]Уточнение Пр.1-24-Пр.19-23'!L104</f>
        <v>0</v>
      </c>
      <c r="M104" s="821">
        <f>'[10]Раз.пос.Пр.19-23    '!M104+'[10]Уточнение Пр.1-24-Пр.19-23'!M104</f>
        <v>0</v>
      </c>
      <c r="N104" s="821">
        <f>'[10]Раз.пос.Пр.19-23    '!N104+'[10]Уточнение Пр.1-24-Пр.19-23'!N104</f>
        <v>0</v>
      </c>
      <c r="Q104" s="820"/>
    </row>
    <row r="105" spans="1:17" x14ac:dyDescent="0.2">
      <c r="A105" s="632">
        <v>93</v>
      </c>
      <c r="B105" s="633" t="s">
        <v>199</v>
      </c>
      <c r="C105" s="634" t="s">
        <v>200</v>
      </c>
      <c r="D105" s="816">
        <f t="shared" si="5"/>
        <v>33142</v>
      </c>
      <c r="E105" s="821">
        <f>'[10]Раз.пос.Пр.19-23    '!E105+'[10]Уточнение Пр.1-24-Пр.19-23'!E105</f>
        <v>0</v>
      </c>
      <c r="F105" s="821">
        <v>0</v>
      </c>
      <c r="G105" s="821">
        <f>'[10]Раз.пос.Пр.19-23    '!G105+'[10]Уточнение Пр.1-24-Пр.19-23'!G105</f>
        <v>9596</v>
      </c>
      <c r="H105" s="821">
        <f>'[10]Раз.пос.Пр.19-23    '!H105+'[10]Уточнение Пр.1-24-Пр.19-23'!H105</f>
        <v>23546</v>
      </c>
      <c r="I105" s="821">
        <f>'[10]Раз.пос.Пр.19-23    '!I105+'[10]Уточнение Пр.1-24-Пр.19-23'!I105</f>
        <v>0</v>
      </c>
      <c r="J105" s="821">
        <f>'[10]Раз.пос.Пр.19-23    '!J105+'[10]Уточнение Пр.1-24-Пр.19-23'!J105</f>
        <v>0</v>
      </c>
      <c r="K105" s="816">
        <f t="shared" si="6"/>
        <v>0</v>
      </c>
      <c r="L105" s="821">
        <f>'[10]Раз.пос.Пр.19-23    '!L105+'[10]Уточнение Пр.1-24-Пр.19-23'!L105</f>
        <v>0</v>
      </c>
      <c r="M105" s="821">
        <f>'[10]Раз.пос.Пр.19-23    '!M105+'[10]Уточнение Пр.1-24-Пр.19-23'!M105</f>
        <v>0</v>
      </c>
      <c r="N105" s="821">
        <f>'[10]Раз.пос.Пр.19-23    '!N105+'[10]Уточнение Пр.1-24-Пр.19-23'!N105</f>
        <v>0</v>
      </c>
      <c r="Q105" s="820"/>
    </row>
    <row r="106" spans="1:17" x14ac:dyDescent="0.2">
      <c r="A106" s="632">
        <v>94</v>
      </c>
      <c r="B106" s="636" t="s">
        <v>201</v>
      </c>
      <c r="C106" s="637" t="s">
        <v>202</v>
      </c>
      <c r="D106" s="816">
        <f t="shared" si="5"/>
        <v>9725</v>
      </c>
      <c r="E106" s="821">
        <f>'[10]Раз.пос.Пр.19-23    '!E106+'[10]Уточнение Пр.1-24-Пр.19-23'!E106</f>
        <v>0</v>
      </c>
      <c r="F106" s="821">
        <v>0</v>
      </c>
      <c r="G106" s="821">
        <f>'[10]Раз.пос.Пр.19-23    '!G106+'[10]Уточнение Пр.1-24-Пр.19-23'!G106</f>
        <v>1074</v>
      </c>
      <c r="H106" s="821">
        <f>'[10]Раз.пос.Пр.19-23    '!H106+'[10]Уточнение Пр.1-24-Пр.19-23'!H106</f>
        <v>8651</v>
      </c>
      <c r="I106" s="821">
        <f>'[10]Раз.пос.Пр.19-23    '!I106+'[10]Уточнение Пр.1-24-Пр.19-23'!I106</f>
        <v>0</v>
      </c>
      <c r="J106" s="821">
        <f>'[10]Раз.пос.Пр.19-23    '!J106+'[10]Уточнение Пр.1-24-Пр.19-23'!J106</f>
        <v>0</v>
      </c>
      <c r="K106" s="816">
        <f t="shared" si="6"/>
        <v>0</v>
      </c>
      <c r="L106" s="821">
        <f>'[10]Раз.пос.Пр.19-23    '!L106+'[10]Уточнение Пр.1-24-Пр.19-23'!L106</f>
        <v>0</v>
      </c>
      <c r="M106" s="821">
        <f>'[10]Раз.пос.Пр.19-23    '!M106+'[10]Уточнение Пр.1-24-Пр.19-23'!M106</f>
        <v>0</v>
      </c>
      <c r="N106" s="821">
        <f>'[10]Раз.пос.Пр.19-23    '!N106+'[10]Уточнение Пр.1-24-Пр.19-23'!N106</f>
        <v>0</v>
      </c>
      <c r="Q106" s="820"/>
    </row>
    <row r="107" spans="1:17" x14ac:dyDescent="0.2">
      <c r="A107" s="632">
        <v>95</v>
      </c>
      <c r="B107" s="638" t="s">
        <v>203</v>
      </c>
      <c r="C107" s="32" t="s">
        <v>204</v>
      </c>
      <c r="D107" s="816">
        <f t="shared" si="5"/>
        <v>9512</v>
      </c>
      <c r="E107" s="821">
        <f>'[10]Раз.пос.Пр.19-23    '!E107+'[10]Уточнение Пр.1-24-Пр.19-23'!E107</f>
        <v>0</v>
      </c>
      <c r="F107" s="821">
        <v>0</v>
      </c>
      <c r="G107" s="821">
        <f>'[10]Раз.пос.Пр.19-23    '!G107+'[10]Уточнение Пр.1-24-Пр.19-23'!G107</f>
        <v>4197</v>
      </c>
      <c r="H107" s="821">
        <f>'[10]Раз.пос.Пр.19-23    '!H107+'[10]Уточнение Пр.1-24-Пр.19-23'!H107</f>
        <v>5315</v>
      </c>
      <c r="I107" s="821">
        <f>'[10]Раз.пос.Пр.19-23    '!I107+'[10]Уточнение Пр.1-24-Пр.19-23'!I107</f>
        <v>0</v>
      </c>
      <c r="J107" s="821">
        <f>'[10]Раз.пос.Пр.19-23    '!J107+'[10]Уточнение Пр.1-24-Пр.19-23'!J107</f>
        <v>0</v>
      </c>
      <c r="K107" s="816">
        <f t="shared" si="6"/>
        <v>0</v>
      </c>
      <c r="L107" s="821">
        <f>'[10]Раз.пос.Пр.19-23    '!L107+'[10]Уточнение Пр.1-24-Пр.19-23'!L107</f>
        <v>0</v>
      </c>
      <c r="M107" s="821">
        <f>'[10]Раз.пос.Пр.19-23    '!M107+'[10]Уточнение Пр.1-24-Пр.19-23'!M107</f>
        <v>0</v>
      </c>
      <c r="N107" s="821">
        <f>'[10]Раз.пос.Пр.19-23    '!N107+'[10]Уточнение Пр.1-24-Пр.19-23'!N107</f>
        <v>0</v>
      </c>
      <c r="Q107" s="820"/>
    </row>
    <row r="108" spans="1:17" x14ac:dyDescent="0.2">
      <c r="A108" s="632">
        <v>96</v>
      </c>
      <c r="B108" s="633" t="s">
        <v>205</v>
      </c>
      <c r="C108" s="634" t="s">
        <v>206</v>
      </c>
      <c r="D108" s="816">
        <f t="shared" si="5"/>
        <v>13282</v>
      </c>
      <c r="E108" s="821">
        <f>'[10]Раз.пос.Пр.19-23    '!E108+'[10]Уточнение Пр.1-24-Пр.19-23'!E108</f>
        <v>0</v>
      </c>
      <c r="F108" s="821">
        <v>0</v>
      </c>
      <c r="G108" s="821">
        <f>'[10]Раз.пос.Пр.19-23    '!G108+'[10]Уточнение Пр.1-24-Пр.19-23'!G108</f>
        <v>5809</v>
      </c>
      <c r="H108" s="821">
        <f>'[10]Раз.пос.Пр.19-23    '!H108+'[10]Уточнение Пр.1-24-Пр.19-23'!H108</f>
        <v>7473</v>
      </c>
      <c r="I108" s="821">
        <f>'[10]Раз.пос.Пр.19-23    '!I108+'[10]Уточнение Пр.1-24-Пр.19-23'!I108</f>
        <v>0</v>
      </c>
      <c r="J108" s="821">
        <f>'[10]Раз.пос.Пр.19-23    '!J108+'[10]Уточнение Пр.1-24-Пр.19-23'!J108</f>
        <v>0</v>
      </c>
      <c r="K108" s="816">
        <f t="shared" si="6"/>
        <v>0</v>
      </c>
      <c r="L108" s="821">
        <f>'[10]Раз.пос.Пр.19-23    '!L108+'[10]Уточнение Пр.1-24-Пр.19-23'!L108</f>
        <v>0</v>
      </c>
      <c r="M108" s="821">
        <f>'[10]Раз.пос.Пр.19-23    '!M108+'[10]Уточнение Пр.1-24-Пр.19-23'!M108</f>
        <v>0</v>
      </c>
      <c r="N108" s="821">
        <f>'[10]Раз.пос.Пр.19-23    '!N108+'[10]Уточнение Пр.1-24-Пр.19-23'!N108</f>
        <v>0</v>
      </c>
      <c r="Q108" s="820"/>
    </row>
    <row r="109" spans="1:17" x14ac:dyDescent="0.2">
      <c r="A109" s="632">
        <v>97</v>
      </c>
      <c r="B109" s="635" t="s">
        <v>207</v>
      </c>
      <c r="C109" s="634" t="s">
        <v>208</v>
      </c>
      <c r="D109" s="816">
        <f t="shared" si="5"/>
        <v>12489</v>
      </c>
      <c r="E109" s="821">
        <f>'[10]Раз.пос.Пр.19-23    '!E109+'[10]Уточнение Пр.1-24-Пр.19-23'!E109</f>
        <v>0</v>
      </c>
      <c r="F109" s="821">
        <v>0</v>
      </c>
      <c r="G109" s="821">
        <f>'[10]Раз.пос.Пр.19-23    '!G109+'[10]Уточнение Пр.1-24-Пр.19-23'!G109</f>
        <v>4735</v>
      </c>
      <c r="H109" s="821">
        <f>'[10]Раз.пос.Пр.19-23    '!H109+'[10]Уточнение Пр.1-24-Пр.19-23'!H109</f>
        <v>6285</v>
      </c>
      <c r="I109" s="821">
        <f>'[10]Раз.пос.Пр.19-23    '!I109+'[10]Уточнение Пр.1-24-Пр.19-23'!I109</f>
        <v>989</v>
      </c>
      <c r="J109" s="821">
        <f>'[10]Раз.пос.Пр.19-23    '!J109+'[10]Уточнение Пр.1-24-Пр.19-23'!J109</f>
        <v>439</v>
      </c>
      <c r="K109" s="816">
        <f t="shared" si="6"/>
        <v>41</v>
      </c>
      <c r="L109" s="821">
        <f>'[10]Раз.пос.Пр.19-23    '!L109+'[10]Уточнение Пр.1-24-Пр.19-23'!L109</f>
        <v>0</v>
      </c>
      <c r="M109" s="821">
        <f>'[10]Раз.пос.Пр.19-23    '!M109+'[10]Уточнение Пр.1-24-Пр.19-23'!M109</f>
        <v>41</v>
      </c>
      <c r="N109" s="821">
        <f>'[10]Раз.пос.Пр.19-23    '!N109+'[10]Уточнение Пр.1-24-Пр.19-23'!N109</f>
        <v>0</v>
      </c>
      <c r="Q109" s="820"/>
    </row>
    <row r="110" spans="1:17" x14ac:dyDescent="0.2">
      <c r="A110" s="632">
        <v>98</v>
      </c>
      <c r="B110" s="636" t="s">
        <v>209</v>
      </c>
      <c r="C110" s="637" t="s">
        <v>210</v>
      </c>
      <c r="D110" s="816">
        <f t="shared" si="5"/>
        <v>11495</v>
      </c>
      <c r="E110" s="821">
        <f>'[10]Раз.пос.Пр.19-23    '!E110+'[10]Уточнение Пр.1-24-Пр.19-23'!E110</f>
        <v>0</v>
      </c>
      <c r="F110" s="821">
        <v>0</v>
      </c>
      <c r="G110" s="821">
        <f>'[10]Раз.пос.Пр.19-23    '!G110+'[10]Уточнение Пр.1-24-Пр.19-23'!G110</f>
        <v>5558</v>
      </c>
      <c r="H110" s="821">
        <f>'[10]Раз.пос.Пр.19-23    '!H110+'[10]Уточнение Пр.1-24-Пр.19-23'!H110</f>
        <v>5937</v>
      </c>
      <c r="I110" s="821">
        <f>'[10]Раз.пос.Пр.19-23    '!I110+'[10]Уточнение Пр.1-24-Пр.19-23'!I110</f>
        <v>0</v>
      </c>
      <c r="J110" s="821">
        <f>'[10]Раз.пос.Пр.19-23    '!J110+'[10]Уточнение Пр.1-24-Пр.19-23'!J110</f>
        <v>0</v>
      </c>
      <c r="K110" s="816">
        <f t="shared" si="6"/>
        <v>0</v>
      </c>
      <c r="L110" s="821">
        <f>'[10]Раз.пос.Пр.19-23    '!L110+'[10]Уточнение Пр.1-24-Пр.19-23'!L110</f>
        <v>0</v>
      </c>
      <c r="M110" s="821">
        <f>'[10]Раз.пос.Пр.19-23    '!M110+'[10]Уточнение Пр.1-24-Пр.19-23'!M110</f>
        <v>0</v>
      </c>
      <c r="N110" s="821">
        <f>'[10]Раз.пос.Пр.19-23    '!N110+'[10]Уточнение Пр.1-24-Пр.19-23'!N110</f>
        <v>0</v>
      </c>
      <c r="Q110" s="820"/>
    </row>
    <row r="111" spans="1:17" x14ac:dyDescent="0.2">
      <c r="A111" s="632">
        <v>99</v>
      </c>
      <c r="B111" s="636" t="s">
        <v>211</v>
      </c>
      <c r="C111" s="637" t="s">
        <v>212</v>
      </c>
      <c r="D111" s="816">
        <f t="shared" si="5"/>
        <v>15898</v>
      </c>
      <c r="E111" s="821">
        <f>'[10]Раз.пос.Пр.19-23    '!E111+'[10]Уточнение Пр.1-24-Пр.19-23'!E111</f>
        <v>0</v>
      </c>
      <c r="F111" s="821">
        <v>0</v>
      </c>
      <c r="G111" s="821">
        <f>'[10]Раз.пос.Пр.19-23    '!G111+'[10]Уточнение Пр.1-24-Пр.19-23'!G111</f>
        <v>3053</v>
      </c>
      <c r="H111" s="821">
        <f>'[10]Раз.пос.Пр.19-23    '!H111+'[10]Уточнение Пр.1-24-Пр.19-23'!H111</f>
        <v>12845</v>
      </c>
      <c r="I111" s="821">
        <f>'[10]Раз.пос.Пр.19-23    '!I111+'[10]Уточнение Пр.1-24-Пр.19-23'!I111</f>
        <v>0</v>
      </c>
      <c r="J111" s="821">
        <f>'[10]Раз.пос.Пр.19-23    '!J111+'[10]Уточнение Пр.1-24-Пр.19-23'!J111</f>
        <v>0</v>
      </c>
      <c r="K111" s="816">
        <f t="shared" si="6"/>
        <v>0</v>
      </c>
      <c r="L111" s="821">
        <f>'[10]Раз.пос.Пр.19-23    '!L111+'[10]Уточнение Пр.1-24-Пр.19-23'!L111</f>
        <v>0</v>
      </c>
      <c r="M111" s="821">
        <f>'[10]Раз.пос.Пр.19-23    '!M111+'[10]Уточнение Пр.1-24-Пр.19-23'!M111</f>
        <v>0</v>
      </c>
      <c r="N111" s="821">
        <f>'[10]Раз.пос.Пр.19-23    '!N111+'[10]Уточнение Пр.1-24-Пр.19-23'!N111</f>
        <v>0</v>
      </c>
      <c r="Q111" s="820"/>
    </row>
    <row r="112" spans="1:17" x14ac:dyDescent="0.2">
      <c r="A112" s="632">
        <v>100</v>
      </c>
      <c r="B112" s="633" t="s">
        <v>213</v>
      </c>
      <c r="C112" s="634" t="s">
        <v>214</v>
      </c>
      <c r="D112" s="816">
        <f t="shared" si="5"/>
        <v>29627</v>
      </c>
      <c r="E112" s="821">
        <f>'[10]Раз.пос.Пр.19-23    '!E112+'[10]Уточнение Пр.1-24-Пр.19-23'!E112</f>
        <v>0</v>
      </c>
      <c r="F112" s="821">
        <v>0</v>
      </c>
      <c r="G112" s="821">
        <f>'[10]Раз.пос.Пр.19-23    '!G112+'[10]Уточнение Пр.1-24-Пр.19-23'!G112</f>
        <v>7889</v>
      </c>
      <c r="H112" s="821">
        <f>'[10]Раз.пос.Пр.19-23    '!H112+'[10]Уточнение Пр.1-24-Пр.19-23'!H112</f>
        <v>21645</v>
      </c>
      <c r="I112" s="821">
        <f>'[10]Раз.пос.Пр.19-23    '!I112+'[10]Уточнение Пр.1-24-Пр.19-23'!I112</f>
        <v>0</v>
      </c>
      <c r="J112" s="821">
        <f>'[10]Раз.пос.Пр.19-23    '!J112+'[10]Уточнение Пр.1-24-Пр.19-23'!J112</f>
        <v>0</v>
      </c>
      <c r="K112" s="816">
        <f t="shared" si="6"/>
        <v>93</v>
      </c>
      <c r="L112" s="821">
        <f>'[10]Раз.пос.Пр.19-23    '!L112+'[10]Уточнение Пр.1-24-Пр.19-23'!L112</f>
        <v>0</v>
      </c>
      <c r="M112" s="821">
        <f>'[10]Раз.пос.Пр.19-23    '!M112+'[10]Уточнение Пр.1-24-Пр.19-23'!M112</f>
        <v>93</v>
      </c>
      <c r="N112" s="821">
        <f>'[10]Раз.пос.Пр.19-23    '!N112+'[10]Уточнение Пр.1-24-Пр.19-23'!N112</f>
        <v>0</v>
      </c>
      <c r="Q112" s="820"/>
    </row>
    <row r="113" spans="1:17" x14ac:dyDescent="0.2">
      <c r="A113" s="632">
        <v>101</v>
      </c>
      <c r="B113" s="635" t="s">
        <v>215</v>
      </c>
      <c r="C113" s="634" t="s">
        <v>216</v>
      </c>
      <c r="D113" s="816">
        <f t="shared" si="5"/>
        <v>16925</v>
      </c>
      <c r="E113" s="821">
        <f>'[10]Раз.пос.Пр.19-23    '!E113+'[10]Уточнение Пр.1-24-Пр.19-23'!E113</f>
        <v>0</v>
      </c>
      <c r="F113" s="821">
        <v>0</v>
      </c>
      <c r="G113" s="821">
        <f>'[10]Раз.пос.Пр.19-23    '!G113+'[10]Уточнение Пр.1-24-Пр.19-23'!G113</f>
        <v>1521</v>
      </c>
      <c r="H113" s="821">
        <f>'[10]Раз.пос.Пр.19-23    '!H113+'[10]Уточнение Пр.1-24-Пр.19-23'!H113</f>
        <v>15404</v>
      </c>
      <c r="I113" s="821">
        <f>'[10]Раз.пос.Пр.19-23    '!I113+'[10]Уточнение Пр.1-24-Пр.19-23'!I113</f>
        <v>0</v>
      </c>
      <c r="J113" s="821">
        <f>'[10]Раз.пос.Пр.19-23    '!J113+'[10]Уточнение Пр.1-24-Пр.19-23'!J113</f>
        <v>0</v>
      </c>
      <c r="K113" s="816">
        <f t="shared" si="6"/>
        <v>0</v>
      </c>
      <c r="L113" s="821">
        <f>'[10]Раз.пос.Пр.19-23    '!L113+'[10]Уточнение Пр.1-24-Пр.19-23'!L113</f>
        <v>0</v>
      </c>
      <c r="M113" s="821">
        <f>'[10]Раз.пос.Пр.19-23    '!M113+'[10]Уточнение Пр.1-24-Пр.19-23'!M113</f>
        <v>0</v>
      </c>
      <c r="N113" s="821">
        <f>'[10]Раз.пос.Пр.19-23    '!N113+'[10]Уточнение Пр.1-24-Пр.19-23'!N113</f>
        <v>0</v>
      </c>
      <c r="Q113" s="820"/>
    </row>
    <row r="114" spans="1:17" x14ac:dyDescent="0.2">
      <c r="A114" s="632">
        <v>102</v>
      </c>
      <c r="B114" s="633" t="s">
        <v>217</v>
      </c>
      <c r="C114" s="637" t="s">
        <v>218</v>
      </c>
      <c r="D114" s="816">
        <f t="shared" si="5"/>
        <v>6402</v>
      </c>
      <c r="E114" s="821">
        <f>'[10]Раз.пос.Пр.19-23    '!E114+'[10]Уточнение Пр.1-24-Пр.19-23'!E114</f>
        <v>6402</v>
      </c>
      <c r="F114" s="821">
        <v>0</v>
      </c>
      <c r="G114" s="821">
        <f>'[10]Раз.пос.Пр.19-23    '!G114+'[10]Уточнение Пр.1-24-Пр.19-23'!G114</f>
        <v>0</v>
      </c>
      <c r="H114" s="821">
        <f>'[10]Раз.пос.Пр.19-23    '!H114+'[10]Уточнение Пр.1-24-Пр.19-23'!H114</f>
        <v>0</v>
      </c>
      <c r="I114" s="821">
        <f>'[10]Раз.пос.Пр.19-23    '!I114+'[10]Уточнение Пр.1-24-Пр.19-23'!I114</f>
        <v>0</v>
      </c>
      <c r="J114" s="821">
        <f>'[10]Раз.пос.Пр.19-23    '!J114+'[10]Уточнение Пр.1-24-Пр.19-23'!J114</f>
        <v>0</v>
      </c>
      <c r="K114" s="816">
        <f t="shared" si="6"/>
        <v>0</v>
      </c>
      <c r="L114" s="821">
        <f>'[10]Раз.пос.Пр.19-23    '!L114+'[10]Уточнение Пр.1-24-Пр.19-23'!L114</f>
        <v>0</v>
      </c>
      <c r="M114" s="821">
        <f>'[10]Раз.пос.Пр.19-23    '!M114+'[10]Уточнение Пр.1-24-Пр.19-23'!M114</f>
        <v>0</v>
      </c>
      <c r="N114" s="821">
        <f>'[10]Раз.пос.Пр.19-23    '!N114+'[10]Уточнение Пр.1-24-Пр.19-23'!N114</f>
        <v>0</v>
      </c>
      <c r="Q114" s="820"/>
    </row>
    <row r="115" spans="1:17" x14ac:dyDescent="0.2">
      <c r="A115" s="632">
        <v>103</v>
      </c>
      <c r="B115" s="633" t="s">
        <v>219</v>
      </c>
      <c r="C115" s="634" t="s">
        <v>220</v>
      </c>
      <c r="D115" s="816">
        <f t="shared" si="5"/>
        <v>0</v>
      </c>
      <c r="E115" s="821">
        <f>'[10]Раз.пос.Пр.19-23    '!E115+'[10]Уточнение Пр.1-24-Пр.19-23'!E115</f>
        <v>0</v>
      </c>
      <c r="F115" s="821">
        <v>0</v>
      </c>
      <c r="G115" s="821">
        <f>'[10]Раз.пос.Пр.19-23    '!G115+'[10]Уточнение Пр.1-24-Пр.19-23'!G115</f>
        <v>0</v>
      </c>
      <c r="H115" s="821">
        <f>'[10]Раз.пос.Пр.19-23    '!H115+'[10]Уточнение Пр.1-24-Пр.19-23'!H115</f>
        <v>0</v>
      </c>
      <c r="I115" s="821">
        <f>'[10]Раз.пос.Пр.19-23    '!I115+'[10]Уточнение Пр.1-24-Пр.19-23'!I115</f>
        <v>0</v>
      </c>
      <c r="J115" s="821">
        <f>'[10]Раз.пос.Пр.19-23    '!J115+'[10]Уточнение Пр.1-24-Пр.19-23'!J115</f>
        <v>0</v>
      </c>
      <c r="K115" s="816">
        <f t="shared" si="6"/>
        <v>0</v>
      </c>
      <c r="L115" s="821">
        <f>'[10]Раз.пос.Пр.19-23    '!L115+'[10]Уточнение Пр.1-24-Пр.19-23'!L115</f>
        <v>0</v>
      </c>
      <c r="M115" s="821">
        <f>'[10]Раз.пос.Пр.19-23    '!M115+'[10]Уточнение Пр.1-24-Пр.19-23'!M115</f>
        <v>0</v>
      </c>
      <c r="N115" s="821">
        <f>'[10]Раз.пос.Пр.19-23    '!N115+'[10]Уточнение Пр.1-24-Пр.19-23'!N115</f>
        <v>0</v>
      </c>
      <c r="Q115" s="820"/>
    </row>
    <row r="116" spans="1:17" x14ac:dyDescent="0.2">
      <c r="A116" s="632">
        <v>104</v>
      </c>
      <c r="B116" s="636" t="s">
        <v>221</v>
      </c>
      <c r="C116" s="637" t="s">
        <v>222</v>
      </c>
      <c r="D116" s="816">
        <f t="shared" si="5"/>
        <v>933</v>
      </c>
      <c r="E116" s="821">
        <f>'[10]Раз.пос.Пр.19-23    '!E116+'[10]Уточнение Пр.1-24-Пр.19-23'!E116</f>
        <v>933</v>
      </c>
      <c r="F116" s="821">
        <v>0</v>
      </c>
      <c r="G116" s="821">
        <f>'[10]Раз.пос.Пр.19-23    '!G116+'[10]Уточнение Пр.1-24-Пр.19-23'!G116</f>
        <v>0</v>
      </c>
      <c r="H116" s="821">
        <f>'[10]Раз.пос.Пр.19-23    '!H116+'[10]Уточнение Пр.1-24-Пр.19-23'!H116</f>
        <v>0</v>
      </c>
      <c r="I116" s="821">
        <f>'[10]Раз.пос.Пр.19-23    '!I116+'[10]Уточнение Пр.1-24-Пр.19-23'!I116</f>
        <v>0</v>
      </c>
      <c r="J116" s="821">
        <f>'[10]Раз.пос.Пр.19-23    '!J116+'[10]Уточнение Пр.1-24-Пр.19-23'!J116</f>
        <v>0</v>
      </c>
      <c r="K116" s="816">
        <f t="shared" si="6"/>
        <v>0</v>
      </c>
      <c r="L116" s="821">
        <f>'[10]Раз.пос.Пр.19-23    '!L116+'[10]Уточнение Пр.1-24-Пр.19-23'!L116</f>
        <v>0</v>
      </c>
      <c r="M116" s="821">
        <f>'[10]Раз.пос.Пр.19-23    '!M116+'[10]Уточнение Пр.1-24-Пр.19-23'!M116</f>
        <v>0</v>
      </c>
      <c r="N116" s="821">
        <f>'[10]Раз.пос.Пр.19-23    '!N116+'[10]Уточнение Пр.1-24-Пр.19-23'!N116</f>
        <v>0</v>
      </c>
      <c r="Q116" s="820"/>
    </row>
    <row r="117" spans="1:17" x14ac:dyDescent="0.2">
      <c r="A117" s="632">
        <v>105</v>
      </c>
      <c r="B117" s="636" t="s">
        <v>223</v>
      </c>
      <c r="C117" s="637" t="s">
        <v>224</v>
      </c>
      <c r="D117" s="816">
        <f t="shared" si="5"/>
        <v>0</v>
      </c>
      <c r="E117" s="821">
        <f>'[10]Раз.пос.Пр.19-23    '!E117+'[10]Уточнение Пр.1-24-Пр.19-23'!E117</f>
        <v>0</v>
      </c>
      <c r="F117" s="821">
        <v>0</v>
      </c>
      <c r="G117" s="821">
        <f>'[10]Раз.пос.Пр.19-23    '!G117+'[10]Уточнение Пр.1-24-Пр.19-23'!G117</f>
        <v>0</v>
      </c>
      <c r="H117" s="821">
        <f>'[10]Раз.пос.Пр.19-23    '!H117+'[10]Уточнение Пр.1-24-Пр.19-23'!H117</f>
        <v>0</v>
      </c>
      <c r="I117" s="821">
        <f>'[10]Раз.пос.Пр.19-23    '!I117+'[10]Уточнение Пр.1-24-Пр.19-23'!I117</f>
        <v>0</v>
      </c>
      <c r="J117" s="821">
        <f>'[10]Раз.пос.Пр.19-23    '!J117+'[10]Уточнение Пр.1-24-Пр.19-23'!J117</f>
        <v>0</v>
      </c>
      <c r="K117" s="816">
        <f t="shared" si="6"/>
        <v>0</v>
      </c>
      <c r="L117" s="821">
        <f>'[10]Раз.пос.Пр.19-23    '!L117+'[10]Уточнение Пр.1-24-Пр.19-23'!L117</f>
        <v>0</v>
      </c>
      <c r="M117" s="821">
        <f>'[10]Раз.пос.Пр.19-23    '!M117+'[10]Уточнение Пр.1-24-Пр.19-23'!M117</f>
        <v>0</v>
      </c>
      <c r="N117" s="821">
        <f>'[10]Раз.пос.Пр.19-23    '!N117+'[10]Уточнение Пр.1-24-Пр.19-23'!N117</f>
        <v>0</v>
      </c>
      <c r="Q117" s="820"/>
    </row>
    <row r="118" spans="1:17" x14ac:dyDescent="0.2">
      <c r="A118" s="632">
        <v>106</v>
      </c>
      <c r="B118" s="636" t="s">
        <v>225</v>
      </c>
      <c r="C118" s="637" t="s">
        <v>226</v>
      </c>
      <c r="D118" s="816">
        <f t="shared" si="5"/>
        <v>0</v>
      </c>
      <c r="E118" s="821">
        <f>'[10]Раз.пос.Пр.19-23    '!E118+'[10]Уточнение Пр.1-24-Пр.19-23'!E118</f>
        <v>0</v>
      </c>
      <c r="F118" s="821">
        <v>0</v>
      </c>
      <c r="G118" s="821">
        <f>'[10]Раз.пос.Пр.19-23    '!G118+'[10]Уточнение Пр.1-24-Пр.19-23'!G118</f>
        <v>0</v>
      </c>
      <c r="H118" s="821">
        <f>'[10]Раз.пос.Пр.19-23    '!H118+'[10]Уточнение Пр.1-24-Пр.19-23'!H118</f>
        <v>0</v>
      </c>
      <c r="I118" s="821">
        <f>'[10]Раз.пос.Пр.19-23    '!I118+'[10]Уточнение Пр.1-24-Пр.19-23'!I118</f>
        <v>0</v>
      </c>
      <c r="J118" s="821">
        <f>'[10]Раз.пос.Пр.19-23    '!J118+'[10]Уточнение Пр.1-24-Пр.19-23'!J118</f>
        <v>0</v>
      </c>
      <c r="K118" s="816">
        <f t="shared" si="6"/>
        <v>0</v>
      </c>
      <c r="L118" s="821">
        <f>'[10]Раз.пос.Пр.19-23    '!L118+'[10]Уточнение Пр.1-24-Пр.19-23'!L118</f>
        <v>0</v>
      </c>
      <c r="M118" s="821">
        <f>'[10]Раз.пос.Пр.19-23    '!M118+'[10]Уточнение Пр.1-24-Пр.19-23'!M118</f>
        <v>0</v>
      </c>
      <c r="N118" s="821">
        <f>'[10]Раз.пос.Пр.19-23    '!N118+'[10]Уточнение Пр.1-24-Пр.19-23'!N118</f>
        <v>0</v>
      </c>
      <c r="Q118" s="820"/>
    </row>
    <row r="119" spans="1:17" x14ac:dyDescent="0.2">
      <c r="A119" s="632">
        <v>107</v>
      </c>
      <c r="B119" s="636" t="s">
        <v>227</v>
      </c>
      <c r="C119" s="637" t="s">
        <v>228</v>
      </c>
      <c r="D119" s="816">
        <f t="shared" si="5"/>
        <v>0</v>
      </c>
      <c r="E119" s="821">
        <f>'[10]Раз.пос.Пр.19-23    '!E119+'[10]Уточнение Пр.1-24-Пр.19-23'!E119</f>
        <v>0</v>
      </c>
      <c r="F119" s="821">
        <v>0</v>
      </c>
      <c r="G119" s="821">
        <f>'[10]Раз.пос.Пр.19-23    '!G119+'[10]Уточнение Пр.1-24-Пр.19-23'!G119</f>
        <v>0</v>
      </c>
      <c r="H119" s="821">
        <f>'[10]Раз.пос.Пр.19-23    '!H119+'[10]Уточнение Пр.1-24-Пр.19-23'!H119</f>
        <v>0</v>
      </c>
      <c r="I119" s="821">
        <f>'[10]Раз.пос.Пр.19-23    '!I119+'[10]Уточнение Пр.1-24-Пр.19-23'!I119</f>
        <v>0</v>
      </c>
      <c r="J119" s="821">
        <f>'[10]Раз.пос.Пр.19-23    '!J119+'[10]Уточнение Пр.1-24-Пр.19-23'!J119</f>
        <v>0</v>
      </c>
      <c r="K119" s="816">
        <f t="shared" si="6"/>
        <v>0</v>
      </c>
      <c r="L119" s="821">
        <f>'[10]Раз.пос.Пр.19-23    '!L119+'[10]Уточнение Пр.1-24-Пр.19-23'!L119</f>
        <v>0</v>
      </c>
      <c r="M119" s="821">
        <f>'[10]Раз.пос.Пр.19-23    '!M119+'[10]Уточнение Пр.1-24-Пр.19-23'!M119</f>
        <v>0</v>
      </c>
      <c r="N119" s="821">
        <f>'[10]Раз.пос.Пр.19-23    '!N119+'[10]Уточнение Пр.1-24-Пр.19-23'!N119</f>
        <v>0</v>
      </c>
      <c r="Q119" s="820"/>
    </row>
    <row r="120" spans="1:17" x14ac:dyDescent="0.2">
      <c r="A120" s="632">
        <v>108</v>
      </c>
      <c r="B120" s="636" t="s">
        <v>229</v>
      </c>
      <c r="C120" s="637" t="s">
        <v>230</v>
      </c>
      <c r="D120" s="816">
        <f t="shared" si="5"/>
        <v>0</v>
      </c>
      <c r="E120" s="821">
        <f>'[10]Раз.пос.Пр.19-23    '!E120+'[10]Уточнение Пр.1-24-Пр.19-23'!E120</f>
        <v>0</v>
      </c>
      <c r="F120" s="821">
        <v>0</v>
      </c>
      <c r="G120" s="821">
        <f>'[10]Раз.пос.Пр.19-23    '!G120+'[10]Уточнение Пр.1-24-Пр.19-23'!G120</f>
        <v>0</v>
      </c>
      <c r="H120" s="821">
        <f>'[10]Раз.пос.Пр.19-23    '!H120+'[10]Уточнение Пр.1-24-Пр.19-23'!H120</f>
        <v>0</v>
      </c>
      <c r="I120" s="821">
        <f>'[10]Раз.пос.Пр.19-23    '!I120+'[10]Уточнение Пр.1-24-Пр.19-23'!I120</f>
        <v>0</v>
      </c>
      <c r="J120" s="821">
        <f>'[10]Раз.пос.Пр.19-23    '!J120+'[10]Уточнение Пр.1-24-Пр.19-23'!J120</f>
        <v>0</v>
      </c>
      <c r="K120" s="816">
        <f t="shared" si="6"/>
        <v>0</v>
      </c>
      <c r="L120" s="821">
        <f>'[10]Раз.пос.Пр.19-23    '!L120+'[10]Уточнение Пр.1-24-Пр.19-23'!L120</f>
        <v>0</v>
      </c>
      <c r="M120" s="821">
        <f>'[10]Раз.пос.Пр.19-23    '!M120+'[10]Уточнение Пр.1-24-Пр.19-23'!M120</f>
        <v>0</v>
      </c>
      <c r="N120" s="821">
        <f>'[10]Раз.пос.Пр.19-23    '!N120+'[10]Уточнение Пр.1-24-Пр.19-23'!N120</f>
        <v>0</v>
      </c>
      <c r="Q120" s="820"/>
    </row>
    <row r="121" spans="1:17" x14ac:dyDescent="0.2">
      <c r="A121" s="632">
        <v>109</v>
      </c>
      <c r="B121" s="636" t="s">
        <v>231</v>
      </c>
      <c r="C121" s="637" t="s">
        <v>232</v>
      </c>
      <c r="D121" s="816">
        <f t="shared" si="5"/>
        <v>29154</v>
      </c>
      <c r="E121" s="821">
        <f>'[10]Раз.пос.Пр.19-23    '!E121+'[10]Уточнение Пр.1-24-Пр.19-23'!E121</f>
        <v>29154</v>
      </c>
      <c r="F121" s="821">
        <v>0</v>
      </c>
      <c r="G121" s="821">
        <f>'[10]Раз.пос.Пр.19-23    '!G121+'[10]Уточнение Пр.1-24-Пр.19-23'!G121</f>
        <v>0</v>
      </c>
      <c r="H121" s="821">
        <f>'[10]Раз.пос.Пр.19-23    '!H121+'[10]Уточнение Пр.1-24-Пр.19-23'!H121</f>
        <v>0</v>
      </c>
      <c r="I121" s="821">
        <f>'[10]Раз.пос.Пр.19-23    '!I121+'[10]Уточнение Пр.1-24-Пр.19-23'!I121</f>
        <v>0</v>
      </c>
      <c r="J121" s="821">
        <f>'[10]Раз.пос.Пр.19-23    '!J121+'[10]Уточнение Пр.1-24-Пр.19-23'!J121</f>
        <v>0</v>
      </c>
      <c r="K121" s="816">
        <f t="shared" si="6"/>
        <v>0</v>
      </c>
      <c r="L121" s="821">
        <f>'[10]Раз.пос.Пр.19-23    '!L121+'[10]Уточнение Пр.1-24-Пр.19-23'!L121</f>
        <v>0</v>
      </c>
      <c r="M121" s="821">
        <f>'[10]Раз.пос.Пр.19-23    '!M121+'[10]Уточнение Пр.1-24-Пр.19-23'!M121</f>
        <v>0</v>
      </c>
      <c r="N121" s="821">
        <f>'[10]Раз.пос.Пр.19-23    '!N121+'[10]Уточнение Пр.1-24-Пр.19-23'!N121</f>
        <v>0</v>
      </c>
      <c r="Q121" s="820"/>
    </row>
    <row r="122" spans="1:17" x14ac:dyDescent="0.2">
      <c r="A122" s="632">
        <v>110</v>
      </c>
      <c r="B122" s="643" t="s">
        <v>233</v>
      </c>
      <c r="C122" s="644" t="s">
        <v>234</v>
      </c>
      <c r="D122" s="816">
        <f t="shared" si="5"/>
        <v>0</v>
      </c>
      <c r="E122" s="821">
        <f>'[10]Раз.пос.Пр.19-23    '!E122+'[10]Уточнение Пр.1-24-Пр.19-23'!E122</f>
        <v>0</v>
      </c>
      <c r="F122" s="821">
        <v>0</v>
      </c>
      <c r="G122" s="821">
        <f>'[10]Раз.пос.Пр.19-23    '!G122+'[10]Уточнение Пр.1-24-Пр.19-23'!G122</f>
        <v>0</v>
      </c>
      <c r="H122" s="821">
        <f>'[10]Раз.пос.Пр.19-23    '!H122+'[10]Уточнение Пр.1-24-Пр.19-23'!H122</f>
        <v>0</v>
      </c>
      <c r="I122" s="821">
        <f>'[10]Раз.пос.Пр.19-23    '!I122+'[10]Уточнение Пр.1-24-Пр.19-23'!I122</f>
        <v>0</v>
      </c>
      <c r="J122" s="821">
        <f>'[10]Раз.пос.Пр.19-23    '!J122+'[10]Уточнение Пр.1-24-Пр.19-23'!J122</f>
        <v>0</v>
      </c>
      <c r="K122" s="816">
        <f t="shared" si="6"/>
        <v>0</v>
      </c>
      <c r="L122" s="821">
        <f>'[10]Раз.пос.Пр.19-23    '!L122+'[10]Уточнение Пр.1-24-Пр.19-23'!L122</f>
        <v>0</v>
      </c>
      <c r="M122" s="821">
        <f>'[10]Раз.пос.Пр.19-23    '!M122+'[10]Уточнение Пр.1-24-Пр.19-23'!M122</f>
        <v>0</v>
      </c>
      <c r="N122" s="821">
        <f>'[10]Раз.пос.Пр.19-23    '!N122+'[10]Уточнение Пр.1-24-Пр.19-23'!N122</f>
        <v>0</v>
      </c>
      <c r="Q122" s="820"/>
    </row>
    <row r="123" spans="1:17" x14ac:dyDescent="0.2">
      <c r="A123" s="632">
        <v>111</v>
      </c>
      <c r="B123" s="643" t="s">
        <v>235</v>
      </c>
      <c r="C123" s="644" t="s">
        <v>236</v>
      </c>
      <c r="D123" s="816">
        <f t="shared" si="5"/>
        <v>130</v>
      </c>
      <c r="E123" s="821">
        <f>'[10]Раз.пос.Пр.19-23    '!E123+'[10]Уточнение Пр.1-24-Пр.19-23'!E123</f>
        <v>130</v>
      </c>
      <c r="F123" s="821">
        <v>130</v>
      </c>
      <c r="G123" s="821">
        <f>'[10]Раз.пос.Пр.19-23    '!G123+'[10]Уточнение Пр.1-24-Пр.19-23'!G123</f>
        <v>0</v>
      </c>
      <c r="H123" s="821">
        <f>'[10]Раз.пос.Пр.19-23    '!H123+'[10]Уточнение Пр.1-24-Пр.19-23'!H123</f>
        <v>0</v>
      </c>
      <c r="I123" s="821">
        <f>'[10]Раз.пос.Пр.19-23    '!I123+'[10]Уточнение Пр.1-24-Пр.19-23'!I123</f>
        <v>0</v>
      </c>
      <c r="J123" s="821">
        <f>'[10]Раз.пос.Пр.19-23    '!J123+'[10]Уточнение Пр.1-24-Пр.19-23'!J123</f>
        <v>0</v>
      </c>
      <c r="K123" s="816">
        <f t="shared" si="6"/>
        <v>0</v>
      </c>
      <c r="L123" s="821">
        <f>'[10]Раз.пос.Пр.19-23    '!L123+'[10]Уточнение Пр.1-24-Пр.19-23'!L123</f>
        <v>0</v>
      </c>
      <c r="M123" s="821">
        <f>'[10]Раз.пос.Пр.19-23    '!M123+'[10]Уточнение Пр.1-24-Пр.19-23'!M123</f>
        <v>0</v>
      </c>
      <c r="N123" s="821">
        <f>'[10]Раз.пос.Пр.19-23    '!N123+'[10]Уточнение Пр.1-24-Пр.19-23'!N123</f>
        <v>0</v>
      </c>
      <c r="Q123" s="820"/>
    </row>
    <row r="124" spans="1:17" x14ac:dyDescent="0.2">
      <c r="A124" s="632">
        <v>112</v>
      </c>
      <c r="B124" s="635" t="s">
        <v>237</v>
      </c>
      <c r="C124" s="634" t="s">
        <v>238</v>
      </c>
      <c r="D124" s="816">
        <f t="shared" si="5"/>
        <v>0</v>
      </c>
      <c r="E124" s="821">
        <f>'[10]Раз.пос.Пр.19-23    '!E124+'[10]Уточнение Пр.1-24-Пр.19-23'!E124</f>
        <v>0</v>
      </c>
      <c r="F124" s="821">
        <v>0</v>
      </c>
      <c r="G124" s="821">
        <f>'[10]Раз.пос.Пр.19-23    '!G124+'[10]Уточнение Пр.1-24-Пр.19-23'!G124</f>
        <v>0</v>
      </c>
      <c r="H124" s="821">
        <f>'[10]Раз.пос.Пр.19-23    '!H124+'[10]Уточнение Пр.1-24-Пр.19-23'!H124</f>
        <v>0</v>
      </c>
      <c r="I124" s="821">
        <f>'[10]Раз.пос.Пр.19-23    '!I124+'[10]Уточнение Пр.1-24-Пр.19-23'!I124</f>
        <v>0</v>
      </c>
      <c r="J124" s="821">
        <f>'[10]Раз.пос.Пр.19-23    '!J124+'[10]Уточнение Пр.1-24-Пр.19-23'!J124</f>
        <v>0</v>
      </c>
      <c r="K124" s="816">
        <f t="shared" si="6"/>
        <v>0</v>
      </c>
      <c r="L124" s="821">
        <f>'[10]Раз.пос.Пр.19-23    '!L124+'[10]Уточнение Пр.1-24-Пр.19-23'!L124</f>
        <v>0</v>
      </c>
      <c r="M124" s="821">
        <f>'[10]Раз.пос.Пр.19-23    '!M124+'[10]Уточнение Пр.1-24-Пр.19-23'!M124</f>
        <v>0</v>
      </c>
      <c r="N124" s="821">
        <f>'[10]Раз.пос.Пр.19-23    '!N124+'[10]Уточнение Пр.1-24-Пр.19-23'!N124</f>
        <v>0</v>
      </c>
      <c r="Q124" s="820"/>
    </row>
    <row r="125" spans="1:17" x14ac:dyDescent="0.2">
      <c r="A125" s="632">
        <v>113</v>
      </c>
      <c r="B125" s="636" t="s">
        <v>239</v>
      </c>
      <c r="C125" s="637" t="s">
        <v>240</v>
      </c>
      <c r="D125" s="816">
        <f t="shared" si="5"/>
        <v>0</v>
      </c>
      <c r="E125" s="821">
        <f>'[10]Раз.пос.Пр.19-23    '!E125+'[10]Уточнение Пр.1-24-Пр.19-23'!E125</f>
        <v>0</v>
      </c>
      <c r="F125" s="821">
        <v>0</v>
      </c>
      <c r="G125" s="821">
        <f>'[10]Раз.пос.Пр.19-23    '!G125+'[10]Уточнение Пр.1-24-Пр.19-23'!G125</f>
        <v>0</v>
      </c>
      <c r="H125" s="821">
        <f>'[10]Раз.пос.Пр.19-23    '!H125+'[10]Уточнение Пр.1-24-Пр.19-23'!H125</f>
        <v>0</v>
      </c>
      <c r="I125" s="821">
        <f>'[10]Раз.пос.Пр.19-23    '!I125+'[10]Уточнение Пр.1-24-Пр.19-23'!I125</f>
        <v>0</v>
      </c>
      <c r="J125" s="821">
        <f>'[10]Раз.пос.Пр.19-23    '!J125+'[10]Уточнение Пр.1-24-Пр.19-23'!J125</f>
        <v>0</v>
      </c>
      <c r="K125" s="816">
        <f t="shared" si="6"/>
        <v>0</v>
      </c>
      <c r="L125" s="821">
        <f>'[10]Раз.пос.Пр.19-23    '!L125+'[10]Уточнение Пр.1-24-Пр.19-23'!L125</f>
        <v>0</v>
      </c>
      <c r="M125" s="821">
        <f>'[10]Раз.пос.Пр.19-23    '!M125+'[10]Уточнение Пр.1-24-Пр.19-23'!M125</f>
        <v>0</v>
      </c>
      <c r="N125" s="821">
        <f>'[10]Раз.пос.Пр.19-23    '!N125+'[10]Уточнение Пр.1-24-Пр.19-23'!N125</f>
        <v>0</v>
      </c>
      <c r="Q125" s="820"/>
    </row>
    <row r="126" spans="1:17" x14ac:dyDescent="0.2">
      <c r="A126" s="632">
        <v>114</v>
      </c>
      <c r="B126" s="633" t="s">
        <v>241</v>
      </c>
      <c r="C126" s="645" t="s">
        <v>242</v>
      </c>
      <c r="D126" s="816">
        <f t="shared" si="5"/>
        <v>0</v>
      </c>
      <c r="E126" s="821">
        <f>'[10]Раз.пос.Пр.19-23    '!E126+'[10]Уточнение Пр.1-24-Пр.19-23'!E126</f>
        <v>0</v>
      </c>
      <c r="F126" s="821">
        <v>0</v>
      </c>
      <c r="G126" s="821">
        <f>'[10]Раз.пос.Пр.19-23    '!G126+'[10]Уточнение Пр.1-24-Пр.19-23'!G126</f>
        <v>0</v>
      </c>
      <c r="H126" s="821">
        <f>'[10]Раз.пос.Пр.19-23    '!H126+'[10]Уточнение Пр.1-24-Пр.19-23'!H126</f>
        <v>0</v>
      </c>
      <c r="I126" s="821">
        <f>'[10]Раз.пос.Пр.19-23    '!I126+'[10]Уточнение Пр.1-24-Пр.19-23'!I126</f>
        <v>0</v>
      </c>
      <c r="J126" s="821">
        <f>'[10]Раз.пос.Пр.19-23    '!J126+'[10]Уточнение Пр.1-24-Пр.19-23'!J126</f>
        <v>0</v>
      </c>
      <c r="K126" s="816">
        <f t="shared" si="6"/>
        <v>0</v>
      </c>
      <c r="L126" s="821">
        <f>'[10]Раз.пос.Пр.19-23    '!L126+'[10]Уточнение Пр.1-24-Пр.19-23'!L126</f>
        <v>0</v>
      </c>
      <c r="M126" s="821">
        <f>'[10]Раз.пос.Пр.19-23    '!M126+'[10]Уточнение Пр.1-24-Пр.19-23'!M126</f>
        <v>0</v>
      </c>
      <c r="N126" s="821">
        <f>'[10]Раз.пос.Пр.19-23    '!N126+'[10]Уточнение Пр.1-24-Пр.19-23'!N126</f>
        <v>0</v>
      </c>
      <c r="Q126" s="820"/>
    </row>
    <row r="127" spans="1:17" x14ac:dyDescent="0.2">
      <c r="A127" s="632">
        <v>115</v>
      </c>
      <c r="B127" s="636" t="s">
        <v>243</v>
      </c>
      <c r="C127" s="32" t="s">
        <v>385</v>
      </c>
      <c r="D127" s="816">
        <f t="shared" si="5"/>
        <v>0</v>
      </c>
      <c r="E127" s="821">
        <f>'[10]Раз.пос.Пр.19-23    '!E127+'[10]Уточнение Пр.1-24-Пр.19-23'!E127</f>
        <v>0</v>
      </c>
      <c r="F127" s="821">
        <v>0</v>
      </c>
      <c r="G127" s="821">
        <f>'[10]Раз.пос.Пр.19-23    '!G127+'[10]Уточнение Пр.1-24-Пр.19-23'!G127</f>
        <v>0</v>
      </c>
      <c r="H127" s="821">
        <f>'[10]Раз.пос.Пр.19-23    '!H127+'[10]Уточнение Пр.1-24-Пр.19-23'!H127</f>
        <v>0</v>
      </c>
      <c r="I127" s="821">
        <f>'[10]Раз.пос.Пр.19-23    '!I127+'[10]Уточнение Пр.1-24-Пр.19-23'!I127</f>
        <v>0</v>
      </c>
      <c r="J127" s="821">
        <f>'[10]Раз.пос.Пр.19-23    '!J127+'[10]Уточнение Пр.1-24-Пр.19-23'!J127</f>
        <v>0</v>
      </c>
      <c r="K127" s="816">
        <f t="shared" si="6"/>
        <v>0</v>
      </c>
      <c r="L127" s="821">
        <f>'[10]Раз.пос.Пр.19-23    '!L127+'[10]Уточнение Пр.1-24-Пр.19-23'!L127</f>
        <v>0</v>
      </c>
      <c r="M127" s="821">
        <f>'[10]Раз.пос.Пр.19-23    '!M127+'[10]Уточнение Пр.1-24-Пр.19-23'!M127</f>
        <v>0</v>
      </c>
      <c r="N127" s="821">
        <f>'[10]Раз.пос.Пр.19-23    '!N127+'[10]Уточнение Пр.1-24-Пр.19-23'!N127</f>
        <v>0</v>
      </c>
      <c r="Q127" s="820"/>
    </row>
    <row r="128" spans="1:17" x14ac:dyDescent="0.2">
      <c r="A128" s="632">
        <v>116</v>
      </c>
      <c r="B128" s="635" t="s">
        <v>244</v>
      </c>
      <c r="C128" s="637" t="s">
        <v>245</v>
      </c>
      <c r="D128" s="816">
        <f t="shared" si="5"/>
        <v>0</v>
      </c>
      <c r="E128" s="821">
        <f>'[10]Раз.пос.Пр.19-23    '!E128+'[10]Уточнение Пр.1-24-Пр.19-23'!E128</f>
        <v>0</v>
      </c>
      <c r="F128" s="821">
        <v>0</v>
      </c>
      <c r="G128" s="821">
        <f>'[10]Раз.пос.Пр.19-23    '!G128+'[10]Уточнение Пр.1-24-Пр.19-23'!G128</f>
        <v>0</v>
      </c>
      <c r="H128" s="821">
        <f>'[10]Раз.пос.Пр.19-23    '!H128+'[10]Уточнение Пр.1-24-Пр.19-23'!H128</f>
        <v>0</v>
      </c>
      <c r="I128" s="821">
        <f>'[10]Раз.пос.Пр.19-23    '!I128+'[10]Уточнение Пр.1-24-Пр.19-23'!I128</f>
        <v>0</v>
      </c>
      <c r="J128" s="821">
        <f>'[10]Раз.пос.Пр.19-23    '!J128+'[10]Уточнение Пр.1-24-Пр.19-23'!J128</f>
        <v>0</v>
      </c>
      <c r="K128" s="816">
        <f t="shared" si="6"/>
        <v>0</v>
      </c>
      <c r="L128" s="821">
        <f>'[10]Раз.пос.Пр.19-23    '!L128+'[10]Уточнение Пр.1-24-Пр.19-23'!L128</f>
        <v>0</v>
      </c>
      <c r="M128" s="821">
        <f>'[10]Раз.пос.Пр.19-23    '!M128+'[10]Уточнение Пр.1-24-Пр.19-23'!M128</f>
        <v>0</v>
      </c>
      <c r="N128" s="821">
        <f>'[10]Раз.пос.Пр.19-23    '!N128+'[10]Уточнение Пр.1-24-Пр.19-23'!N128</f>
        <v>0</v>
      </c>
      <c r="Q128" s="820"/>
    </row>
    <row r="129" spans="1:17" x14ac:dyDescent="0.2">
      <c r="A129" s="632">
        <v>117</v>
      </c>
      <c r="B129" s="635" t="s">
        <v>246</v>
      </c>
      <c r="C129" s="637" t="s">
        <v>247</v>
      </c>
      <c r="D129" s="816">
        <f t="shared" si="5"/>
        <v>0</v>
      </c>
      <c r="E129" s="821">
        <f>'[10]Раз.пос.Пр.19-23    '!E129+'[10]Уточнение Пр.1-24-Пр.19-23'!E129</f>
        <v>0</v>
      </c>
      <c r="F129" s="821">
        <v>0</v>
      </c>
      <c r="G129" s="821">
        <f>'[10]Раз.пос.Пр.19-23    '!G129+'[10]Уточнение Пр.1-24-Пр.19-23'!G129</f>
        <v>0</v>
      </c>
      <c r="H129" s="821">
        <f>'[10]Раз.пос.Пр.19-23    '!H129+'[10]Уточнение Пр.1-24-Пр.19-23'!H129</f>
        <v>0</v>
      </c>
      <c r="I129" s="821">
        <f>'[10]Раз.пос.Пр.19-23    '!I129+'[10]Уточнение Пр.1-24-Пр.19-23'!I129</f>
        <v>0</v>
      </c>
      <c r="J129" s="821">
        <f>'[10]Раз.пос.Пр.19-23    '!J129+'[10]Уточнение Пр.1-24-Пр.19-23'!J129</f>
        <v>0</v>
      </c>
      <c r="K129" s="816">
        <f t="shared" si="6"/>
        <v>0</v>
      </c>
      <c r="L129" s="821">
        <f>'[10]Раз.пос.Пр.19-23    '!L129+'[10]Уточнение Пр.1-24-Пр.19-23'!L129</f>
        <v>0</v>
      </c>
      <c r="M129" s="821">
        <f>'[10]Раз.пос.Пр.19-23    '!M129+'[10]Уточнение Пр.1-24-Пр.19-23'!M129</f>
        <v>0</v>
      </c>
      <c r="N129" s="821">
        <f>'[10]Раз.пос.Пр.19-23    '!N129+'[10]Уточнение Пр.1-24-Пр.19-23'!N129</f>
        <v>0</v>
      </c>
      <c r="Q129" s="820"/>
    </row>
    <row r="130" spans="1:17" x14ac:dyDescent="0.2">
      <c r="A130" s="632">
        <v>118</v>
      </c>
      <c r="B130" s="635" t="s">
        <v>248</v>
      </c>
      <c r="C130" s="637" t="s">
        <v>249</v>
      </c>
      <c r="D130" s="816">
        <f t="shared" si="5"/>
        <v>0</v>
      </c>
      <c r="E130" s="821">
        <f>'[10]Раз.пос.Пр.19-23    '!E130+'[10]Уточнение Пр.1-24-Пр.19-23'!E130</f>
        <v>0</v>
      </c>
      <c r="F130" s="821">
        <v>0</v>
      </c>
      <c r="G130" s="821">
        <f>'[10]Раз.пос.Пр.19-23    '!G130+'[10]Уточнение Пр.1-24-Пр.19-23'!G130</f>
        <v>0</v>
      </c>
      <c r="H130" s="821">
        <f>'[10]Раз.пос.Пр.19-23    '!H130+'[10]Уточнение Пр.1-24-Пр.19-23'!H130</f>
        <v>0</v>
      </c>
      <c r="I130" s="821">
        <f>'[10]Раз.пос.Пр.19-23    '!I130+'[10]Уточнение Пр.1-24-Пр.19-23'!I130</f>
        <v>0</v>
      </c>
      <c r="J130" s="821">
        <f>'[10]Раз.пос.Пр.19-23    '!J130+'[10]Уточнение Пр.1-24-Пр.19-23'!J130</f>
        <v>0</v>
      </c>
      <c r="K130" s="816">
        <f t="shared" si="6"/>
        <v>0</v>
      </c>
      <c r="L130" s="821">
        <f>'[10]Раз.пос.Пр.19-23    '!L130+'[10]Уточнение Пр.1-24-Пр.19-23'!L130</f>
        <v>0</v>
      </c>
      <c r="M130" s="821">
        <f>'[10]Раз.пос.Пр.19-23    '!M130+'[10]Уточнение Пр.1-24-Пр.19-23'!M130</f>
        <v>0</v>
      </c>
      <c r="N130" s="821">
        <f>'[10]Раз.пос.Пр.19-23    '!N130+'[10]Уточнение Пр.1-24-Пр.19-23'!N130</f>
        <v>0</v>
      </c>
      <c r="Q130" s="820"/>
    </row>
    <row r="131" spans="1:17" x14ac:dyDescent="0.2">
      <c r="A131" s="632">
        <v>119</v>
      </c>
      <c r="B131" s="633" t="s">
        <v>250</v>
      </c>
      <c r="C131" s="634" t="s">
        <v>251</v>
      </c>
      <c r="D131" s="816">
        <f t="shared" si="5"/>
        <v>1338</v>
      </c>
      <c r="E131" s="821">
        <f>'[10]Раз.пос.Пр.19-23    '!E131+'[10]Уточнение Пр.1-24-Пр.19-23'!E131</f>
        <v>1338</v>
      </c>
      <c r="F131" s="821">
        <v>0</v>
      </c>
      <c r="G131" s="821">
        <f>'[10]Раз.пос.Пр.19-23    '!G131+'[10]Уточнение Пр.1-24-Пр.19-23'!G131</f>
        <v>0</v>
      </c>
      <c r="H131" s="821">
        <f>'[10]Раз.пос.Пр.19-23    '!H131+'[10]Уточнение Пр.1-24-Пр.19-23'!H131</f>
        <v>0</v>
      </c>
      <c r="I131" s="822">
        <f>'[10]Раз.пос.Пр.19-23    '!I131+'[10]Уточнение Пр.1-24-Пр.19-23'!I131</f>
        <v>0</v>
      </c>
      <c r="J131" s="822">
        <f>'[10]Раз.пос.Пр.19-23    '!J131+'[10]Уточнение Пр.1-24-Пр.19-23'!J131</f>
        <v>0</v>
      </c>
      <c r="K131" s="816">
        <f t="shared" si="6"/>
        <v>0</v>
      </c>
      <c r="L131" s="821">
        <f>'[10]Раз.пос.Пр.19-23    '!L131+'[10]Уточнение Пр.1-24-Пр.19-23'!L131</f>
        <v>0</v>
      </c>
      <c r="M131" s="821">
        <f>'[10]Раз.пос.Пр.19-23    '!M131+'[10]Уточнение Пр.1-24-Пр.19-23'!M131</f>
        <v>0</v>
      </c>
      <c r="N131" s="821">
        <f>'[10]Раз.пос.Пр.19-23    '!N131+'[10]Уточнение Пр.1-24-Пр.19-23'!N131</f>
        <v>0</v>
      </c>
      <c r="Q131" s="820"/>
    </row>
    <row r="132" spans="1:17" x14ac:dyDescent="0.2">
      <c r="A132" s="632">
        <v>120</v>
      </c>
      <c r="B132" s="635" t="s">
        <v>252</v>
      </c>
      <c r="C132" s="634" t="s">
        <v>253</v>
      </c>
      <c r="D132" s="816">
        <f t="shared" si="5"/>
        <v>0</v>
      </c>
      <c r="E132" s="821">
        <f>'[10]Раз.пос.Пр.19-23    '!E132+'[10]Уточнение Пр.1-24-Пр.19-23'!E132</f>
        <v>0</v>
      </c>
      <c r="F132" s="821">
        <v>0</v>
      </c>
      <c r="G132" s="821">
        <f>'[10]Раз.пос.Пр.19-23    '!G132+'[10]Уточнение Пр.1-24-Пр.19-23'!G132</f>
        <v>0</v>
      </c>
      <c r="H132" s="821">
        <f>'[10]Раз.пос.Пр.19-23    '!H132+'[10]Уточнение Пр.1-24-Пр.19-23'!H132</f>
        <v>0</v>
      </c>
      <c r="I132" s="822">
        <f>'[10]Раз.пос.Пр.19-23    '!I132+'[10]Уточнение Пр.1-24-Пр.19-23'!I132</f>
        <v>0</v>
      </c>
      <c r="J132" s="822">
        <f>'[10]Раз.пос.Пр.19-23    '!J132+'[10]Уточнение Пр.1-24-Пр.19-23'!J132</f>
        <v>0</v>
      </c>
      <c r="K132" s="816">
        <f t="shared" si="6"/>
        <v>0</v>
      </c>
      <c r="L132" s="821">
        <f>'[10]Раз.пос.Пр.19-23    '!L132+'[10]Уточнение Пр.1-24-Пр.19-23'!L132</f>
        <v>0</v>
      </c>
      <c r="M132" s="821">
        <f>'[10]Раз.пос.Пр.19-23    '!M132+'[10]Уточнение Пр.1-24-Пр.19-23'!M132</f>
        <v>0</v>
      </c>
      <c r="N132" s="821">
        <f>'[10]Раз.пос.Пр.19-23    '!N132+'[10]Уточнение Пр.1-24-Пр.19-23'!N132</f>
        <v>0</v>
      </c>
      <c r="Q132" s="820"/>
    </row>
    <row r="133" spans="1:17" x14ac:dyDescent="0.2">
      <c r="A133" s="632">
        <v>121</v>
      </c>
      <c r="B133" s="636" t="s">
        <v>254</v>
      </c>
      <c r="C133" s="637" t="s">
        <v>255</v>
      </c>
      <c r="D133" s="816">
        <f t="shared" si="5"/>
        <v>9128</v>
      </c>
      <c r="E133" s="821">
        <f>'[10]Раз.пос.Пр.19-23    '!E133+'[10]Уточнение Пр.1-24-Пр.19-23'!E133</f>
        <v>9128</v>
      </c>
      <c r="F133" s="821">
        <v>0</v>
      </c>
      <c r="G133" s="821">
        <f>'[10]Раз.пос.Пр.19-23    '!G133+'[10]Уточнение Пр.1-24-Пр.19-23'!G133</f>
        <v>0</v>
      </c>
      <c r="H133" s="821">
        <f>'[10]Раз.пос.Пр.19-23    '!H133+'[10]Уточнение Пр.1-24-Пр.19-23'!H133</f>
        <v>0</v>
      </c>
      <c r="I133" s="822">
        <f>'[10]Раз.пос.Пр.19-23    '!I133+'[10]Уточнение Пр.1-24-Пр.19-23'!I133</f>
        <v>0</v>
      </c>
      <c r="J133" s="822">
        <f>'[10]Раз.пос.Пр.19-23    '!J133+'[10]Уточнение Пр.1-24-Пр.19-23'!J133</f>
        <v>0</v>
      </c>
      <c r="K133" s="816">
        <f t="shared" si="6"/>
        <v>0</v>
      </c>
      <c r="L133" s="821">
        <f>'[10]Раз.пос.Пр.19-23    '!L133+'[10]Уточнение Пр.1-24-Пр.19-23'!L133</f>
        <v>0</v>
      </c>
      <c r="M133" s="821">
        <f>'[10]Раз.пос.Пр.19-23    '!M133+'[10]Уточнение Пр.1-24-Пр.19-23'!M133</f>
        <v>0</v>
      </c>
      <c r="N133" s="821">
        <f>'[10]Раз.пос.Пр.19-23    '!N133+'[10]Уточнение Пр.1-24-Пр.19-23'!N133</f>
        <v>0</v>
      </c>
      <c r="Q133" s="820"/>
    </row>
    <row r="134" spans="1:17" x14ac:dyDescent="0.2">
      <c r="A134" s="632">
        <v>122</v>
      </c>
      <c r="B134" s="636" t="s">
        <v>256</v>
      </c>
      <c r="C134" s="637" t="s">
        <v>257</v>
      </c>
      <c r="D134" s="816">
        <f t="shared" si="5"/>
        <v>0</v>
      </c>
      <c r="E134" s="821">
        <f>'[10]Раз.пос.Пр.19-23    '!E134+'[10]Уточнение Пр.1-24-Пр.19-23'!E134</f>
        <v>0</v>
      </c>
      <c r="F134" s="821">
        <v>0</v>
      </c>
      <c r="G134" s="821">
        <f>'[10]Раз.пос.Пр.19-23    '!G134+'[10]Уточнение Пр.1-24-Пр.19-23'!G134</f>
        <v>0</v>
      </c>
      <c r="H134" s="821">
        <f>'[10]Раз.пос.Пр.19-23    '!H134+'[10]Уточнение Пр.1-24-Пр.19-23'!H134</f>
        <v>0</v>
      </c>
      <c r="I134" s="822">
        <f>'[10]Раз.пос.Пр.19-23    '!I134+'[10]Уточнение Пр.1-24-Пр.19-23'!I134</f>
        <v>0</v>
      </c>
      <c r="J134" s="822">
        <f>'[10]Раз.пос.Пр.19-23    '!J134+'[10]Уточнение Пр.1-24-Пр.19-23'!J134</f>
        <v>0</v>
      </c>
      <c r="K134" s="816">
        <f t="shared" si="6"/>
        <v>0</v>
      </c>
      <c r="L134" s="821">
        <f>'[10]Раз.пос.Пр.19-23    '!L134+'[10]Уточнение Пр.1-24-Пр.19-23'!L134</f>
        <v>0</v>
      </c>
      <c r="M134" s="821">
        <f>'[10]Раз.пос.Пр.19-23    '!M134+'[10]Уточнение Пр.1-24-Пр.19-23'!M134</f>
        <v>0</v>
      </c>
      <c r="N134" s="821">
        <f>'[10]Раз.пос.Пр.19-23    '!N134+'[10]Уточнение Пр.1-24-Пр.19-23'!N134</f>
        <v>0</v>
      </c>
      <c r="Q134" s="820"/>
    </row>
    <row r="135" spans="1:17" x14ac:dyDescent="0.2">
      <c r="A135" s="632">
        <v>123</v>
      </c>
      <c r="B135" s="636" t="s">
        <v>258</v>
      </c>
      <c r="C135" s="637" t="s">
        <v>259</v>
      </c>
      <c r="D135" s="816">
        <f t="shared" si="5"/>
        <v>223331</v>
      </c>
      <c r="E135" s="821">
        <f>'[10]Раз.пос.Пр.19-23    '!E135+'[10]Уточнение Пр.1-24-Пр.19-23'!E135</f>
        <v>0</v>
      </c>
      <c r="F135" s="821">
        <v>0</v>
      </c>
      <c r="G135" s="821">
        <f>'[10]Раз.пос.Пр.19-23    '!G135+'[10]Уточнение Пр.1-24-Пр.19-23'!G135</f>
        <v>0</v>
      </c>
      <c r="H135" s="821">
        <f>'[10]Раз.пос.Пр.19-23    '!H135+'[10]Уточнение Пр.1-24-Пр.19-23'!H135</f>
        <v>0</v>
      </c>
      <c r="I135" s="822">
        <f>'[10]Раз.пос.Пр.19-23    '!I135+'[10]Уточнение Пр.1-24-Пр.19-23'!I135</f>
        <v>0</v>
      </c>
      <c r="J135" s="822">
        <f>'[10]Раз.пос.Пр.19-23    '!J135+'[10]Уточнение Пр.1-24-Пр.19-23'!J135</f>
        <v>0</v>
      </c>
      <c r="K135" s="816">
        <f t="shared" si="6"/>
        <v>223331</v>
      </c>
      <c r="L135" s="821">
        <f>'[10]Раз.пос.Пр.19-23    '!L135+'[10]Уточнение Пр.1-24-Пр.19-23'!L135</f>
        <v>0</v>
      </c>
      <c r="M135" s="821">
        <f>'[10]Раз.пос.Пр.19-23    '!M135+'[10]Уточнение Пр.1-24-Пр.19-23'!M135</f>
        <v>223331</v>
      </c>
      <c r="N135" s="821">
        <f>'[10]Раз.пос.Пр.19-23    '!N135+'[10]Уточнение Пр.1-24-Пр.19-23'!N135</f>
        <v>0</v>
      </c>
      <c r="Q135" s="820"/>
    </row>
    <row r="136" spans="1:17" x14ac:dyDescent="0.2">
      <c r="A136" s="632">
        <v>124</v>
      </c>
      <c r="B136" s="636" t="s">
        <v>260</v>
      </c>
      <c r="C136" s="637" t="s">
        <v>261</v>
      </c>
      <c r="D136" s="816">
        <f t="shared" si="5"/>
        <v>180471</v>
      </c>
      <c r="E136" s="821">
        <f>'[10]Раз.пос.Пр.19-23    '!E136+'[10]Уточнение Пр.1-24-Пр.19-23'!E136</f>
        <v>0</v>
      </c>
      <c r="F136" s="821">
        <v>0</v>
      </c>
      <c r="G136" s="821">
        <f>'[10]Раз.пос.Пр.19-23    '!G136+'[10]Уточнение Пр.1-24-Пр.19-23'!G136</f>
        <v>0</v>
      </c>
      <c r="H136" s="821">
        <f>'[10]Раз.пос.Пр.19-23    '!H136+'[10]Уточнение Пр.1-24-Пр.19-23'!H136</f>
        <v>0</v>
      </c>
      <c r="I136" s="822">
        <f>'[10]Раз.пос.Пр.19-23    '!I136+'[10]Уточнение Пр.1-24-Пр.19-23'!I136</f>
        <v>0</v>
      </c>
      <c r="J136" s="822">
        <f>'[10]Раз.пос.Пр.19-23    '!J136+'[10]Уточнение Пр.1-24-Пр.19-23'!J136</f>
        <v>0</v>
      </c>
      <c r="K136" s="816">
        <f t="shared" si="6"/>
        <v>180471</v>
      </c>
      <c r="L136" s="821">
        <f>'[10]Раз.пос.Пр.19-23    '!L136+'[10]Уточнение Пр.1-24-Пр.19-23'!L136</f>
        <v>0</v>
      </c>
      <c r="M136" s="821">
        <f>'[10]Раз.пос.Пр.19-23    '!M136+'[10]Уточнение Пр.1-24-Пр.19-23'!M136</f>
        <v>180471</v>
      </c>
      <c r="N136" s="821">
        <f>'[10]Раз.пос.Пр.19-23    '!N136+'[10]Уточнение Пр.1-24-Пр.19-23'!N136</f>
        <v>0</v>
      </c>
      <c r="Q136" s="820"/>
    </row>
    <row r="137" spans="1:17" x14ac:dyDescent="0.2">
      <c r="A137" s="632">
        <v>125</v>
      </c>
      <c r="B137" s="636" t="s">
        <v>262</v>
      </c>
      <c r="C137" s="637" t="s">
        <v>263</v>
      </c>
      <c r="D137" s="816">
        <f t="shared" ref="D137:D152" si="7">E137+G137+H137+I137+J137+K137</f>
        <v>90000</v>
      </c>
      <c r="E137" s="821">
        <f>'[10]Раз.пос.Пр.19-23    '!E137+'[10]Уточнение Пр.1-24-Пр.19-23'!E137</f>
        <v>0</v>
      </c>
      <c r="F137" s="821">
        <v>0</v>
      </c>
      <c r="G137" s="821">
        <f>'[10]Раз.пос.Пр.19-23    '!G137+'[10]Уточнение Пр.1-24-Пр.19-23'!G137</f>
        <v>0</v>
      </c>
      <c r="H137" s="821">
        <f>'[10]Раз.пос.Пр.19-23    '!H137+'[10]Уточнение Пр.1-24-Пр.19-23'!H137</f>
        <v>0</v>
      </c>
      <c r="I137" s="822">
        <f>'[10]Раз.пос.Пр.19-23    '!I137+'[10]Уточнение Пр.1-24-Пр.19-23'!I137</f>
        <v>0</v>
      </c>
      <c r="J137" s="822">
        <f>'[10]Раз.пос.Пр.19-23    '!J137+'[10]Уточнение Пр.1-24-Пр.19-23'!J137</f>
        <v>0</v>
      </c>
      <c r="K137" s="816">
        <f t="shared" si="6"/>
        <v>90000</v>
      </c>
      <c r="L137" s="821">
        <f>'[10]Раз.пос.Пр.19-23    '!L137+'[10]Уточнение Пр.1-24-Пр.19-23'!L137</f>
        <v>0</v>
      </c>
      <c r="M137" s="821">
        <f>'[10]Раз.пос.Пр.19-23    '!M137+'[10]Уточнение Пр.1-24-Пр.19-23'!M137</f>
        <v>90000</v>
      </c>
      <c r="N137" s="821">
        <f>'[10]Раз.пос.Пр.19-23    '!N137+'[10]Уточнение Пр.1-24-Пр.19-23'!N137</f>
        <v>300</v>
      </c>
      <c r="Q137" s="820"/>
    </row>
    <row r="138" spans="1:17" x14ac:dyDescent="0.2">
      <c r="A138" s="632">
        <v>126</v>
      </c>
      <c r="B138" s="633" t="s">
        <v>264</v>
      </c>
      <c r="C138" s="634" t="s">
        <v>265</v>
      </c>
      <c r="D138" s="816">
        <f t="shared" si="7"/>
        <v>108165</v>
      </c>
      <c r="E138" s="821">
        <f>'[10]Раз.пос.Пр.19-23    '!E138+'[10]Уточнение Пр.1-24-Пр.19-23'!E138</f>
        <v>0</v>
      </c>
      <c r="F138" s="821">
        <v>0</v>
      </c>
      <c r="G138" s="821">
        <f>'[10]Раз.пос.Пр.19-23    '!G138+'[10]Уточнение Пр.1-24-Пр.19-23'!G138</f>
        <v>0</v>
      </c>
      <c r="H138" s="821">
        <f>'[10]Раз.пос.Пр.19-23    '!H138+'[10]Уточнение Пр.1-24-Пр.19-23'!H138</f>
        <v>0</v>
      </c>
      <c r="I138" s="822">
        <f>'[10]Раз.пос.Пр.19-23    '!I138+'[10]Уточнение Пр.1-24-Пр.19-23'!I138</f>
        <v>0</v>
      </c>
      <c r="J138" s="822">
        <f>'[10]Раз.пос.Пр.19-23    '!J138+'[10]Уточнение Пр.1-24-Пр.19-23'!J138</f>
        <v>0</v>
      </c>
      <c r="K138" s="816">
        <f t="shared" si="6"/>
        <v>108165</v>
      </c>
      <c r="L138" s="821">
        <f>'[10]Раз.пос.Пр.19-23    '!L138+'[10]Уточнение Пр.1-24-Пр.19-23'!L138</f>
        <v>0</v>
      </c>
      <c r="M138" s="821">
        <f>'[10]Раз.пос.Пр.19-23    '!M138+'[10]Уточнение Пр.1-24-Пр.19-23'!M138</f>
        <v>108165</v>
      </c>
      <c r="N138" s="821">
        <f>'[10]Раз.пос.Пр.19-23    '!N138+'[10]Уточнение Пр.1-24-Пр.19-23'!N138</f>
        <v>0</v>
      </c>
      <c r="Q138" s="820"/>
    </row>
    <row r="139" spans="1:17" x14ac:dyDescent="0.2">
      <c r="A139" s="632">
        <v>127</v>
      </c>
      <c r="B139" s="633" t="s">
        <v>266</v>
      </c>
      <c r="C139" s="637" t="s">
        <v>267</v>
      </c>
      <c r="D139" s="816">
        <f t="shared" si="7"/>
        <v>75721</v>
      </c>
      <c r="E139" s="821">
        <f>'[10]Раз.пос.Пр.19-23    '!E139+'[10]Уточнение Пр.1-24-Пр.19-23'!E139</f>
        <v>10365</v>
      </c>
      <c r="F139" s="821">
        <v>0</v>
      </c>
      <c r="G139" s="821">
        <f>'[10]Раз.пос.Пр.19-23    '!G139+'[10]Уточнение Пр.1-24-Пр.19-23'!G139</f>
        <v>0</v>
      </c>
      <c r="H139" s="821">
        <f>'[10]Раз.пос.Пр.19-23    '!H139+'[10]Уточнение Пр.1-24-Пр.19-23'!H139</f>
        <v>0</v>
      </c>
      <c r="I139" s="822">
        <f>'[10]Раз.пос.Пр.19-23    '!I139+'[10]Уточнение Пр.1-24-Пр.19-23'!I139</f>
        <v>0</v>
      </c>
      <c r="J139" s="822">
        <f>'[10]Раз.пос.Пр.19-23    '!J139+'[10]Уточнение Пр.1-24-Пр.19-23'!J139</f>
        <v>0</v>
      </c>
      <c r="K139" s="816">
        <f t="shared" si="6"/>
        <v>65356</v>
      </c>
      <c r="L139" s="821">
        <f>'[10]Раз.пос.Пр.19-23    '!L139+'[10]Уточнение Пр.1-24-Пр.19-23'!L139</f>
        <v>0</v>
      </c>
      <c r="M139" s="821">
        <f>'[10]Раз.пос.Пр.19-23    '!M139+'[10]Уточнение Пр.1-24-Пр.19-23'!M139</f>
        <v>65356</v>
      </c>
      <c r="N139" s="821">
        <f>'[10]Раз.пос.Пр.19-23    '!N139+'[10]Уточнение Пр.1-24-Пр.19-23'!N139</f>
        <v>0</v>
      </c>
      <c r="Q139" s="820"/>
    </row>
    <row r="140" spans="1:17" x14ac:dyDescent="0.2">
      <c r="A140" s="632">
        <v>128</v>
      </c>
      <c r="B140" s="638" t="s">
        <v>268</v>
      </c>
      <c r="C140" s="32" t="s">
        <v>269</v>
      </c>
      <c r="D140" s="816">
        <f t="shared" si="7"/>
        <v>36644</v>
      </c>
      <c r="E140" s="821">
        <f>'[10]Раз.пос.Пр.19-23    '!E140+'[10]Уточнение Пр.1-24-Пр.19-23'!E140</f>
        <v>27644</v>
      </c>
      <c r="F140" s="821">
        <v>0</v>
      </c>
      <c r="G140" s="821">
        <f>'[10]Раз.пос.Пр.19-23    '!G140+'[10]Уточнение Пр.1-24-Пр.19-23'!G140</f>
        <v>0</v>
      </c>
      <c r="H140" s="821">
        <f>'[10]Раз.пос.Пр.19-23    '!H140+'[10]Уточнение Пр.1-24-Пр.19-23'!H140</f>
        <v>0</v>
      </c>
      <c r="I140" s="822">
        <f>'[10]Раз.пос.Пр.19-23    '!I140+'[10]Уточнение Пр.1-24-Пр.19-23'!I140</f>
        <v>0</v>
      </c>
      <c r="J140" s="822">
        <f>'[10]Раз.пос.Пр.19-23    '!J140+'[10]Уточнение Пр.1-24-Пр.19-23'!J140</f>
        <v>0</v>
      </c>
      <c r="K140" s="816">
        <f t="shared" si="6"/>
        <v>9000</v>
      </c>
      <c r="L140" s="821">
        <f>'[10]Раз.пос.Пр.19-23    '!L140+'[10]Уточнение Пр.1-24-Пр.19-23'!L140</f>
        <v>0</v>
      </c>
      <c r="M140" s="821">
        <f>'[10]Раз.пос.Пр.19-23    '!M140+'[10]Уточнение Пр.1-24-Пр.19-23'!M140</f>
        <v>9000</v>
      </c>
      <c r="N140" s="821">
        <f>'[10]Раз.пос.Пр.19-23    '!N140+'[10]Уточнение Пр.1-24-Пр.19-23'!N140</f>
        <v>0</v>
      </c>
      <c r="Q140" s="820"/>
    </row>
    <row r="141" spans="1:17" x14ac:dyDescent="0.2">
      <c r="A141" s="632">
        <v>129</v>
      </c>
      <c r="B141" s="636" t="s">
        <v>270</v>
      </c>
      <c r="C141" s="637" t="s">
        <v>271</v>
      </c>
      <c r="D141" s="816">
        <f t="shared" si="7"/>
        <v>78000</v>
      </c>
      <c r="E141" s="821">
        <f>'[10]Раз.пос.Пр.19-23    '!E141+'[10]Уточнение Пр.1-24-Пр.19-23'!E141</f>
        <v>0</v>
      </c>
      <c r="F141" s="821">
        <v>0</v>
      </c>
      <c r="G141" s="821">
        <f>'[10]Раз.пос.Пр.19-23    '!G141+'[10]Уточнение Пр.1-24-Пр.19-23'!G141</f>
        <v>0</v>
      </c>
      <c r="H141" s="821">
        <f>'[10]Раз.пос.Пр.19-23    '!H141+'[10]Уточнение Пр.1-24-Пр.19-23'!H141</f>
        <v>0</v>
      </c>
      <c r="I141" s="822">
        <f>'[10]Раз.пос.Пр.19-23    '!I141+'[10]Уточнение Пр.1-24-Пр.19-23'!I141</f>
        <v>0</v>
      </c>
      <c r="J141" s="822">
        <f>'[10]Раз.пос.Пр.19-23    '!J141+'[10]Уточнение Пр.1-24-Пр.19-23'!J141</f>
        <v>0</v>
      </c>
      <c r="K141" s="816">
        <f t="shared" si="6"/>
        <v>78000</v>
      </c>
      <c r="L141" s="821">
        <f>'[10]Раз.пос.Пр.19-23    '!L141+'[10]Уточнение Пр.1-24-Пр.19-23'!L141</f>
        <v>0</v>
      </c>
      <c r="M141" s="821">
        <f>'[10]Раз.пос.Пр.19-23    '!M141+'[10]Уточнение Пр.1-24-Пр.19-23'!M141</f>
        <v>78000</v>
      </c>
      <c r="N141" s="821">
        <f>'[10]Раз.пос.Пр.19-23    '!N141+'[10]Уточнение Пр.1-24-Пр.19-23'!N141</f>
        <v>0</v>
      </c>
      <c r="Q141" s="820"/>
    </row>
    <row r="142" spans="1:17" x14ac:dyDescent="0.2">
      <c r="A142" s="632">
        <v>130</v>
      </c>
      <c r="B142" s="636" t="s">
        <v>272</v>
      </c>
      <c r="C142" s="637" t="s">
        <v>273</v>
      </c>
      <c r="D142" s="816">
        <f t="shared" si="7"/>
        <v>182</v>
      </c>
      <c r="E142" s="821">
        <f>'[10]Раз.пос.Пр.19-23    '!E142+'[10]Уточнение Пр.1-24-Пр.19-23'!E142</f>
        <v>0</v>
      </c>
      <c r="F142" s="821">
        <v>0</v>
      </c>
      <c r="G142" s="821">
        <f>'[10]Раз.пос.Пр.19-23    '!G142+'[10]Уточнение Пр.1-24-Пр.19-23'!G142</f>
        <v>0</v>
      </c>
      <c r="H142" s="821">
        <f>'[10]Раз.пос.Пр.19-23    '!H142+'[10]Уточнение Пр.1-24-Пр.19-23'!H142</f>
        <v>0</v>
      </c>
      <c r="I142" s="822">
        <f>'[10]Раз.пос.Пр.19-23    '!I142+'[10]Уточнение Пр.1-24-Пр.19-23'!I142</f>
        <v>0</v>
      </c>
      <c r="J142" s="822">
        <f>'[10]Раз.пос.Пр.19-23    '!J142+'[10]Уточнение Пр.1-24-Пр.19-23'!J142</f>
        <v>0</v>
      </c>
      <c r="K142" s="816">
        <f t="shared" ref="K142:K152" si="8">L142+M142</f>
        <v>182</v>
      </c>
      <c r="L142" s="821">
        <f>'[10]Раз.пос.Пр.19-23    '!L142+'[10]Уточнение Пр.1-24-Пр.19-23'!L142</f>
        <v>0</v>
      </c>
      <c r="M142" s="821">
        <f>'[10]Раз.пос.Пр.19-23    '!M142+'[10]Уточнение Пр.1-24-Пр.19-23'!M142</f>
        <v>182</v>
      </c>
      <c r="N142" s="821">
        <f>'[10]Раз.пос.Пр.19-23    '!N142+'[10]Уточнение Пр.1-24-Пр.19-23'!N142</f>
        <v>0</v>
      </c>
      <c r="Q142" s="820"/>
    </row>
    <row r="143" spans="1:17" x14ac:dyDescent="0.2">
      <c r="A143" s="632">
        <v>131</v>
      </c>
      <c r="B143" s="636" t="s">
        <v>274</v>
      </c>
      <c r="C143" s="637" t="s">
        <v>275</v>
      </c>
      <c r="D143" s="816">
        <f t="shared" si="7"/>
        <v>57269</v>
      </c>
      <c r="E143" s="821">
        <f>'[10]Раз.пос.Пр.19-23    '!E143+'[10]Уточнение Пр.1-24-Пр.19-23'!E143</f>
        <v>0</v>
      </c>
      <c r="F143" s="821">
        <v>0</v>
      </c>
      <c r="G143" s="821">
        <f>'[10]Раз.пос.Пр.19-23    '!G143+'[10]Уточнение Пр.1-24-Пр.19-23'!G143</f>
        <v>0</v>
      </c>
      <c r="H143" s="821">
        <f>'[10]Раз.пос.Пр.19-23    '!H143+'[10]Уточнение Пр.1-24-Пр.19-23'!H143</f>
        <v>0</v>
      </c>
      <c r="I143" s="822">
        <f>'[10]Раз.пос.Пр.19-23    '!I143+'[10]Уточнение Пр.1-24-Пр.19-23'!I143</f>
        <v>3218</v>
      </c>
      <c r="J143" s="822">
        <f>'[10]Раз.пос.Пр.19-23    '!J143+'[10]Уточнение Пр.1-24-Пр.19-23'!J143</f>
        <v>1770</v>
      </c>
      <c r="K143" s="816">
        <f t="shared" si="8"/>
        <v>52281</v>
      </c>
      <c r="L143" s="821">
        <f>'[10]Раз.пос.Пр.19-23    '!L143+'[10]Уточнение Пр.1-24-Пр.19-23'!L143</f>
        <v>0</v>
      </c>
      <c r="M143" s="821">
        <f>'[10]Раз.пос.Пр.19-23    '!M143+'[10]Уточнение Пр.1-24-Пр.19-23'!M143</f>
        <v>52281</v>
      </c>
      <c r="N143" s="821">
        <f>'[10]Раз.пос.Пр.19-23    '!N143+'[10]Уточнение Пр.1-24-Пр.19-23'!N143</f>
        <v>0</v>
      </c>
      <c r="Q143" s="820"/>
    </row>
    <row r="144" spans="1:17" x14ac:dyDescent="0.2">
      <c r="A144" s="632">
        <v>132</v>
      </c>
      <c r="B144" s="638" t="s">
        <v>276</v>
      </c>
      <c r="C144" s="32" t="s">
        <v>277</v>
      </c>
      <c r="D144" s="816">
        <f t="shared" si="7"/>
        <v>15221</v>
      </c>
      <c r="E144" s="821">
        <f>'[10]Раз.пос.Пр.19-23    '!E144+'[10]Уточнение Пр.1-24-Пр.19-23'!E144</f>
        <v>0</v>
      </c>
      <c r="F144" s="821">
        <v>0</v>
      </c>
      <c r="G144" s="821">
        <f>'[10]Раз.пос.Пр.19-23    '!G144+'[10]Уточнение Пр.1-24-Пр.19-23'!G144</f>
        <v>6883</v>
      </c>
      <c r="H144" s="821">
        <f>'[10]Раз.пос.Пр.19-23    '!H144+'[10]Уточнение Пр.1-24-Пр.19-23'!H144</f>
        <v>4832</v>
      </c>
      <c r="I144" s="822">
        <f>'[10]Раз.пос.Пр.19-23    '!I144+'[10]Уточнение Пр.1-24-Пр.19-23'!I144</f>
        <v>0</v>
      </c>
      <c r="J144" s="822">
        <f>'[10]Раз.пос.Пр.19-23    '!J144+'[10]Уточнение Пр.1-24-Пр.19-23'!J144</f>
        <v>0</v>
      </c>
      <c r="K144" s="816">
        <f t="shared" si="8"/>
        <v>3506</v>
      </c>
      <c r="L144" s="821">
        <f>'[10]Раз.пос.Пр.19-23    '!L144+'[10]Уточнение Пр.1-24-Пр.19-23'!L144</f>
        <v>0</v>
      </c>
      <c r="M144" s="821">
        <f>'[10]Раз.пос.Пр.19-23    '!M144+'[10]Уточнение Пр.1-24-Пр.19-23'!M144</f>
        <v>3506</v>
      </c>
      <c r="N144" s="821">
        <f>'[10]Раз.пос.Пр.19-23    '!N144+'[10]Уточнение Пр.1-24-Пр.19-23'!N144</f>
        <v>0</v>
      </c>
      <c r="Q144" s="820"/>
    </row>
    <row r="145" spans="1:17" x14ac:dyDescent="0.2">
      <c r="A145" s="632">
        <v>133</v>
      </c>
      <c r="B145" s="635" t="s">
        <v>278</v>
      </c>
      <c r="C145" s="32" t="s">
        <v>279</v>
      </c>
      <c r="D145" s="816">
        <f t="shared" si="7"/>
        <v>61518</v>
      </c>
      <c r="E145" s="821">
        <f>'[10]Раз.пос.Пр.19-23    '!E145+'[10]Уточнение Пр.1-24-Пр.19-23'!E145</f>
        <v>0</v>
      </c>
      <c r="F145" s="821">
        <v>0</v>
      </c>
      <c r="G145" s="821">
        <f>'[10]Раз.пос.Пр.19-23    '!G145+'[10]Уточнение Пр.1-24-Пр.19-23'!G145</f>
        <v>14997</v>
      </c>
      <c r="H145" s="821">
        <f>'[10]Раз.пос.Пр.19-23    '!H145+'[10]Уточнение Пр.1-24-Пр.19-23'!H145</f>
        <v>41849</v>
      </c>
      <c r="I145" s="822">
        <f>'[10]Раз.пос.Пр.19-23    '!I145+'[10]Уточнение Пр.1-24-Пр.19-23'!I145</f>
        <v>230</v>
      </c>
      <c r="J145" s="822">
        <f>'[10]Раз.пос.Пр.19-23    '!J145+'[10]Уточнение Пр.1-24-Пр.19-23'!J145</f>
        <v>79</v>
      </c>
      <c r="K145" s="816">
        <f t="shared" si="8"/>
        <v>4363</v>
      </c>
      <c r="L145" s="821">
        <f>'[10]Раз.пос.Пр.19-23    '!L145+'[10]Уточнение Пр.1-24-Пр.19-23'!L145</f>
        <v>0</v>
      </c>
      <c r="M145" s="821">
        <f>'[10]Раз.пос.Пр.19-23    '!M145+'[10]Уточнение Пр.1-24-Пр.19-23'!M145</f>
        <v>4363</v>
      </c>
      <c r="N145" s="821">
        <f>'[10]Раз.пос.Пр.19-23    '!N145+'[10]Уточнение Пр.1-24-Пр.19-23'!N145</f>
        <v>0</v>
      </c>
      <c r="Q145" s="820"/>
    </row>
    <row r="146" spans="1:17" x14ac:dyDescent="0.2">
      <c r="A146" s="632">
        <v>134</v>
      </c>
      <c r="B146" s="636" t="s">
        <v>280</v>
      </c>
      <c r="C146" s="637" t="s">
        <v>281</v>
      </c>
      <c r="D146" s="816">
        <f t="shared" si="7"/>
        <v>3003</v>
      </c>
      <c r="E146" s="821">
        <f>'[10]Раз.пос.Пр.19-23    '!E146+'[10]Уточнение Пр.1-24-Пр.19-23'!E146</f>
        <v>0</v>
      </c>
      <c r="F146" s="821">
        <v>0</v>
      </c>
      <c r="G146" s="821">
        <f>'[10]Раз.пос.Пр.19-23    '!G146+'[10]Уточнение Пр.1-24-Пр.19-23'!G146</f>
        <v>0</v>
      </c>
      <c r="H146" s="821">
        <f>'[10]Раз.пос.Пр.19-23    '!H146+'[10]Уточнение Пр.1-24-Пр.19-23'!H146</f>
        <v>0</v>
      </c>
      <c r="I146" s="822">
        <f>'[10]Раз.пос.Пр.19-23    '!I146+'[10]Уточнение Пр.1-24-Пр.19-23'!I146</f>
        <v>0</v>
      </c>
      <c r="J146" s="822">
        <f>'[10]Раз.пос.Пр.19-23    '!J146+'[10]Уточнение Пр.1-24-Пр.19-23'!J146</f>
        <v>0</v>
      </c>
      <c r="K146" s="816">
        <f t="shared" si="8"/>
        <v>3003</v>
      </c>
      <c r="L146" s="821">
        <f>'[10]Раз.пос.Пр.19-23    '!L146+'[10]Уточнение Пр.1-24-Пр.19-23'!L146</f>
        <v>3</v>
      </c>
      <c r="M146" s="821">
        <f>'[10]Раз.пос.Пр.19-23    '!M146+'[10]Уточнение Пр.1-24-Пр.19-23'!M146</f>
        <v>3000</v>
      </c>
      <c r="N146" s="821">
        <f>'[10]Раз.пос.Пр.19-23    '!N146+'[10]Уточнение Пр.1-24-Пр.19-23'!N146</f>
        <v>0</v>
      </c>
      <c r="Q146" s="820"/>
    </row>
    <row r="147" spans="1:17" x14ac:dyDescent="0.2">
      <c r="A147" s="632">
        <v>135</v>
      </c>
      <c r="B147" s="633" t="s">
        <v>282</v>
      </c>
      <c r="C147" s="634" t="s">
        <v>283</v>
      </c>
      <c r="D147" s="816">
        <f t="shared" si="7"/>
        <v>15234</v>
      </c>
      <c r="E147" s="821">
        <f>'[10]Раз.пос.Пр.19-23    '!E147+'[10]Уточнение Пр.1-24-Пр.19-23'!E147</f>
        <v>0</v>
      </c>
      <c r="F147" s="821">
        <v>0</v>
      </c>
      <c r="G147" s="821">
        <f>'[10]Раз.пос.Пр.19-23    '!G147+'[10]Уточнение Пр.1-24-Пр.19-23'!G147</f>
        <v>0</v>
      </c>
      <c r="H147" s="821">
        <f>'[10]Раз.пос.Пр.19-23    '!H147+'[10]Уточнение Пр.1-24-Пр.19-23'!H147</f>
        <v>0</v>
      </c>
      <c r="I147" s="822">
        <f>'[10]Раз.пос.Пр.19-23    '!I147+'[10]Уточнение Пр.1-24-Пр.19-23'!I147</f>
        <v>0</v>
      </c>
      <c r="J147" s="822">
        <f>'[10]Раз.пос.Пр.19-23    '!J147+'[10]Уточнение Пр.1-24-Пр.19-23'!J147</f>
        <v>0</v>
      </c>
      <c r="K147" s="816">
        <f t="shared" si="8"/>
        <v>15234</v>
      </c>
      <c r="L147" s="821">
        <f>'[10]Раз.пос.Пр.19-23    '!L147+'[10]Уточнение Пр.1-24-Пр.19-23'!L147</f>
        <v>0</v>
      </c>
      <c r="M147" s="821">
        <f>'[10]Раз.пос.Пр.19-23    '!M147+'[10]Уточнение Пр.1-24-Пр.19-23'!M147</f>
        <v>15234</v>
      </c>
      <c r="N147" s="821">
        <f>'[10]Раз.пос.Пр.19-23    '!N147+'[10]Уточнение Пр.1-24-Пр.19-23'!N147</f>
        <v>0</v>
      </c>
      <c r="Q147" s="820"/>
    </row>
    <row r="148" spans="1:17" ht="12.75" x14ac:dyDescent="0.2">
      <c r="A148" s="632">
        <v>136</v>
      </c>
      <c r="B148" s="646" t="s">
        <v>284</v>
      </c>
      <c r="C148" s="647" t="s">
        <v>285</v>
      </c>
      <c r="D148" s="816">
        <f t="shared" si="7"/>
        <v>0</v>
      </c>
      <c r="E148" s="821">
        <f>'[10]Раз.пос.Пр.19-23    '!E148+'[10]Уточнение Пр.1-24-Пр.19-23'!E148</f>
        <v>0</v>
      </c>
      <c r="F148" s="821">
        <v>0</v>
      </c>
      <c r="G148" s="821">
        <f>'[10]Раз.пос.Пр.19-23    '!G148+'[10]Уточнение Пр.1-24-Пр.19-23'!G148</f>
        <v>0</v>
      </c>
      <c r="H148" s="821">
        <f>'[10]Раз.пос.Пр.19-23    '!H148+'[10]Уточнение Пр.1-24-Пр.19-23'!H148</f>
        <v>0</v>
      </c>
      <c r="I148" s="822">
        <f>'[10]Раз.пос.Пр.19-23    '!I148+'[10]Уточнение Пр.1-24-Пр.19-23'!I148</f>
        <v>0</v>
      </c>
      <c r="J148" s="822">
        <f>'[10]Раз.пос.Пр.19-23    '!J148+'[10]Уточнение Пр.1-24-Пр.19-23'!J148</f>
        <v>0</v>
      </c>
      <c r="K148" s="816">
        <f t="shared" si="8"/>
        <v>0</v>
      </c>
      <c r="L148" s="821">
        <f>'[10]Раз.пос.Пр.19-23    '!L148+'[10]Уточнение Пр.1-24-Пр.19-23'!L148</f>
        <v>0</v>
      </c>
      <c r="M148" s="821">
        <f>'[10]Раз.пос.Пр.19-23    '!M148+'[10]Уточнение Пр.1-24-Пр.19-23'!M148</f>
        <v>0</v>
      </c>
      <c r="N148" s="821">
        <f>'[10]Раз.пос.Пр.19-23    '!N148+'[10]Уточнение Пр.1-24-Пр.19-23'!N148</f>
        <v>0</v>
      </c>
      <c r="Q148" s="820"/>
    </row>
    <row r="149" spans="1:17" x14ac:dyDescent="0.2">
      <c r="A149" s="632">
        <v>137</v>
      </c>
      <c r="B149" s="40" t="s">
        <v>387</v>
      </c>
      <c r="C149" s="648" t="s">
        <v>388</v>
      </c>
      <c r="D149" s="816">
        <f t="shared" si="7"/>
        <v>0</v>
      </c>
      <c r="E149" s="821">
        <f>'[10]Раз.пос.Пр.19-23    '!E149+'[10]Уточнение Пр.1-24-Пр.19-23'!E149</f>
        <v>0</v>
      </c>
      <c r="F149" s="823">
        <v>0</v>
      </c>
      <c r="G149" s="821">
        <f>'[10]Раз.пос.Пр.19-23    '!G149+'[10]Уточнение Пр.1-24-Пр.19-23'!G149</f>
        <v>0</v>
      </c>
      <c r="H149" s="821">
        <f>'[10]Раз.пос.Пр.19-23    '!H149+'[10]Уточнение Пр.1-24-Пр.19-23'!H149</f>
        <v>0</v>
      </c>
      <c r="I149" s="823">
        <f>'[10]Раз.пос.Пр.19-23    '!I149+'[10]Уточнение Пр.1-24-Пр.19-23'!I149</f>
        <v>0</v>
      </c>
      <c r="J149" s="823">
        <f>'[10]Раз.пос.Пр.19-23    '!J149+'[10]Уточнение Пр.1-24-Пр.19-23'!J149</f>
        <v>0</v>
      </c>
      <c r="K149" s="816">
        <f t="shared" si="8"/>
        <v>0</v>
      </c>
      <c r="L149" s="823">
        <f>'[10]Раз.пос.Пр.19-23    '!L149+'[10]Уточнение Пр.1-24-Пр.19-23'!L149</f>
        <v>0</v>
      </c>
      <c r="M149" s="823">
        <f>'[10]Раз.пос.Пр.19-23    '!M149+'[10]Уточнение Пр.1-24-Пр.19-23'!M149</f>
        <v>0</v>
      </c>
      <c r="N149" s="823">
        <f>'[10]Раз.пос.Пр.19-23    '!N149+'[10]Уточнение Пр.1-24-Пр.19-23'!N149</f>
        <v>0</v>
      </c>
      <c r="Q149" s="820"/>
    </row>
    <row r="150" spans="1:17" x14ac:dyDescent="0.2">
      <c r="A150" s="632">
        <v>138</v>
      </c>
      <c r="B150" s="41" t="s">
        <v>389</v>
      </c>
      <c r="C150" s="649" t="s">
        <v>390</v>
      </c>
      <c r="D150" s="816">
        <f t="shared" si="7"/>
        <v>0</v>
      </c>
      <c r="E150" s="821">
        <f>'[10]Раз.пос.Пр.19-23    '!E150+'[10]Уточнение Пр.1-24-Пр.19-23'!E150</f>
        <v>0</v>
      </c>
      <c r="F150" s="824">
        <v>0</v>
      </c>
      <c r="G150" s="821">
        <f>'[10]Раз.пос.Пр.19-23    '!G150+'[10]Уточнение Пр.1-24-Пр.19-23'!G150</f>
        <v>0</v>
      </c>
      <c r="H150" s="821">
        <f>'[10]Раз.пос.Пр.19-23    '!H150+'[10]Уточнение Пр.1-24-Пр.19-23'!H150</f>
        <v>0</v>
      </c>
      <c r="I150" s="824">
        <f>'[10]Раз.пос.Пр.19-23    '!I150+'[10]Уточнение Пр.1-24-Пр.19-23'!I150</f>
        <v>0</v>
      </c>
      <c r="J150" s="824">
        <f>'[10]Раз.пос.Пр.19-23    '!J150+'[10]Уточнение Пр.1-24-Пр.19-23'!J150</f>
        <v>0</v>
      </c>
      <c r="K150" s="816">
        <f t="shared" si="8"/>
        <v>0</v>
      </c>
      <c r="L150" s="823">
        <f>'[10]Раз.пос.Пр.19-23    '!L150+'[10]Уточнение Пр.1-24-Пр.19-23'!L150</f>
        <v>0</v>
      </c>
      <c r="M150" s="823">
        <f>'[10]Раз.пос.Пр.19-23    '!M150+'[10]Уточнение Пр.1-24-Пр.19-23'!M150</f>
        <v>0</v>
      </c>
      <c r="N150" s="823">
        <f>'[10]Раз.пос.Пр.19-23    '!N150+'[10]Уточнение Пр.1-24-Пр.19-23'!N150</f>
        <v>0</v>
      </c>
      <c r="Q150" s="820"/>
    </row>
    <row r="151" spans="1:17" x14ac:dyDescent="0.2">
      <c r="A151" s="632">
        <v>139</v>
      </c>
      <c r="B151" s="42" t="s">
        <v>391</v>
      </c>
      <c r="C151" s="650" t="s">
        <v>392</v>
      </c>
      <c r="D151" s="816">
        <f t="shared" si="7"/>
        <v>0</v>
      </c>
      <c r="E151" s="821">
        <f>'[10]Раз.пос.Пр.19-23    '!E151+'[10]Уточнение Пр.1-24-Пр.19-23'!E151</f>
        <v>0</v>
      </c>
      <c r="F151" s="824">
        <v>0</v>
      </c>
      <c r="G151" s="821">
        <f>'[10]Раз.пос.Пр.19-23    '!G151+'[10]Уточнение Пр.1-24-Пр.19-23'!G151</f>
        <v>0</v>
      </c>
      <c r="H151" s="821">
        <f>'[10]Раз.пос.Пр.19-23    '!H151+'[10]Уточнение Пр.1-24-Пр.19-23'!H151</f>
        <v>0</v>
      </c>
      <c r="I151" s="823">
        <f>'[10]Раз.пос.Пр.19-23    '!I151+'[10]Уточнение Пр.1-24-Пр.19-23'!I151</f>
        <v>0</v>
      </c>
      <c r="J151" s="823">
        <f>'[10]Раз.пос.Пр.19-23    '!J151+'[10]Уточнение Пр.1-24-Пр.19-23'!J151</f>
        <v>0</v>
      </c>
      <c r="K151" s="816">
        <f t="shared" si="8"/>
        <v>0</v>
      </c>
      <c r="L151" s="823">
        <f>'[10]Раз.пос.Пр.19-23    '!L151+'[10]Уточнение Пр.1-24-Пр.19-23'!L151</f>
        <v>0</v>
      </c>
      <c r="M151" s="823">
        <f>'[10]Раз.пос.Пр.19-23    '!M151+'[10]Уточнение Пр.1-24-Пр.19-23'!M151</f>
        <v>0</v>
      </c>
      <c r="N151" s="823">
        <f>'[10]Раз.пос.Пр.19-23    '!N151+'[10]Уточнение Пр.1-24-Пр.19-23'!N151</f>
        <v>0</v>
      </c>
      <c r="Q151" s="820"/>
    </row>
    <row r="152" spans="1:17" x14ac:dyDescent="0.2">
      <c r="A152" s="632">
        <v>140</v>
      </c>
      <c r="B152" s="632" t="s">
        <v>393</v>
      </c>
      <c r="C152" s="651" t="s">
        <v>394</v>
      </c>
      <c r="D152" s="816">
        <f t="shared" si="7"/>
        <v>0</v>
      </c>
      <c r="E152" s="821">
        <f>'[10]Раз.пос.Пр.19-23    '!E152+'[10]Уточнение Пр.1-24-Пр.19-23'!E152</f>
        <v>0</v>
      </c>
      <c r="F152" s="823">
        <v>0</v>
      </c>
      <c r="G152" s="821">
        <f>'[10]Раз.пос.Пр.19-23    '!G152+'[10]Уточнение Пр.1-24-Пр.19-23'!G152</f>
        <v>0</v>
      </c>
      <c r="H152" s="821">
        <f>'[10]Раз.пос.Пр.19-23    '!H152+'[10]Уточнение Пр.1-24-Пр.19-23'!H152</f>
        <v>0</v>
      </c>
      <c r="I152" s="823">
        <f>'[10]Раз.пос.Пр.19-23    '!I152+'[10]Уточнение Пр.1-24-Пр.19-23'!I152</f>
        <v>0</v>
      </c>
      <c r="J152" s="823">
        <f>'[10]Раз.пос.Пр.19-23    '!J152+'[10]Уточнение Пр.1-24-Пр.19-23'!J152</f>
        <v>0</v>
      </c>
      <c r="K152" s="816">
        <f t="shared" si="8"/>
        <v>0</v>
      </c>
      <c r="L152" s="823">
        <f>'[10]Раз.пос.Пр.19-23    '!L152+'[10]Уточнение Пр.1-24-Пр.19-23'!L152</f>
        <v>0</v>
      </c>
      <c r="M152" s="823">
        <f>'[10]Раз.пос.Пр.19-23    '!M152+'[10]Уточнение Пр.1-24-Пр.19-23'!M152</f>
        <v>0</v>
      </c>
      <c r="N152" s="823">
        <f>'[10]Раз.пос.Пр.19-23    '!N152+'[10]Уточнение Пр.1-24-Пр.19-23'!N152</f>
        <v>0</v>
      </c>
      <c r="Q152" s="820"/>
    </row>
    <row r="158" spans="1:17" x14ac:dyDescent="0.2">
      <c r="D158" s="813"/>
    </row>
  </sheetData>
  <mergeCells count="26"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A8:C8"/>
    <mergeCell ref="A9:C9"/>
    <mergeCell ref="A10:C10"/>
    <mergeCell ref="A93:A95"/>
    <mergeCell ref="B93:B95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zoomScaleNormal="100" workbookViewId="0">
      <pane xSplit="3" ySplit="9" topLeftCell="D22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RowHeight="12" x14ac:dyDescent="0.2"/>
  <cols>
    <col min="1" max="2" width="9.140625" style="825"/>
    <col min="3" max="3" width="28" style="825" customWidth="1"/>
    <col min="4" max="4" width="17.42578125" style="825" customWidth="1"/>
    <col min="5" max="5" width="16.28515625" style="825" customWidth="1"/>
    <col min="6" max="6" width="14.7109375" style="825" customWidth="1"/>
    <col min="7" max="7" width="13.42578125" style="825" customWidth="1"/>
    <col min="8" max="8" width="13.85546875" style="825" customWidth="1"/>
    <col min="9" max="16384" width="9.140625" style="825"/>
  </cols>
  <sheetData>
    <row r="1" spans="1:8" ht="45.75" customHeight="1" x14ac:dyDescent="0.2">
      <c r="A1" s="1110" t="s">
        <v>355</v>
      </c>
      <c r="B1" s="1110"/>
      <c r="C1" s="1110"/>
      <c r="D1" s="1110"/>
      <c r="E1" s="1110"/>
      <c r="F1" s="1110"/>
      <c r="G1" s="1110"/>
      <c r="H1" s="1110"/>
    </row>
    <row r="2" spans="1:8" ht="24.75" customHeight="1" x14ac:dyDescent="0.2">
      <c r="A2" s="1111" t="s">
        <v>0</v>
      </c>
      <c r="B2" s="1114" t="s">
        <v>1</v>
      </c>
      <c r="C2" s="1111" t="s">
        <v>2</v>
      </c>
      <c r="D2" s="1117" t="s">
        <v>352</v>
      </c>
      <c r="E2" s="1117"/>
      <c r="F2" s="1117"/>
      <c r="G2" s="1117"/>
      <c r="H2" s="1117"/>
    </row>
    <row r="3" spans="1:8" ht="12.75" customHeight="1" x14ac:dyDescent="0.2">
      <c r="A3" s="1112"/>
      <c r="B3" s="1115"/>
      <c r="C3" s="1112"/>
      <c r="D3" s="1111" t="s">
        <v>3</v>
      </c>
      <c r="E3" s="1118" t="s">
        <v>4</v>
      </c>
      <c r="F3" s="1119"/>
      <c r="G3" s="1119"/>
      <c r="H3" s="1120"/>
    </row>
    <row r="4" spans="1:8" ht="32.25" customHeight="1" x14ac:dyDescent="0.2">
      <c r="A4" s="1112"/>
      <c r="B4" s="1115"/>
      <c r="C4" s="1112"/>
      <c r="D4" s="1112"/>
      <c r="E4" s="1121" t="s">
        <v>340</v>
      </c>
      <c r="F4" s="1123" t="s">
        <v>341</v>
      </c>
      <c r="G4" s="1124"/>
      <c r="H4" s="1125" t="s">
        <v>353</v>
      </c>
    </row>
    <row r="5" spans="1:8" ht="36" x14ac:dyDescent="0.2">
      <c r="A5" s="1113"/>
      <c r="B5" s="1116"/>
      <c r="C5" s="1113"/>
      <c r="D5" s="1113"/>
      <c r="E5" s="1122"/>
      <c r="F5" s="826" t="s">
        <v>345</v>
      </c>
      <c r="G5" s="827" t="s">
        <v>346</v>
      </c>
      <c r="H5" s="1122"/>
    </row>
    <row r="6" spans="1:8" s="832" customFormat="1" ht="11.25" x14ac:dyDescent="0.2">
      <c r="A6" s="828">
        <v>1</v>
      </c>
      <c r="B6" s="828">
        <v>2</v>
      </c>
      <c r="C6" s="828">
        <v>3</v>
      </c>
      <c r="D6" s="829">
        <v>4</v>
      </c>
      <c r="E6" s="830">
        <v>5</v>
      </c>
      <c r="F6" s="830">
        <v>6</v>
      </c>
      <c r="G6" s="830">
        <v>7</v>
      </c>
      <c r="H6" s="831">
        <v>8</v>
      </c>
    </row>
    <row r="7" spans="1:8" s="832" customFormat="1" x14ac:dyDescent="0.2">
      <c r="A7" s="1077" t="s">
        <v>6</v>
      </c>
      <c r="B7" s="1077"/>
      <c r="C7" s="1077"/>
      <c r="D7" s="833">
        <f>D9+D8</f>
        <v>2376831</v>
      </c>
      <c r="E7" s="833">
        <f t="shared" ref="E7:H7" si="0">E9+E8</f>
        <v>67170</v>
      </c>
      <c r="F7" s="833">
        <f t="shared" si="0"/>
        <v>440480</v>
      </c>
      <c r="G7" s="833">
        <f t="shared" si="0"/>
        <v>1634211</v>
      </c>
      <c r="H7" s="833">
        <f t="shared" si="0"/>
        <v>234970</v>
      </c>
    </row>
    <row r="8" spans="1:8" s="832" customFormat="1" ht="12" customHeight="1" x14ac:dyDescent="0.2">
      <c r="A8" s="1078" t="s">
        <v>14</v>
      </c>
      <c r="B8" s="1079"/>
      <c r="C8" s="1080"/>
      <c r="D8" s="830">
        <f>E8+F8+G8+H8</f>
        <v>0</v>
      </c>
      <c r="E8" s="830">
        <v>0</v>
      </c>
      <c r="F8" s="830">
        <v>0</v>
      </c>
      <c r="G8" s="830">
        <v>0</v>
      </c>
      <c r="H8" s="829">
        <v>0</v>
      </c>
    </row>
    <row r="9" spans="1:8" s="832" customFormat="1" ht="12" customHeight="1" x14ac:dyDescent="0.2">
      <c r="A9" s="1078" t="s">
        <v>15</v>
      </c>
      <c r="B9" s="1079"/>
      <c r="C9" s="1080"/>
      <c r="D9" s="833">
        <f>SUM(D10:D151)</f>
        <v>2376831</v>
      </c>
      <c r="E9" s="833">
        <f t="shared" ref="E9:H9" si="1">SUM(E10:E151)</f>
        <v>67170</v>
      </c>
      <c r="F9" s="833">
        <f t="shared" si="1"/>
        <v>440480</v>
      </c>
      <c r="G9" s="833">
        <f t="shared" si="1"/>
        <v>1634211</v>
      </c>
      <c r="H9" s="833">
        <f t="shared" si="1"/>
        <v>234970</v>
      </c>
    </row>
    <row r="10" spans="1:8" x14ac:dyDescent="0.2">
      <c r="A10" s="632">
        <v>1</v>
      </c>
      <c r="B10" s="633" t="s">
        <v>16</v>
      </c>
      <c r="C10" s="634" t="s">
        <v>17</v>
      </c>
      <c r="D10" s="830">
        <f t="shared" ref="D10:D73" si="2">E10+F10+G10+H10</f>
        <v>6390</v>
      </c>
      <c r="E10" s="834">
        <f>'[11]Пос с др.целями Пр.19-23   '!E10+'[11]Уточнение Пр.1-24'!E10</f>
        <v>0</v>
      </c>
      <c r="F10" s="834">
        <f>'[11]Пос с др.целями Пр.19-23   '!F10+'[11]Уточнение Пр.1-24'!F10</f>
        <v>1720</v>
      </c>
      <c r="G10" s="834">
        <f>'[11]Пос с др.целями Пр.19-23   '!G10+'[11]Уточнение Пр.1-24'!G10</f>
        <v>4670</v>
      </c>
      <c r="H10" s="834">
        <f>'[11]Пос с др.целями Пр.19-23   '!H10+'[11]Уточнение Пр.1-24'!H10</f>
        <v>0</v>
      </c>
    </row>
    <row r="11" spans="1:8" x14ac:dyDescent="0.2">
      <c r="A11" s="632">
        <v>2</v>
      </c>
      <c r="B11" s="635" t="s">
        <v>18</v>
      </c>
      <c r="C11" s="634" t="s">
        <v>19</v>
      </c>
      <c r="D11" s="830">
        <f t="shared" si="2"/>
        <v>3933</v>
      </c>
      <c r="E11" s="834">
        <f>'[11]Пос с др.целями Пр.19-23   '!E11+'[11]Уточнение Пр.1-24'!E11</f>
        <v>0</v>
      </c>
      <c r="F11" s="834">
        <f>'[11]Пос с др.целями Пр.19-23   '!F11+'[11]Уточнение Пр.1-24'!F11</f>
        <v>620</v>
      </c>
      <c r="G11" s="834">
        <f>'[11]Пос с др.целями Пр.19-23   '!G11+'[11]Уточнение Пр.1-24'!G11</f>
        <v>3313</v>
      </c>
      <c r="H11" s="834">
        <f>'[11]Пос с др.целями Пр.19-23   '!H11+'[11]Уточнение Пр.1-24'!H11</f>
        <v>0</v>
      </c>
    </row>
    <row r="12" spans="1:8" x14ac:dyDescent="0.2">
      <c r="A12" s="632">
        <v>3</v>
      </c>
      <c r="B12" s="636" t="s">
        <v>20</v>
      </c>
      <c r="C12" s="637" t="s">
        <v>21</v>
      </c>
      <c r="D12" s="830">
        <f t="shared" si="2"/>
        <v>29356</v>
      </c>
      <c r="E12" s="834">
        <f>'[11]Пос с др.целями Пр.19-23   '!E12+'[11]Уточнение Пр.1-24'!E12</f>
        <v>0</v>
      </c>
      <c r="F12" s="834">
        <f>'[11]Пос с др.целями Пр.19-23   '!F12+'[11]Уточнение Пр.1-24'!F12</f>
        <v>3295</v>
      </c>
      <c r="G12" s="834">
        <f>'[11]Пос с др.целями Пр.19-23   '!G12+'[11]Уточнение Пр.1-24'!G12</f>
        <v>16717</v>
      </c>
      <c r="H12" s="834">
        <f>'[11]Пос с др.целями Пр.19-23   '!H12+'[11]Уточнение Пр.1-24'!H12</f>
        <v>9344</v>
      </c>
    </row>
    <row r="13" spans="1:8" x14ac:dyDescent="0.2">
      <c r="A13" s="632">
        <v>4</v>
      </c>
      <c r="B13" s="633" t="s">
        <v>22</v>
      </c>
      <c r="C13" s="634" t="s">
        <v>23</v>
      </c>
      <c r="D13" s="830">
        <f t="shared" si="2"/>
        <v>8261</v>
      </c>
      <c r="E13" s="834">
        <f>'[11]Пос с др.целями Пр.19-23   '!E13+'[11]Уточнение Пр.1-24'!E13</f>
        <v>0</v>
      </c>
      <c r="F13" s="834">
        <f>'[11]Пос с др.целями Пр.19-23   '!F13+'[11]Уточнение Пр.1-24'!F13</f>
        <v>1944</v>
      </c>
      <c r="G13" s="834">
        <f>'[11]Пос с др.целями Пр.19-23   '!G13+'[11]Уточнение Пр.1-24'!G13</f>
        <v>6317</v>
      </c>
      <c r="H13" s="834">
        <f>'[11]Пос с др.целями Пр.19-23   '!H13+'[11]Уточнение Пр.1-24'!H13</f>
        <v>0</v>
      </c>
    </row>
    <row r="14" spans="1:8" ht="18.75" customHeight="1" x14ac:dyDescent="0.2">
      <c r="A14" s="632">
        <v>5</v>
      </c>
      <c r="B14" s="633" t="s">
        <v>24</v>
      </c>
      <c r="C14" s="634" t="s">
        <v>25</v>
      </c>
      <c r="D14" s="830">
        <f t="shared" si="2"/>
        <v>8613</v>
      </c>
      <c r="E14" s="834">
        <f>'[11]Пос с др.целями Пр.19-23   '!E14+'[11]Уточнение Пр.1-24'!E14</f>
        <v>0</v>
      </c>
      <c r="F14" s="834">
        <f>'[11]Пос с др.целями Пр.19-23   '!F14+'[11]Уточнение Пр.1-24'!F14</f>
        <v>4175</v>
      </c>
      <c r="G14" s="834">
        <f>'[11]Пос с др.целями Пр.19-23   '!G14+'[11]Уточнение Пр.1-24'!G14</f>
        <v>4438</v>
      </c>
      <c r="H14" s="834">
        <f>'[11]Пос с др.целями Пр.19-23   '!H14+'[11]Уточнение Пр.1-24'!H14</f>
        <v>0</v>
      </c>
    </row>
    <row r="15" spans="1:8" x14ac:dyDescent="0.2">
      <c r="A15" s="632">
        <v>6</v>
      </c>
      <c r="B15" s="636" t="s">
        <v>26</v>
      </c>
      <c r="C15" s="637" t="s">
        <v>27</v>
      </c>
      <c r="D15" s="830">
        <f t="shared" si="2"/>
        <v>118202</v>
      </c>
      <c r="E15" s="834">
        <f>'[11]Пос с др.целями Пр.19-23   '!E15+'[11]Уточнение Пр.1-24'!E15</f>
        <v>0</v>
      </c>
      <c r="F15" s="834">
        <f>'[11]Пос с др.целями Пр.19-23   '!F15+'[11]Уточнение Пр.1-24'!F15</f>
        <v>22963</v>
      </c>
      <c r="G15" s="834">
        <f>'[11]Пос с др.целями Пр.19-23   '!G15+'[11]Уточнение Пр.1-24'!G15</f>
        <v>79082</v>
      </c>
      <c r="H15" s="834">
        <f>'[11]Пос с др.целями Пр.19-23   '!H15+'[11]Уточнение Пр.1-24'!H15</f>
        <v>16157</v>
      </c>
    </row>
    <row r="16" spans="1:8" x14ac:dyDescent="0.2">
      <c r="A16" s="632">
        <v>7</v>
      </c>
      <c r="B16" s="638" t="s">
        <v>28</v>
      </c>
      <c r="C16" s="32" t="s">
        <v>29</v>
      </c>
      <c r="D16" s="830">
        <f t="shared" si="2"/>
        <v>53551</v>
      </c>
      <c r="E16" s="834">
        <f>'[11]Пос с др.целями Пр.19-23   '!E16+'[11]Уточнение Пр.1-24'!E16</f>
        <v>0</v>
      </c>
      <c r="F16" s="834">
        <f>'[11]Пос с др.целями Пр.19-23   '!F16+'[11]Уточнение Пр.1-24'!F16</f>
        <v>6076</v>
      </c>
      <c r="G16" s="834">
        <f>'[11]Пос с др.целями Пр.19-23   '!G16+'[11]Уточнение Пр.1-24'!G16</f>
        <v>38989</v>
      </c>
      <c r="H16" s="834">
        <f>'[11]Пос с др.целями Пр.19-23   '!H16+'[11]Уточнение Пр.1-24'!H16</f>
        <v>8486</v>
      </c>
    </row>
    <row r="17" spans="1:8" x14ac:dyDescent="0.2">
      <c r="A17" s="632">
        <v>8</v>
      </c>
      <c r="B17" s="636" t="s">
        <v>30</v>
      </c>
      <c r="C17" s="637" t="s">
        <v>31</v>
      </c>
      <c r="D17" s="830">
        <f t="shared" si="2"/>
        <v>14281</v>
      </c>
      <c r="E17" s="834">
        <f>'[11]Пос с др.целями Пр.19-23   '!E17+'[11]Уточнение Пр.1-24'!E17</f>
        <v>0</v>
      </c>
      <c r="F17" s="834">
        <f>'[11]Пос с др.целями Пр.19-23   '!F17+'[11]Уточнение Пр.1-24'!F17</f>
        <v>4802</v>
      </c>
      <c r="G17" s="834">
        <f>'[11]Пос с др.целями Пр.19-23   '!G17+'[11]Уточнение Пр.1-24'!G17</f>
        <v>9479</v>
      </c>
      <c r="H17" s="834">
        <f>'[11]Пос с др.целями Пр.19-23   '!H17+'[11]Уточнение Пр.1-24'!H17</f>
        <v>0</v>
      </c>
    </row>
    <row r="18" spans="1:8" x14ac:dyDescent="0.2">
      <c r="A18" s="632">
        <v>9</v>
      </c>
      <c r="B18" s="636" t="s">
        <v>32</v>
      </c>
      <c r="C18" s="637" t="s">
        <v>33</v>
      </c>
      <c r="D18" s="830">
        <f t="shared" si="2"/>
        <v>12461</v>
      </c>
      <c r="E18" s="834">
        <f>'[11]Пос с др.целями Пр.19-23   '!E18+'[11]Уточнение Пр.1-24'!E18</f>
        <v>0</v>
      </c>
      <c r="F18" s="834">
        <f>'[11]Пос с др.целями Пр.19-23   '!F18+'[11]Уточнение Пр.1-24'!F18</f>
        <v>2156</v>
      </c>
      <c r="G18" s="834">
        <f>'[11]Пос с др.целями Пр.19-23   '!G18+'[11]Уточнение Пр.1-24'!G18</f>
        <v>10305</v>
      </c>
      <c r="H18" s="834">
        <f>'[11]Пос с др.целями Пр.19-23   '!H18+'[11]Уточнение Пр.1-24'!H18</f>
        <v>0</v>
      </c>
    </row>
    <row r="19" spans="1:8" x14ac:dyDescent="0.2">
      <c r="A19" s="632">
        <v>10</v>
      </c>
      <c r="B19" s="636" t="s">
        <v>34</v>
      </c>
      <c r="C19" s="637" t="s">
        <v>35</v>
      </c>
      <c r="D19" s="830">
        <f t="shared" si="2"/>
        <v>17562</v>
      </c>
      <c r="E19" s="834">
        <f>'[11]Пос с др.целями Пр.19-23   '!E19+'[11]Уточнение Пр.1-24'!E19</f>
        <v>0</v>
      </c>
      <c r="F19" s="834">
        <f>'[11]Пос с др.целями Пр.19-23   '!F19+'[11]Уточнение Пр.1-24'!F19</f>
        <v>5080</v>
      </c>
      <c r="G19" s="834">
        <f>'[11]Пос с др.целями Пр.19-23   '!G19+'[11]Уточнение Пр.1-24'!G19</f>
        <v>12482</v>
      </c>
      <c r="H19" s="834">
        <f>'[11]Пос с др.целями Пр.19-23   '!H19+'[11]Уточнение Пр.1-24'!H19</f>
        <v>0</v>
      </c>
    </row>
    <row r="20" spans="1:8" x14ac:dyDescent="0.2">
      <c r="A20" s="632">
        <v>11</v>
      </c>
      <c r="B20" s="636" t="s">
        <v>36</v>
      </c>
      <c r="C20" s="637" t="s">
        <v>37</v>
      </c>
      <c r="D20" s="830">
        <f t="shared" si="2"/>
        <v>6383</v>
      </c>
      <c r="E20" s="834">
        <f>'[11]Пос с др.целями Пр.19-23   '!E20+'[11]Уточнение Пр.1-24'!E20</f>
        <v>0</v>
      </c>
      <c r="F20" s="834">
        <f>'[11]Пос с др.целями Пр.19-23   '!F20+'[11]Уточнение Пр.1-24'!F20</f>
        <v>3586</v>
      </c>
      <c r="G20" s="834">
        <f>'[11]Пос с др.целями Пр.19-23   '!G20+'[11]Уточнение Пр.1-24'!G20</f>
        <v>2797</v>
      </c>
      <c r="H20" s="834">
        <f>'[11]Пос с др.целями Пр.19-23   '!H20+'[11]Уточнение Пр.1-24'!H20</f>
        <v>0</v>
      </c>
    </row>
    <row r="21" spans="1:8" x14ac:dyDescent="0.2">
      <c r="A21" s="632">
        <v>12</v>
      </c>
      <c r="B21" s="636" t="s">
        <v>38</v>
      </c>
      <c r="C21" s="637" t="s">
        <v>39</v>
      </c>
      <c r="D21" s="830">
        <f t="shared" si="2"/>
        <v>24917</v>
      </c>
      <c r="E21" s="834">
        <f>'[11]Пос с др.целями Пр.19-23   '!E21+'[11]Уточнение Пр.1-24'!E21</f>
        <v>0</v>
      </c>
      <c r="F21" s="834">
        <f>'[11]Пос с др.целями Пр.19-23   '!F21+'[11]Уточнение Пр.1-24'!F21</f>
        <v>3475</v>
      </c>
      <c r="G21" s="834">
        <f>'[11]Пос с др.целями Пр.19-23   '!G21+'[11]Уточнение Пр.1-24'!G21</f>
        <v>21442</v>
      </c>
      <c r="H21" s="834">
        <f>'[11]Пос с др.целями Пр.19-23   '!H21+'[11]Уточнение Пр.1-24'!H21</f>
        <v>0</v>
      </c>
    </row>
    <row r="22" spans="1:8" x14ac:dyDescent="0.2">
      <c r="A22" s="639">
        <v>13</v>
      </c>
      <c r="B22" s="636" t="s">
        <v>40</v>
      </c>
      <c r="C22" s="637" t="s">
        <v>41</v>
      </c>
      <c r="D22" s="830">
        <f t="shared" si="2"/>
        <v>0</v>
      </c>
      <c r="E22" s="834">
        <f>'[11]Пос с др.целями Пр.19-23   '!E22+'[11]Уточнение Пр.1-24'!E22</f>
        <v>0</v>
      </c>
      <c r="F22" s="834">
        <f>'[11]Пос с др.целями Пр.19-23   '!F22+'[11]Уточнение Пр.1-24'!F22</f>
        <v>0</v>
      </c>
      <c r="G22" s="834">
        <f>'[11]Пос с др.целями Пр.19-23   '!G22+'[11]Уточнение Пр.1-24'!G22</f>
        <v>0</v>
      </c>
      <c r="H22" s="834">
        <f>'[11]Пос с др.целями Пр.19-23   '!H22+'[11]Уточнение Пр.1-24'!H22</f>
        <v>0</v>
      </c>
    </row>
    <row r="23" spans="1:8" ht="16.5" customHeight="1" x14ac:dyDescent="0.2">
      <c r="A23" s="632">
        <v>14</v>
      </c>
      <c r="B23" s="633" t="s">
        <v>42</v>
      </c>
      <c r="C23" s="637" t="s">
        <v>43</v>
      </c>
      <c r="D23" s="830">
        <f t="shared" si="2"/>
        <v>0</v>
      </c>
      <c r="E23" s="834">
        <f>'[11]Пос с др.целями Пр.19-23   '!E23+'[11]Уточнение Пр.1-24'!E23</f>
        <v>0</v>
      </c>
      <c r="F23" s="834">
        <f>'[11]Пос с др.целями Пр.19-23   '!F23+'[11]Уточнение Пр.1-24'!F23</f>
        <v>0</v>
      </c>
      <c r="G23" s="834">
        <f>'[11]Пос с др.целями Пр.19-23   '!G23+'[11]Уточнение Пр.1-24'!G23</f>
        <v>0</v>
      </c>
      <c r="H23" s="834">
        <f>'[11]Пос с др.целями Пр.19-23   '!H23+'[11]Уточнение Пр.1-24'!H23</f>
        <v>0</v>
      </c>
    </row>
    <row r="24" spans="1:8" x14ac:dyDescent="0.2">
      <c r="A24" s="639">
        <v>15</v>
      </c>
      <c r="B24" s="636" t="s">
        <v>44</v>
      </c>
      <c r="C24" s="637" t="s">
        <v>45</v>
      </c>
      <c r="D24" s="830">
        <f t="shared" si="2"/>
        <v>20675</v>
      </c>
      <c r="E24" s="834">
        <f>'[11]Пос с др.целями Пр.19-23   '!E24+'[11]Уточнение Пр.1-24'!E24</f>
        <v>0</v>
      </c>
      <c r="F24" s="834">
        <f>'[11]Пос с др.целями Пр.19-23   '!F24+'[11]Уточнение Пр.1-24'!F24</f>
        <v>2415</v>
      </c>
      <c r="G24" s="834">
        <f>'[11]Пос с др.целями Пр.19-23   '!G24+'[11]Уточнение Пр.1-24'!G24</f>
        <v>18260</v>
      </c>
      <c r="H24" s="834">
        <f>'[11]Пос с др.целями Пр.19-23   '!H24+'[11]Уточнение Пр.1-24'!H24</f>
        <v>0</v>
      </c>
    </row>
    <row r="25" spans="1:8" x14ac:dyDescent="0.2">
      <c r="A25" s="632">
        <v>16</v>
      </c>
      <c r="B25" s="636" t="s">
        <v>46</v>
      </c>
      <c r="C25" s="637" t="s">
        <v>47</v>
      </c>
      <c r="D25" s="830">
        <f t="shared" si="2"/>
        <v>28153</v>
      </c>
      <c r="E25" s="834">
        <f>'[11]Пос с др.целями Пр.19-23   '!E25+'[11]Уточнение Пр.1-24'!E25</f>
        <v>0</v>
      </c>
      <c r="F25" s="834">
        <f>'[11]Пос с др.целями Пр.19-23   '!F25+'[11]Уточнение Пр.1-24'!F25</f>
        <v>11573</v>
      </c>
      <c r="G25" s="834">
        <f>'[11]Пос с др.целями Пр.19-23   '!G25+'[11]Уточнение Пр.1-24'!G25</f>
        <v>16580</v>
      </c>
      <c r="H25" s="834">
        <f>'[11]Пос с др.целями Пр.19-23   '!H25+'[11]Уточнение Пр.1-24'!H25</f>
        <v>0</v>
      </c>
    </row>
    <row r="26" spans="1:8" x14ac:dyDescent="0.2">
      <c r="A26" s="639">
        <v>17</v>
      </c>
      <c r="B26" s="636" t="s">
        <v>48</v>
      </c>
      <c r="C26" s="637" t="s">
        <v>49</v>
      </c>
      <c r="D26" s="830">
        <f t="shared" si="2"/>
        <v>33927</v>
      </c>
      <c r="E26" s="834">
        <f>'[11]Пос с др.целями Пр.19-23   '!E26+'[11]Уточнение Пр.1-24'!E26</f>
        <v>0</v>
      </c>
      <c r="F26" s="834">
        <f>'[11]Пос с др.целями Пр.19-23   '!F26+'[11]Уточнение Пр.1-24'!F26</f>
        <v>11989</v>
      </c>
      <c r="G26" s="834">
        <f>'[11]Пос с др.целями Пр.19-23   '!G26+'[11]Уточнение Пр.1-24'!G26</f>
        <v>21938</v>
      </c>
      <c r="H26" s="834">
        <f>'[11]Пос с др.целями Пр.19-23   '!H26+'[11]Уточнение Пр.1-24'!H26</f>
        <v>0</v>
      </c>
    </row>
    <row r="27" spans="1:8" x14ac:dyDescent="0.2">
      <c r="A27" s="632">
        <v>18</v>
      </c>
      <c r="B27" s="636" t="s">
        <v>50</v>
      </c>
      <c r="C27" s="637" t="s">
        <v>51</v>
      </c>
      <c r="D27" s="830">
        <f t="shared" si="2"/>
        <v>64161</v>
      </c>
      <c r="E27" s="834">
        <f>'[11]Пос с др.целями Пр.19-23   '!E27+'[11]Уточнение Пр.1-24'!E27</f>
        <v>0</v>
      </c>
      <c r="F27" s="834">
        <f>'[11]Пос с др.целями Пр.19-23   '!F27+'[11]Уточнение Пр.1-24'!F27</f>
        <v>12903</v>
      </c>
      <c r="G27" s="834">
        <f>'[11]Пос с др.целями Пр.19-23   '!G27+'[11]Уточнение Пр.1-24'!G27</f>
        <v>37203</v>
      </c>
      <c r="H27" s="834">
        <f>'[11]Пос с др.целями Пр.19-23   '!H27+'[11]Уточнение Пр.1-24'!H27</f>
        <v>14055</v>
      </c>
    </row>
    <row r="28" spans="1:8" x14ac:dyDescent="0.2">
      <c r="A28" s="639">
        <v>19</v>
      </c>
      <c r="B28" s="633" t="s">
        <v>52</v>
      </c>
      <c r="C28" s="634" t="s">
        <v>53</v>
      </c>
      <c r="D28" s="830">
        <f t="shared" si="2"/>
        <v>6590</v>
      </c>
      <c r="E28" s="834">
        <f>'[11]Пос с др.целями Пр.19-23   '!E28+'[11]Уточнение Пр.1-24'!E28</f>
        <v>0</v>
      </c>
      <c r="F28" s="834">
        <f>'[11]Пос с др.целями Пр.19-23   '!F28+'[11]Уточнение Пр.1-24'!F28</f>
        <v>1674</v>
      </c>
      <c r="G28" s="834">
        <f>'[11]Пос с др.целями Пр.19-23   '!G28+'[11]Уточнение Пр.1-24'!G28</f>
        <v>4916</v>
      </c>
      <c r="H28" s="834">
        <f>'[11]Пос с др.целями Пр.19-23   '!H28+'[11]Уточнение Пр.1-24'!H28</f>
        <v>0</v>
      </c>
    </row>
    <row r="29" spans="1:8" x14ac:dyDescent="0.2">
      <c r="A29" s="632">
        <v>20</v>
      </c>
      <c r="B29" s="633" t="s">
        <v>54</v>
      </c>
      <c r="C29" s="634" t="s">
        <v>55</v>
      </c>
      <c r="D29" s="830">
        <f t="shared" si="2"/>
        <v>8805</v>
      </c>
      <c r="E29" s="834">
        <f>'[11]Пос с др.целями Пр.19-23   '!E29+'[11]Уточнение Пр.1-24'!E29</f>
        <v>0</v>
      </c>
      <c r="F29" s="834">
        <f>'[11]Пос с др.целями Пр.19-23   '!F29+'[11]Уточнение Пр.1-24'!F29</f>
        <v>1944</v>
      </c>
      <c r="G29" s="834">
        <f>'[11]Пос с др.целями Пр.19-23   '!G29+'[11]Уточнение Пр.1-24'!G29</f>
        <v>6861</v>
      </c>
      <c r="H29" s="834">
        <f>'[11]Пос с др.целями Пр.19-23   '!H29+'[11]Уточнение Пр.1-24'!H29</f>
        <v>0</v>
      </c>
    </row>
    <row r="30" spans="1:8" x14ac:dyDescent="0.2">
      <c r="A30" s="639">
        <v>21</v>
      </c>
      <c r="B30" s="633" t="s">
        <v>56</v>
      </c>
      <c r="C30" s="634" t="s">
        <v>57</v>
      </c>
      <c r="D30" s="830">
        <f t="shared" si="2"/>
        <v>46025</v>
      </c>
      <c r="E30" s="834">
        <f>'[11]Пос с др.целями Пр.19-23   '!E30+'[11]Уточнение Пр.1-24'!E30</f>
        <v>0</v>
      </c>
      <c r="F30" s="834">
        <f>'[11]Пос с др.целями Пр.19-23   '!F30+'[11]Уточнение Пр.1-24'!F30</f>
        <v>14049</v>
      </c>
      <c r="G30" s="834">
        <f>'[11]Пос с др.целями Пр.19-23   '!G30+'[11]Уточнение Пр.1-24'!G30</f>
        <v>31976</v>
      </c>
      <c r="H30" s="834">
        <f>'[11]Пос с др.целями Пр.19-23   '!H30+'[11]Уточнение Пр.1-24'!H30</f>
        <v>0</v>
      </c>
    </row>
    <row r="31" spans="1:8" x14ac:dyDescent="0.2">
      <c r="A31" s="632">
        <v>22</v>
      </c>
      <c r="B31" s="633" t="s">
        <v>58</v>
      </c>
      <c r="C31" s="634" t="s">
        <v>59</v>
      </c>
      <c r="D31" s="830">
        <f t="shared" si="2"/>
        <v>43198</v>
      </c>
      <c r="E31" s="834">
        <f>'[11]Пос с др.целями Пр.19-23   '!E31+'[11]Уточнение Пр.1-24'!E31</f>
        <v>0</v>
      </c>
      <c r="F31" s="834">
        <f>'[11]Пос с др.целями Пр.19-23   '!F31+'[11]Уточнение Пр.1-24'!F31</f>
        <v>6337</v>
      </c>
      <c r="G31" s="834">
        <f>'[11]Пос с др.целями Пр.19-23   '!G31+'[11]Уточнение Пр.1-24'!G31</f>
        <v>27695</v>
      </c>
      <c r="H31" s="834">
        <f>'[11]Пос с др.целями Пр.19-23   '!H31+'[11]Уточнение Пр.1-24'!H31</f>
        <v>9166</v>
      </c>
    </row>
    <row r="32" spans="1:8" x14ac:dyDescent="0.2">
      <c r="A32" s="639">
        <v>23</v>
      </c>
      <c r="B32" s="636" t="s">
        <v>60</v>
      </c>
      <c r="C32" s="637" t="s">
        <v>61</v>
      </c>
      <c r="D32" s="830">
        <f t="shared" si="2"/>
        <v>6446</v>
      </c>
      <c r="E32" s="834">
        <f>'[11]Пос с др.целями Пр.19-23   '!E32+'[11]Уточнение Пр.1-24'!E32</f>
        <v>0</v>
      </c>
      <c r="F32" s="834">
        <f>'[11]Пос с др.целями Пр.19-23   '!F32+'[11]Уточнение Пр.1-24'!F32</f>
        <v>1397</v>
      </c>
      <c r="G32" s="834">
        <f>'[11]Пос с др.целями Пр.19-23   '!G32+'[11]Уточнение Пр.1-24'!G32</f>
        <v>5049</v>
      </c>
      <c r="H32" s="834">
        <f>'[11]Пос с др.целями Пр.19-23   '!H32+'[11]Уточнение Пр.1-24'!H32</f>
        <v>0</v>
      </c>
    </row>
    <row r="33" spans="1:8" x14ac:dyDescent="0.2">
      <c r="A33" s="632">
        <v>24</v>
      </c>
      <c r="B33" s="636" t="s">
        <v>62</v>
      </c>
      <c r="C33" s="637" t="s">
        <v>63</v>
      </c>
      <c r="D33" s="830">
        <f t="shared" si="2"/>
        <v>0</v>
      </c>
      <c r="E33" s="834">
        <f>'[11]Пос с др.целями Пр.19-23   '!E33+'[11]Уточнение Пр.1-24'!E33</f>
        <v>0</v>
      </c>
      <c r="F33" s="834">
        <f>'[11]Пос с др.целями Пр.19-23   '!F33+'[11]Уточнение Пр.1-24'!F33</f>
        <v>0</v>
      </c>
      <c r="G33" s="834">
        <f>'[11]Пос с др.целями Пр.19-23   '!G33+'[11]Уточнение Пр.1-24'!G33</f>
        <v>0</v>
      </c>
      <c r="H33" s="834">
        <f>'[11]Пос с др.целями Пр.19-23   '!H33+'[11]Уточнение Пр.1-24'!H33</f>
        <v>0</v>
      </c>
    </row>
    <row r="34" spans="1:8" ht="24" x14ac:dyDescent="0.2">
      <c r="A34" s="639">
        <v>25</v>
      </c>
      <c r="B34" s="636" t="s">
        <v>64</v>
      </c>
      <c r="C34" s="637" t="s">
        <v>65</v>
      </c>
      <c r="D34" s="830">
        <f t="shared" si="2"/>
        <v>0</v>
      </c>
      <c r="E34" s="834">
        <f>'[11]Пос с др.целями Пр.19-23   '!E34+'[11]Уточнение Пр.1-24'!E34</f>
        <v>0</v>
      </c>
      <c r="F34" s="834">
        <f>'[11]Пос с др.целями Пр.19-23   '!F34+'[11]Уточнение Пр.1-24'!F34</f>
        <v>0</v>
      </c>
      <c r="G34" s="834">
        <f>'[11]Пос с др.целями Пр.19-23   '!G34+'[11]Уточнение Пр.1-24'!G34</f>
        <v>0</v>
      </c>
      <c r="H34" s="834">
        <f>'[11]Пос с др.целями Пр.19-23   '!H34+'[11]Уточнение Пр.1-24'!H34</f>
        <v>0</v>
      </c>
    </row>
    <row r="35" spans="1:8" x14ac:dyDescent="0.2">
      <c r="A35" s="632">
        <v>26</v>
      </c>
      <c r="B35" s="633" t="s">
        <v>66</v>
      </c>
      <c r="C35" s="32" t="s">
        <v>67</v>
      </c>
      <c r="D35" s="830">
        <f t="shared" si="2"/>
        <v>62938</v>
      </c>
      <c r="E35" s="834">
        <f>'[11]Пос с др.целями Пр.19-23   '!E35+'[11]Уточнение Пр.1-24'!E35</f>
        <v>0</v>
      </c>
      <c r="F35" s="834">
        <f>'[11]Пос с др.целями Пр.19-23   '!F35+'[11]Уточнение Пр.1-24'!F35</f>
        <v>18410</v>
      </c>
      <c r="G35" s="834">
        <f>'[11]Пос с др.целями Пр.19-23   '!G35+'[11]Уточнение Пр.1-24'!G35</f>
        <v>23886</v>
      </c>
      <c r="H35" s="834">
        <f>'[11]Пос с др.целями Пр.19-23   '!H35+'[11]Уточнение Пр.1-24'!H35</f>
        <v>20642</v>
      </c>
    </row>
    <row r="36" spans="1:8" x14ac:dyDescent="0.2">
      <c r="A36" s="639">
        <v>27</v>
      </c>
      <c r="B36" s="636" t="s">
        <v>68</v>
      </c>
      <c r="C36" s="637" t="s">
        <v>69</v>
      </c>
      <c r="D36" s="830">
        <f t="shared" si="2"/>
        <v>29480</v>
      </c>
      <c r="E36" s="834">
        <f>'[11]Пос с др.целями Пр.19-23   '!E36+'[11]Уточнение Пр.1-24'!E36</f>
        <v>0</v>
      </c>
      <c r="F36" s="834">
        <f>'[11]Пос с др.целями Пр.19-23   '!F36+'[11]Уточнение Пр.1-24'!F36</f>
        <v>6317</v>
      </c>
      <c r="G36" s="834">
        <f>'[11]Пос с др.целями Пр.19-23   '!G36+'[11]Уточнение Пр.1-24'!G36</f>
        <v>23163</v>
      </c>
      <c r="H36" s="834">
        <f>'[11]Пос с др.целями Пр.19-23   '!H36+'[11]Уточнение Пр.1-24'!H36</f>
        <v>0</v>
      </c>
    </row>
    <row r="37" spans="1:8" x14ac:dyDescent="0.2">
      <c r="A37" s="632">
        <v>28</v>
      </c>
      <c r="B37" s="636" t="s">
        <v>70</v>
      </c>
      <c r="C37" s="637" t="s">
        <v>71</v>
      </c>
      <c r="D37" s="830">
        <f t="shared" si="2"/>
        <v>68211</v>
      </c>
      <c r="E37" s="834">
        <f>'[11]Пос с др.целями Пр.19-23   '!E37+'[11]Уточнение Пр.1-24'!E37</f>
        <v>0</v>
      </c>
      <c r="F37" s="834">
        <f>'[11]Пос с др.целями Пр.19-23   '!F37+'[11]Уточнение Пр.1-24'!F37</f>
        <v>2273</v>
      </c>
      <c r="G37" s="834">
        <f>'[11]Пос с др.целями Пр.19-23   '!G37+'[11]Уточнение Пр.1-24'!G37</f>
        <v>59878</v>
      </c>
      <c r="H37" s="834">
        <f>'[11]Пос с др.целями Пр.19-23   '!H37+'[11]Уточнение Пр.1-24'!H37</f>
        <v>6060</v>
      </c>
    </row>
    <row r="38" spans="1:8" x14ac:dyDescent="0.2">
      <c r="A38" s="639">
        <v>29</v>
      </c>
      <c r="B38" s="635" t="s">
        <v>72</v>
      </c>
      <c r="C38" s="32" t="s">
        <v>73</v>
      </c>
      <c r="D38" s="830">
        <f t="shared" si="2"/>
        <v>0</v>
      </c>
      <c r="E38" s="834">
        <f>'[11]Пос с др.целями Пр.19-23   '!E38+'[11]Уточнение Пр.1-24'!E38</f>
        <v>0</v>
      </c>
      <c r="F38" s="834">
        <f>'[11]Пос с др.целями Пр.19-23   '!F38+'[11]Уточнение Пр.1-24'!F38</f>
        <v>0</v>
      </c>
      <c r="G38" s="834">
        <f>'[11]Пос с др.целями Пр.19-23   '!G38+'[11]Уточнение Пр.1-24'!G38</f>
        <v>0</v>
      </c>
      <c r="H38" s="834">
        <f>'[11]Пос с др.целями Пр.19-23   '!H38+'[11]Уточнение Пр.1-24'!H38</f>
        <v>0</v>
      </c>
    </row>
    <row r="39" spans="1:8" x14ac:dyDescent="0.2">
      <c r="A39" s="632">
        <v>30</v>
      </c>
      <c r="B39" s="633" t="s">
        <v>74</v>
      </c>
      <c r="C39" s="634" t="s">
        <v>357</v>
      </c>
      <c r="D39" s="830">
        <f t="shared" si="2"/>
        <v>0</v>
      </c>
      <c r="E39" s="834">
        <f>'[11]Пос с др.целями Пр.19-23   '!E39+'[11]Уточнение Пр.1-24'!E39</f>
        <v>0</v>
      </c>
      <c r="F39" s="834">
        <f>'[11]Пос с др.целями Пр.19-23   '!F39+'[11]Уточнение Пр.1-24'!F39</f>
        <v>0</v>
      </c>
      <c r="G39" s="834">
        <f>'[11]Пос с др.целями Пр.19-23   '!G39+'[11]Уточнение Пр.1-24'!G39</f>
        <v>0</v>
      </c>
      <c r="H39" s="834">
        <f>'[11]Пос с др.целями Пр.19-23   '!H39+'[11]Уточнение Пр.1-24'!H39</f>
        <v>0</v>
      </c>
    </row>
    <row r="40" spans="1:8" ht="24" x14ac:dyDescent="0.2">
      <c r="A40" s="639">
        <v>31</v>
      </c>
      <c r="B40" s="636" t="s">
        <v>75</v>
      </c>
      <c r="C40" s="637" t="s">
        <v>76</v>
      </c>
      <c r="D40" s="830">
        <f t="shared" si="2"/>
        <v>1019</v>
      </c>
      <c r="E40" s="834">
        <f>'[11]Пос с др.целями Пр.19-23   '!E40+'[11]Уточнение Пр.1-24'!E40</f>
        <v>0</v>
      </c>
      <c r="F40" s="834">
        <f>'[11]Пос с др.целями Пр.19-23   '!F40+'[11]Уточнение Пр.1-24'!F40</f>
        <v>111</v>
      </c>
      <c r="G40" s="834">
        <f>'[11]Пос с др.целями Пр.19-23   '!G40+'[11]Уточнение Пр.1-24'!G40</f>
        <v>908</v>
      </c>
      <c r="H40" s="834">
        <f>'[11]Пос с др.целями Пр.19-23   '!H40+'[11]Уточнение Пр.1-24'!H40</f>
        <v>0</v>
      </c>
    </row>
    <row r="41" spans="1:8" x14ac:dyDescent="0.2">
      <c r="A41" s="632">
        <v>32</v>
      </c>
      <c r="B41" s="635" t="s">
        <v>77</v>
      </c>
      <c r="C41" s="634" t="s">
        <v>78</v>
      </c>
      <c r="D41" s="830">
        <f t="shared" si="2"/>
        <v>59214</v>
      </c>
      <c r="E41" s="834">
        <f>'[11]Пос с др.целями Пр.19-23   '!E41+'[11]Уточнение Пр.1-24'!E41</f>
        <v>0</v>
      </c>
      <c r="F41" s="834">
        <f>'[11]Пос с др.целями Пр.19-23   '!F41+'[11]Уточнение Пр.1-24'!F41</f>
        <v>7685</v>
      </c>
      <c r="G41" s="834">
        <f>'[11]Пос с др.целями Пр.19-23   '!G41+'[11]Уточнение Пр.1-24'!G41</f>
        <v>42695</v>
      </c>
      <c r="H41" s="834">
        <f>'[11]Пос с др.целями Пр.19-23   '!H41+'[11]Уточнение Пр.1-24'!H41</f>
        <v>8834</v>
      </c>
    </row>
    <row r="42" spans="1:8" x14ac:dyDescent="0.2">
      <c r="A42" s="639">
        <v>33</v>
      </c>
      <c r="B42" s="638" t="s">
        <v>79</v>
      </c>
      <c r="C42" s="32" t="s">
        <v>80</v>
      </c>
      <c r="D42" s="830">
        <f t="shared" si="2"/>
        <v>70094</v>
      </c>
      <c r="E42" s="834">
        <f>'[11]Пос с др.целями Пр.19-23   '!E42+'[11]Уточнение Пр.1-24'!E42</f>
        <v>0</v>
      </c>
      <c r="F42" s="834">
        <f>'[11]Пос с др.целями Пр.19-23   '!F42+'[11]Уточнение Пр.1-24'!F42</f>
        <v>13662</v>
      </c>
      <c r="G42" s="834">
        <f>'[11]Пос с др.целями Пр.19-23   '!G42+'[11]Уточнение Пр.1-24'!G42</f>
        <v>42609</v>
      </c>
      <c r="H42" s="834">
        <f>'[11]Пос с др.целями Пр.19-23   '!H42+'[11]Уточнение Пр.1-24'!H42</f>
        <v>13823</v>
      </c>
    </row>
    <row r="43" spans="1:8" x14ac:dyDescent="0.2">
      <c r="A43" s="632">
        <v>34</v>
      </c>
      <c r="B43" s="635" t="s">
        <v>81</v>
      </c>
      <c r="C43" s="634" t="s">
        <v>82</v>
      </c>
      <c r="D43" s="830">
        <f t="shared" si="2"/>
        <v>15388</v>
      </c>
      <c r="E43" s="834">
        <f>'[11]Пос с др.целями Пр.19-23   '!E43+'[11]Уточнение Пр.1-24'!E43</f>
        <v>0</v>
      </c>
      <c r="F43" s="834">
        <f>'[11]Пос с др.целями Пр.19-23   '!F43+'[11]Уточнение Пр.1-24'!F43</f>
        <v>5754</v>
      </c>
      <c r="G43" s="834">
        <f>'[11]Пос с др.целями Пр.19-23   '!G43+'[11]Уточнение Пр.1-24'!G43</f>
        <v>9634</v>
      </c>
      <c r="H43" s="834">
        <f>'[11]Пос с др.целями Пр.19-23   '!H43+'[11]Уточнение Пр.1-24'!H43</f>
        <v>0</v>
      </c>
    </row>
    <row r="44" spans="1:8" x14ac:dyDescent="0.2">
      <c r="A44" s="639">
        <v>35</v>
      </c>
      <c r="B44" s="636" t="s">
        <v>83</v>
      </c>
      <c r="C44" s="637" t="s">
        <v>84</v>
      </c>
      <c r="D44" s="830">
        <f t="shared" si="2"/>
        <v>43085</v>
      </c>
      <c r="E44" s="834">
        <f>'[11]Пос с др.целями Пр.19-23   '!E44+'[11]Уточнение Пр.1-24'!E44</f>
        <v>0</v>
      </c>
      <c r="F44" s="834">
        <f>'[11]Пос с др.целями Пр.19-23   '!F44+'[11]Уточнение Пр.1-24'!F44</f>
        <v>10271</v>
      </c>
      <c r="G44" s="834">
        <f>'[11]Пос с др.целями Пр.19-23   '!G44+'[11]Уточнение Пр.1-24'!G44</f>
        <v>28749</v>
      </c>
      <c r="H44" s="834">
        <f>'[11]Пос с др.целями Пр.19-23   '!H44+'[11]Уточнение Пр.1-24'!H44</f>
        <v>4065</v>
      </c>
    </row>
    <row r="45" spans="1:8" x14ac:dyDescent="0.2">
      <c r="A45" s="632">
        <v>36</v>
      </c>
      <c r="B45" s="635" t="s">
        <v>85</v>
      </c>
      <c r="C45" s="634" t="s">
        <v>86</v>
      </c>
      <c r="D45" s="830">
        <f t="shared" si="2"/>
        <v>12098</v>
      </c>
      <c r="E45" s="834">
        <f>'[11]Пос с др.целями Пр.19-23   '!E45+'[11]Уточнение Пр.1-24'!E45</f>
        <v>0</v>
      </c>
      <c r="F45" s="834">
        <f>'[11]Пос с др.целями Пр.19-23   '!F45+'[11]Уточнение Пр.1-24'!F45</f>
        <v>2832</v>
      </c>
      <c r="G45" s="834">
        <f>'[11]Пос с др.целями Пр.19-23   '!G45+'[11]Уточнение Пр.1-24'!G45</f>
        <v>9266</v>
      </c>
      <c r="H45" s="834">
        <f>'[11]Пос с др.целями Пр.19-23   '!H45+'[11]Уточнение Пр.1-24'!H45</f>
        <v>0</v>
      </c>
    </row>
    <row r="46" spans="1:8" x14ac:dyDescent="0.2">
      <c r="A46" s="639">
        <v>37</v>
      </c>
      <c r="B46" s="633" t="s">
        <v>87</v>
      </c>
      <c r="C46" s="634" t="s">
        <v>88</v>
      </c>
      <c r="D46" s="830">
        <f t="shared" si="2"/>
        <v>42021</v>
      </c>
      <c r="E46" s="834">
        <f>'[11]Пос с др.целями Пр.19-23   '!E46+'[11]Уточнение Пр.1-24'!E46</f>
        <v>0</v>
      </c>
      <c r="F46" s="834">
        <f>'[11]Пос с др.целями Пр.19-23   '!F46+'[11]Уточнение Пр.1-24'!F46</f>
        <v>2285</v>
      </c>
      <c r="G46" s="834">
        <f>'[11]Пос с др.целями Пр.19-23   '!G46+'[11]Уточнение Пр.1-24'!G46</f>
        <v>39736</v>
      </c>
      <c r="H46" s="834">
        <f>'[11]Пос с др.целями Пр.19-23   '!H46+'[11]Уточнение Пр.1-24'!H46</f>
        <v>0</v>
      </c>
    </row>
    <row r="47" spans="1:8" x14ac:dyDescent="0.2">
      <c r="A47" s="632">
        <v>38</v>
      </c>
      <c r="B47" s="640" t="s">
        <v>89</v>
      </c>
      <c r="C47" s="641" t="s">
        <v>90</v>
      </c>
      <c r="D47" s="830">
        <f t="shared" si="2"/>
        <v>16528</v>
      </c>
      <c r="E47" s="834">
        <f>'[11]Пос с др.целями Пр.19-23   '!E47+'[11]Уточнение Пр.1-24'!E47</f>
        <v>0</v>
      </c>
      <c r="F47" s="834">
        <f>'[11]Пос с др.целями Пр.19-23   '!F47+'[11]Уточнение Пр.1-24'!F47</f>
        <v>2946</v>
      </c>
      <c r="G47" s="834">
        <f>'[11]Пос с др.целями Пр.19-23   '!G47+'[11]Уточнение Пр.1-24'!G47</f>
        <v>13582</v>
      </c>
      <c r="H47" s="834">
        <f>'[11]Пос с др.целями Пр.19-23   '!H47+'[11]Уточнение Пр.1-24'!H47</f>
        <v>0</v>
      </c>
    </row>
    <row r="48" spans="1:8" x14ac:dyDescent="0.2">
      <c r="A48" s="639">
        <v>39</v>
      </c>
      <c r="B48" s="633" t="s">
        <v>91</v>
      </c>
      <c r="C48" s="634" t="s">
        <v>92</v>
      </c>
      <c r="D48" s="830">
        <f t="shared" si="2"/>
        <v>8161</v>
      </c>
      <c r="E48" s="834">
        <f>'[11]Пос с др.целями Пр.19-23   '!E48+'[11]Уточнение Пр.1-24'!E48</f>
        <v>0</v>
      </c>
      <c r="F48" s="834">
        <f>'[11]Пос с др.целями Пр.19-23   '!F48+'[11]Уточнение Пр.1-24'!F48</f>
        <v>24</v>
      </c>
      <c r="G48" s="834">
        <f>'[11]Пос с др.целями Пр.19-23   '!G48+'[11]Уточнение Пр.1-24'!G48</f>
        <v>8137</v>
      </c>
      <c r="H48" s="834">
        <f>'[11]Пос с др.целями Пр.19-23   '!H48+'[11]Уточнение Пр.1-24'!H48</f>
        <v>0</v>
      </c>
    </row>
    <row r="49" spans="1:8" x14ac:dyDescent="0.2">
      <c r="A49" s="632">
        <v>40</v>
      </c>
      <c r="B49" s="638" t="s">
        <v>93</v>
      </c>
      <c r="C49" s="32" t="s">
        <v>94</v>
      </c>
      <c r="D49" s="830">
        <f t="shared" si="2"/>
        <v>16401</v>
      </c>
      <c r="E49" s="834">
        <f>'[11]Пос с др.целями Пр.19-23   '!E49+'[11]Уточнение Пр.1-24'!E49</f>
        <v>0</v>
      </c>
      <c r="F49" s="834">
        <f>'[11]Пос с др.целями Пр.19-23   '!F49+'[11]Уточнение Пр.1-24'!F49</f>
        <v>1627</v>
      </c>
      <c r="G49" s="834">
        <f>'[11]Пос с др.целями Пр.19-23   '!G49+'[11]Уточнение Пр.1-24'!G49</f>
        <v>14774</v>
      </c>
      <c r="H49" s="834">
        <f>'[11]Пос с др.целями Пр.19-23   '!H49+'[11]Уточнение Пр.1-24'!H49</f>
        <v>0</v>
      </c>
    </row>
    <row r="50" spans="1:8" x14ac:dyDescent="0.2">
      <c r="A50" s="639">
        <v>41</v>
      </c>
      <c r="B50" s="636" t="s">
        <v>95</v>
      </c>
      <c r="C50" s="637" t="s">
        <v>96</v>
      </c>
      <c r="D50" s="830">
        <f t="shared" si="2"/>
        <v>7094</v>
      </c>
      <c r="E50" s="834">
        <f>'[11]Пос с др.целями Пр.19-23   '!E50+'[11]Уточнение Пр.1-24'!E50</f>
        <v>0</v>
      </c>
      <c r="F50" s="834">
        <f>'[11]Пос с др.целями Пр.19-23   '!F50+'[11]Уточнение Пр.1-24'!F50</f>
        <v>1759</v>
      </c>
      <c r="G50" s="834">
        <f>'[11]Пос с др.целями Пр.19-23   '!G50+'[11]Уточнение Пр.1-24'!G50</f>
        <v>5335</v>
      </c>
      <c r="H50" s="834">
        <f>'[11]Пос с др.целями Пр.19-23   '!H50+'[11]Уточнение Пр.1-24'!H50</f>
        <v>0</v>
      </c>
    </row>
    <row r="51" spans="1:8" x14ac:dyDescent="0.2">
      <c r="A51" s="632">
        <v>42</v>
      </c>
      <c r="B51" s="635" t="s">
        <v>97</v>
      </c>
      <c r="C51" s="634" t="s">
        <v>98</v>
      </c>
      <c r="D51" s="830">
        <f t="shared" si="2"/>
        <v>600</v>
      </c>
      <c r="E51" s="834">
        <f>'[11]Пос с др.целями Пр.19-23   '!E51+'[11]Уточнение Пр.1-24'!E51</f>
        <v>0</v>
      </c>
      <c r="F51" s="834">
        <f>'[11]Пос с др.целями Пр.19-23   '!F51+'[11]Уточнение Пр.1-24'!F51</f>
        <v>20</v>
      </c>
      <c r="G51" s="834">
        <f>'[11]Пос с др.целями Пр.19-23   '!G51+'[11]Уточнение Пр.1-24'!G51</f>
        <v>580</v>
      </c>
      <c r="H51" s="834">
        <f>'[11]Пос с др.целями Пр.19-23   '!H51+'[11]Уточнение Пр.1-24'!H51</f>
        <v>0</v>
      </c>
    </row>
    <row r="52" spans="1:8" x14ac:dyDescent="0.2">
      <c r="A52" s="639">
        <v>43</v>
      </c>
      <c r="B52" s="636" t="s">
        <v>99</v>
      </c>
      <c r="C52" s="637" t="s">
        <v>100</v>
      </c>
      <c r="D52" s="830">
        <f t="shared" si="2"/>
        <v>80466</v>
      </c>
      <c r="E52" s="834">
        <f>'[11]Пос с др.целями Пр.19-23   '!E52+'[11]Уточнение Пр.1-24'!E52</f>
        <v>0</v>
      </c>
      <c r="F52" s="834">
        <f>'[11]Пос с др.целями Пр.19-23   '!F52+'[11]Уточнение Пр.1-24'!F52</f>
        <v>12927</v>
      </c>
      <c r="G52" s="834">
        <f>'[11]Пос с др.целями Пр.19-23   '!G52+'[11]Уточнение Пр.1-24'!G52</f>
        <v>47120</v>
      </c>
      <c r="H52" s="834">
        <f>'[11]Пос с др.целями Пр.19-23   '!H52+'[11]Уточнение Пр.1-24'!H52</f>
        <v>20419</v>
      </c>
    </row>
    <row r="53" spans="1:8" x14ac:dyDescent="0.2">
      <c r="A53" s="632">
        <v>44</v>
      </c>
      <c r="B53" s="633" t="s">
        <v>101</v>
      </c>
      <c r="C53" s="634" t="s">
        <v>102</v>
      </c>
      <c r="D53" s="830">
        <f t="shared" si="2"/>
        <v>9443</v>
      </c>
      <c r="E53" s="834">
        <f>'[11]Пос с др.целями Пр.19-23   '!E53+'[11]Уточнение Пр.1-24'!E53</f>
        <v>0</v>
      </c>
      <c r="F53" s="834">
        <f>'[11]Пос с др.целями Пр.19-23   '!F53+'[11]Уточнение Пр.1-24'!F53</f>
        <v>1826</v>
      </c>
      <c r="G53" s="834">
        <f>'[11]Пос с др.целями Пр.19-23   '!G53+'[11]Уточнение Пр.1-24'!G53</f>
        <v>7617</v>
      </c>
      <c r="H53" s="834">
        <f>'[11]Пос с др.целями Пр.19-23   '!H53+'[11]Уточнение Пр.1-24'!H53</f>
        <v>0</v>
      </c>
    </row>
    <row r="54" spans="1:8" x14ac:dyDescent="0.2">
      <c r="A54" s="639">
        <v>45</v>
      </c>
      <c r="B54" s="633" t="s">
        <v>103</v>
      </c>
      <c r="C54" s="634" t="s">
        <v>104</v>
      </c>
      <c r="D54" s="830">
        <f t="shared" si="2"/>
        <v>54616</v>
      </c>
      <c r="E54" s="834">
        <f>'[11]Пос с др.целями Пр.19-23   '!E54+'[11]Уточнение Пр.1-24'!E54</f>
        <v>0</v>
      </c>
      <c r="F54" s="834">
        <f>'[11]Пос с др.целями Пр.19-23   '!F54+'[11]Уточнение Пр.1-24'!F54</f>
        <v>11944</v>
      </c>
      <c r="G54" s="834">
        <f>'[11]Пос с др.целями Пр.19-23   '!G54+'[11]Уточнение Пр.1-24'!G54</f>
        <v>42672</v>
      </c>
      <c r="H54" s="834">
        <f>'[11]Пос с др.целями Пр.19-23   '!H54+'[11]Уточнение Пр.1-24'!H54</f>
        <v>0</v>
      </c>
    </row>
    <row r="55" spans="1:8" x14ac:dyDescent="0.2">
      <c r="A55" s="632">
        <v>46</v>
      </c>
      <c r="B55" s="636" t="s">
        <v>105</v>
      </c>
      <c r="C55" s="637" t="s">
        <v>106</v>
      </c>
      <c r="D55" s="830">
        <f t="shared" si="2"/>
        <v>12166</v>
      </c>
      <c r="E55" s="834">
        <f>'[11]Пос с др.целями Пр.19-23   '!E55+'[11]Уточнение Пр.1-24'!E55</f>
        <v>0</v>
      </c>
      <c r="F55" s="834">
        <f>'[11]Пос с др.целями Пр.19-23   '!F55+'[11]Уточнение Пр.1-24'!F55</f>
        <v>3754</v>
      </c>
      <c r="G55" s="834">
        <f>'[11]Пос с др.целями Пр.19-23   '!G55+'[11]Уточнение Пр.1-24'!G55</f>
        <v>8412</v>
      </c>
      <c r="H55" s="834">
        <f>'[11]Пос с др.целями Пр.19-23   '!H55+'[11]Уточнение Пр.1-24'!H55</f>
        <v>0</v>
      </c>
    </row>
    <row r="56" spans="1:8" x14ac:dyDescent="0.2">
      <c r="A56" s="639">
        <v>47</v>
      </c>
      <c r="B56" s="636" t="s">
        <v>107</v>
      </c>
      <c r="C56" s="637" t="s">
        <v>108</v>
      </c>
      <c r="D56" s="830">
        <f t="shared" si="2"/>
        <v>19439</v>
      </c>
      <c r="E56" s="834">
        <f>'[11]Пос с др.целями Пр.19-23   '!E56+'[11]Уточнение Пр.1-24'!E56</f>
        <v>0</v>
      </c>
      <c r="F56" s="834">
        <f>'[11]Пос с др.целями Пр.19-23   '!F56+'[11]Уточнение Пр.1-24'!F56</f>
        <v>6258</v>
      </c>
      <c r="G56" s="834">
        <f>'[11]Пос с др.целями Пр.19-23   '!G56+'[11]Уточнение Пр.1-24'!G56</f>
        <v>13181</v>
      </c>
      <c r="H56" s="834">
        <f>'[11]Пос с др.целями Пр.19-23   '!H56+'[11]Уточнение Пр.1-24'!H56</f>
        <v>0</v>
      </c>
    </row>
    <row r="57" spans="1:8" x14ac:dyDescent="0.2">
      <c r="A57" s="632">
        <v>48</v>
      </c>
      <c r="B57" s="635" t="s">
        <v>109</v>
      </c>
      <c r="C57" s="634" t="s">
        <v>110</v>
      </c>
      <c r="D57" s="830">
        <f t="shared" si="2"/>
        <v>13319</v>
      </c>
      <c r="E57" s="834">
        <f>'[11]Пос с др.целями Пр.19-23   '!E57+'[11]Уточнение Пр.1-24'!E57</f>
        <v>0</v>
      </c>
      <c r="F57" s="834">
        <f>'[11]Пос с др.целями Пр.19-23   '!F57+'[11]Уточнение Пр.1-24'!F57</f>
        <v>1989</v>
      </c>
      <c r="G57" s="834">
        <f>'[11]Пос с др.целями Пр.19-23   '!G57+'[11]Уточнение Пр.1-24'!G57</f>
        <v>11330</v>
      </c>
      <c r="H57" s="834">
        <f>'[11]Пос с др.целями Пр.19-23   '!H57+'[11]Уточнение Пр.1-24'!H57</f>
        <v>0</v>
      </c>
    </row>
    <row r="58" spans="1:8" x14ac:dyDescent="0.2">
      <c r="A58" s="639">
        <v>49</v>
      </c>
      <c r="B58" s="636" t="s">
        <v>111</v>
      </c>
      <c r="C58" s="637" t="s">
        <v>112</v>
      </c>
      <c r="D58" s="830">
        <f t="shared" si="2"/>
        <v>9496</v>
      </c>
      <c r="E58" s="834">
        <f>'[11]Пос с др.целями Пр.19-23   '!E58+'[11]Уточнение Пр.1-24'!E58</f>
        <v>0</v>
      </c>
      <c r="F58" s="834">
        <f>'[11]Пос с др.целями Пр.19-23   '!F58+'[11]Уточнение Пр.1-24'!F58</f>
        <v>2207</v>
      </c>
      <c r="G58" s="834">
        <f>'[11]Пос с др.целями Пр.19-23   '!G58+'[11]Уточнение Пр.1-24'!G58</f>
        <v>7289</v>
      </c>
      <c r="H58" s="834">
        <f>'[11]Пос с др.целями Пр.19-23   '!H58+'[11]Уточнение Пр.1-24'!H58</f>
        <v>0</v>
      </c>
    </row>
    <row r="59" spans="1:8" x14ac:dyDescent="0.2">
      <c r="A59" s="632">
        <v>50</v>
      </c>
      <c r="B59" s="635" t="s">
        <v>113</v>
      </c>
      <c r="C59" s="634" t="s">
        <v>114</v>
      </c>
      <c r="D59" s="830">
        <f t="shared" si="2"/>
        <v>12202</v>
      </c>
      <c r="E59" s="834">
        <f>'[11]Пос с др.целями Пр.19-23   '!E59+'[11]Уточнение Пр.1-24'!E59</f>
        <v>0</v>
      </c>
      <c r="F59" s="834">
        <f>'[11]Пос с др.целями Пр.19-23   '!F59+'[11]Уточнение Пр.1-24'!F59</f>
        <v>4175</v>
      </c>
      <c r="G59" s="834">
        <f>'[11]Пос с др.целями Пр.19-23   '!G59+'[11]Уточнение Пр.1-24'!G59</f>
        <v>8027</v>
      </c>
      <c r="H59" s="834">
        <f>'[11]Пос с др.целями Пр.19-23   '!H59+'[11]Уточнение Пр.1-24'!H59</f>
        <v>0</v>
      </c>
    </row>
    <row r="60" spans="1:8" x14ac:dyDescent="0.2">
      <c r="A60" s="639">
        <v>51</v>
      </c>
      <c r="B60" s="636" t="s">
        <v>115</v>
      </c>
      <c r="C60" s="637" t="s">
        <v>116</v>
      </c>
      <c r="D60" s="830">
        <f t="shared" si="2"/>
        <v>24272</v>
      </c>
      <c r="E60" s="834">
        <f>'[11]Пос с др.целями Пр.19-23   '!E60+'[11]Уточнение Пр.1-24'!E60</f>
        <v>0</v>
      </c>
      <c r="F60" s="834">
        <f>'[11]Пос с др.целями Пр.19-23   '!F60+'[11]Уточнение Пр.1-24'!F60</f>
        <v>7153</v>
      </c>
      <c r="G60" s="834">
        <f>'[11]Пос с др.целями Пр.19-23   '!G60+'[11]Уточнение Пр.1-24'!G60</f>
        <v>17119</v>
      </c>
      <c r="H60" s="834">
        <f>'[11]Пос с др.целями Пр.19-23   '!H60+'[11]Уточнение Пр.1-24'!H60</f>
        <v>0</v>
      </c>
    </row>
    <row r="61" spans="1:8" x14ac:dyDescent="0.2">
      <c r="A61" s="632">
        <v>52</v>
      </c>
      <c r="B61" s="636" t="s">
        <v>117</v>
      </c>
      <c r="C61" s="637" t="s">
        <v>118</v>
      </c>
      <c r="D61" s="830">
        <f t="shared" si="2"/>
        <v>68190</v>
      </c>
      <c r="E61" s="834">
        <f>'[11]Пос с др.целями Пр.19-23   '!E61+'[11]Уточнение Пр.1-24'!E61</f>
        <v>0</v>
      </c>
      <c r="F61" s="834">
        <f>'[11]Пос с др.целями Пр.19-23   '!F61+'[11]Уточнение Пр.1-24'!F61</f>
        <v>17368</v>
      </c>
      <c r="G61" s="834">
        <f>'[11]Пос с др.целями Пр.19-23   '!G61+'[11]Уточнение Пр.1-24'!G61</f>
        <v>47755</v>
      </c>
      <c r="H61" s="834">
        <f>'[11]Пос с др.целями Пр.19-23   '!H61+'[11]Уточнение Пр.1-24'!H61</f>
        <v>3067</v>
      </c>
    </row>
    <row r="62" spans="1:8" x14ac:dyDescent="0.2">
      <c r="A62" s="639">
        <v>53</v>
      </c>
      <c r="B62" s="636" t="s">
        <v>119</v>
      </c>
      <c r="C62" s="637" t="s">
        <v>120</v>
      </c>
      <c r="D62" s="830">
        <f t="shared" si="2"/>
        <v>15885</v>
      </c>
      <c r="E62" s="834">
        <f>'[11]Пос с др.целями Пр.19-23   '!E62+'[11]Уточнение Пр.1-24'!E62</f>
        <v>0</v>
      </c>
      <c r="F62" s="834">
        <f>'[11]Пос с др.целями Пр.19-23   '!F62+'[11]Уточнение Пр.1-24'!F62</f>
        <v>5526</v>
      </c>
      <c r="G62" s="834">
        <f>'[11]Пос с др.целями Пр.19-23   '!G62+'[11]Уточнение Пр.1-24'!G62</f>
        <v>10359</v>
      </c>
      <c r="H62" s="834">
        <f>'[11]Пос с др.целями Пр.19-23   '!H62+'[11]Уточнение Пр.1-24'!H62</f>
        <v>0</v>
      </c>
    </row>
    <row r="63" spans="1:8" x14ac:dyDescent="0.2">
      <c r="A63" s="632">
        <v>54</v>
      </c>
      <c r="B63" s="636" t="s">
        <v>121</v>
      </c>
      <c r="C63" s="637" t="s">
        <v>122</v>
      </c>
      <c r="D63" s="830">
        <f t="shared" si="2"/>
        <v>0</v>
      </c>
      <c r="E63" s="834">
        <f>'[11]Пос с др.целями Пр.19-23   '!E63+'[11]Уточнение Пр.1-24'!E63</f>
        <v>0</v>
      </c>
      <c r="F63" s="834">
        <f>'[11]Пос с др.целями Пр.19-23   '!F63+'[11]Уточнение Пр.1-24'!F63</f>
        <v>0</v>
      </c>
      <c r="G63" s="834">
        <f>'[11]Пос с др.целями Пр.19-23   '!G63+'[11]Уточнение Пр.1-24'!G63</f>
        <v>0</v>
      </c>
      <c r="H63" s="834">
        <f>'[11]Пос с др.целями Пр.19-23   '!H63+'[11]Уточнение Пр.1-24'!H63</f>
        <v>0</v>
      </c>
    </row>
    <row r="64" spans="1:8" x14ac:dyDescent="0.2">
      <c r="A64" s="639">
        <v>55</v>
      </c>
      <c r="B64" s="636" t="s">
        <v>123</v>
      </c>
      <c r="C64" s="637" t="s">
        <v>124</v>
      </c>
      <c r="D64" s="830">
        <f t="shared" si="2"/>
        <v>0</v>
      </c>
      <c r="E64" s="834">
        <f>'[11]Пос с др.целями Пр.19-23   '!E64+'[11]Уточнение Пр.1-24'!E64</f>
        <v>0</v>
      </c>
      <c r="F64" s="834">
        <f>'[11]Пос с др.целями Пр.19-23   '!F64+'[11]Уточнение Пр.1-24'!F64</f>
        <v>0</v>
      </c>
      <c r="G64" s="834">
        <f>'[11]Пос с др.целями Пр.19-23   '!G64+'[11]Уточнение Пр.1-24'!G64</f>
        <v>0</v>
      </c>
      <c r="H64" s="834">
        <f>'[11]Пос с др.целями Пр.19-23   '!H64+'[11]Уточнение Пр.1-24'!H64</f>
        <v>0</v>
      </c>
    </row>
    <row r="65" spans="1:8" ht="24" x14ac:dyDescent="0.2">
      <c r="A65" s="632">
        <v>56</v>
      </c>
      <c r="B65" s="642" t="s">
        <v>125</v>
      </c>
      <c r="C65" s="32" t="s">
        <v>126</v>
      </c>
      <c r="D65" s="830">
        <f t="shared" si="2"/>
        <v>0</v>
      </c>
      <c r="E65" s="834">
        <f>'[11]Пос с др.целями Пр.19-23   '!E65+'[11]Уточнение Пр.1-24'!E65</f>
        <v>0</v>
      </c>
      <c r="F65" s="834">
        <f>'[11]Пос с др.целями Пр.19-23   '!F65+'[11]Уточнение Пр.1-24'!F65</f>
        <v>0</v>
      </c>
      <c r="G65" s="834">
        <f>'[11]Пос с др.целями Пр.19-23   '!G65+'[11]Уточнение Пр.1-24'!G65</f>
        <v>0</v>
      </c>
      <c r="H65" s="834">
        <f>'[11]Пос с др.целями Пр.19-23   '!H65+'[11]Уточнение Пр.1-24'!H65</f>
        <v>0</v>
      </c>
    </row>
    <row r="66" spans="1:8" ht="24" x14ac:dyDescent="0.2">
      <c r="A66" s="639">
        <v>57</v>
      </c>
      <c r="B66" s="636" t="s">
        <v>127</v>
      </c>
      <c r="C66" s="637" t="s">
        <v>128</v>
      </c>
      <c r="D66" s="830">
        <f t="shared" si="2"/>
        <v>73813</v>
      </c>
      <c r="E66" s="834">
        <f>'[11]Пос с др.целями Пр.19-23   '!E66+'[11]Уточнение Пр.1-24'!E66</f>
        <v>0</v>
      </c>
      <c r="F66" s="834">
        <f>'[11]Пос с др.целями Пр.19-23   '!F66+'[11]Уточнение Пр.1-24'!F66</f>
        <v>3631</v>
      </c>
      <c r="G66" s="834">
        <f>'[11]Пос с др.целями Пр.19-23   '!G66+'[11]Уточнение Пр.1-24'!G66</f>
        <v>70182</v>
      </c>
      <c r="H66" s="834">
        <f>'[11]Пос с др.целями Пр.19-23   '!H66+'[11]Уточнение Пр.1-24'!H66</f>
        <v>0</v>
      </c>
    </row>
    <row r="67" spans="1:8" ht="24" x14ac:dyDescent="0.2">
      <c r="A67" s="632">
        <v>58</v>
      </c>
      <c r="B67" s="635" t="s">
        <v>129</v>
      </c>
      <c r="C67" s="637" t="s">
        <v>130</v>
      </c>
      <c r="D67" s="830">
        <f t="shared" si="2"/>
        <v>51850</v>
      </c>
      <c r="E67" s="834">
        <f>'[11]Пос с др.целями Пр.19-23   '!E67+'[11]Уточнение Пр.1-24'!E67</f>
        <v>0</v>
      </c>
      <c r="F67" s="834">
        <f>'[11]Пос с др.целями Пр.19-23   '!F67+'[11]Уточнение Пр.1-24'!F67</f>
        <v>1020</v>
      </c>
      <c r="G67" s="834">
        <f>'[11]Пос с др.целями Пр.19-23   '!G67+'[11]Уточнение Пр.1-24'!G67</f>
        <v>50830</v>
      </c>
      <c r="H67" s="834">
        <f>'[11]Пос с др.целями Пр.19-23   '!H67+'[11]Уточнение Пр.1-24'!H67</f>
        <v>0</v>
      </c>
    </row>
    <row r="68" spans="1:8" ht="24" x14ac:dyDescent="0.2">
      <c r="A68" s="639">
        <v>59</v>
      </c>
      <c r="B68" s="638" t="s">
        <v>131</v>
      </c>
      <c r="C68" s="32" t="s">
        <v>132</v>
      </c>
      <c r="D68" s="830">
        <f t="shared" si="2"/>
        <v>64134</v>
      </c>
      <c r="E68" s="834">
        <f>'[11]Пос с др.целями Пр.19-23   '!E68+'[11]Уточнение Пр.1-24'!E68</f>
        <v>0</v>
      </c>
      <c r="F68" s="834">
        <f>'[11]Пос с др.целями Пр.19-23   '!F68+'[11]Уточнение Пр.1-24'!F68</f>
        <v>436</v>
      </c>
      <c r="G68" s="834">
        <f>'[11]Пос с др.целями Пр.19-23   '!G68+'[11]Уточнение Пр.1-24'!G68</f>
        <v>63698</v>
      </c>
      <c r="H68" s="834">
        <f>'[11]Пос с др.целями Пр.19-23   '!H68+'[11]Уточнение Пр.1-24'!H68</f>
        <v>0</v>
      </c>
    </row>
    <row r="69" spans="1:8" ht="24" x14ac:dyDescent="0.2">
      <c r="A69" s="632">
        <v>60</v>
      </c>
      <c r="B69" s="635" t="s">
        <v>133</v>
      </c>
      <c r="C69" s="637" t="s">
        <v>134</v>
      </c>
      <c r="D69" s="830">
        <f t="shared" si="2"/>
        <v>110095</v>
      </c>
      <c r="E69" s="834">
        <f>'[11]Пос с др.целями Пр.19-23   '!E69+'[11]Уточнение Пр.1-24'!E69</f>
        <v>0</v>
      </c>
      <c r="F69" s="834">
        <f>'[11]Пос с др.целями Пр.19-23   '!F69+'[11]Уточнение Пр.1-24'!F69</f>
        <v>9055</v>
      </c>
      <c r="G69" s="834">
        <f>'[11]Пос с др.целями Пр.19-23   '!G69+'[11]Уточнение Пр.1-24'!G69</f>
        <v>91607</v>
      </c>
      <c r="H69" s="834">
        <f>'[11]Пос с др.целями Пр.19-23   '!H69+'[11]Уточнение Пр.1-24'!H69</f>
        <v>9433</v>
      </c>
    </row>
    <row r="70" spans="1:8" ht="24" x14ac:dyDescent="0.2">
      <c r="A70" s="639">
        <v>61</v>
      </c>
      <c r="B70" s="636" t="s">
        <v>135</v>
      </c>
      <c r="C70" s="637" t="s">
        <v>136</v>
      </c>
      <c r="D70" s="830">
        <f t="shared" si="2"/>
        <v>28028</v>
      </c>
      <c r="E70" s="834">
        <f>'[11]Пос с др.целями Пр.19-23   '!E70+'[11]Уточнение Пр.1-24'!E70</f>
        <v>0</v>
      </c>
      <c r="F70" s="834">
        <f>'[11]Пос с др.целями Пр.19-23   '!F70+'[11]Уточнение Пр.1-24'!F70</f>
        <v>3463</v>
      </c>
      <c r="G70" s="834">
        <f>'[11]Пос с др.целями Пр.19-23   '!G70+'[11]Уточнение Пр.1-24'!G70</f>
        <v>24565</v>
      </c>
      <c r="H70" s="834">
        <f>'[11]Пос с др.целями Пр.19-23   '!H70+'[11]Уточнение Пр.1-24'!H70</f>
        <v>0</v>
      </c>
    </row>
    <row r="71" spans="1:8" ht="36" x14ac:dyDescent="0.2">
      <c r="A71" s="632">
        <v>62</v>
      </c>
      <c r="B71" s="633" t="s">
        <v>137</v>
      </c>
      <c r="C71" s="637" t="s">
        <v>138</v>
      </c>
      <c r="D71" s="830">
        <f t="shared" si="2"/>
        <v>0</v>
      </c>
      <c r="E71" s="834">
        <f>'[11]Пос с др.целями Пр.19-23   '!E71+'[11]Уточнение Пр.1-24'!E71</f>
        <v>0</v>
      </c>
      <c r="F71" s="834">
        <f>'[11]Пос с др.целями Пр.19-23   '!F71+'[11]Уточнение Пр.1-24'!F71</f>
        <v>0</v>
      </c>
      <c r="G71" s="834">
        <f>'[11]Пос с др.целями Пр.19-23   '!G71+'[11]Уточнение Пр.1-24'!G71</f>
        <v>0</v>
      </c>
      <c r="H71" s="834">
        <f>'[11]Пос с др.целями Пр.19-23   '!H71+'[11]Уточнение Пр.1-24'!H71</f>
        <v>0</v>
      </c>
    </row>
    <row r="72" spans="1:8" ht="36" x14ac:dyDescent="0.2">
      <c r="A72" s="639">
        <v>63</v>
      </c>
      <c r="B72" s="633" t="s">
        <v>139</v>
      </c>
      <c r="C72" s="637" t="s">
        <v>140</v>
      </c>
      <c r="D72" s="830">
        <f t="shared" si="2"/>
        <v>0</v>
      </c>
      <c r="E72" s="834">
        <f>'[11]Пос с др.целями Пр.19-23   '!E72+'[11]Уточнение Пр.1-24'!E72</f>
        <v>0</v>
      </c>
      <c r="F72" s="834">
        <f>'[11]Пос с др.целями Пр.19-23   '!F72+'[11]Уточнение Пр.1-24'!F72</f>
        <v>0</v>
      </c>
      <c r="G72" s="834">
        <f>'[11]Пос с др.целями Пр.19-23   '!G72+'[11]Уточнение Пр.1-24'!G72</f>
        <v>0</v>
      </c>
      <c r="H72" s="834">
        <f>'[11]Пос с др.целями Пр.19-23   '!H72+'[11]Уточнение Пр.1-24'!H72</f>
        <v>0</v>
      </c>
    </row>
    <row r="73" spans="1:8" x14ac:dyDescent="0.2">
      <c r="A73" s="632">
        <v>64</v>
      </c>
      <c r="B73" s="635" t="s">
        <v>141</v>
      </c>
      <c r="C73" s="637" t="s">
        <v>142</v>
      </c>
      <c r="D73" s="830">
        <f t="shared" si="2"/>
        <v>10468</v>
      </c>
      <c r="E73" s="834">
        <f>'[11]Пос с др.целями Пр.19-23   '!E73+'[11]Уточнение Пр.1-24'!E73</f>
        <v>0</v>
      </c>
      <c r="F73" s="834">
        <f>'[11]Пос с др.целями Пр.19-23   '!F73+'[11]Уточнение Пр.1-24'!F73</f>
        <v>1644</v>
      </c>
      <c r="G73" s="834">
        <f>'[11]Пос с др.целями Пр.19-23   '!G73+'[11]Уточнение Пр.1-24'!G73</f>
        <v>8824</v>
      </c>
      <c r="H73" s="834">
        <f>'[11]Пос с др.целями Пр.19-23   '!H73+'[11]Уточнение Пр.1-24'!H73</f>
        <v>0</v>
      </c>
    </row>
    <row r="74" spans="1:8" x14ac:dyDescent="0.2">
      <c r="A74" s="639">
        <v>65</v>
      </c>
      <c r="B74" s="635" t="s">
        <v>143</v>
      </c>
      <c r="C74" s="634" t="s">
        <v>144</v>
      </c>
      <c r="D74" s="830">
        <f t="shared" ref="D74:D137" si="3">E74+F74+G74+H74</f>
        <v>17050</v>
      </c>
      <c r="E74" s="834">
        <f>'[11]Пос с др.целями Пр.19-23   '!E74+'[11]Уточнение Пр.1-24'!E74</f>
        <v>0</v>
      </c>
      <c r="F74" s="834">
        <f>'[11]Пос с др.целями Пр.19-23   '!F74+'[11]Уточнение Пр.1-24'!F74</f>
        <v>2658</v>
      </c>
      <c r="G74" s="834">
        <f>'[11]Пос с др.целями Пр.19-23   '!G74+'[11]Уточнение Пр.1-24'!G74</f>
        <v>3894</v>
      </c>
      <c r="H74" s="834">
        <f>'[11]Пос с др.целями Пр.19-23   '!H74+'[11]Уточнение Пр.1-24'!H74</f>
        <v>10498</v>
      </c>
    </row>
    <row r="75" spans="1:8" x14ac:dyDescent="0.2">
      <c r="A75" s="632">
        <v>66</v>
      </c>
      <c r="B75" s="635" t="s">
        <v>145</v>
      </c>
      <c r="C75" s="637" t="s">
        <v>146</v>
      </c>
      <c r="D75" s="830">
        <f t="shared" si="3"/>
        <v>10970</v>
      </c>
      <c r="E75" s="834">
        <f>'[11]Пос с др.целями Пр.19-23   '!E75+'[11]Уточнение Пр.1-24'!E75</f>
        <v>0</v>
      </c>
      <c r="F75" s="834">
        <f>'[11]Пос с др.целями Пр.19-23   '!F75+'[11]Уточнение Пр.1-24'!F75</f>
        <v>7555</v>
      </c>
      <c r="G75" s="834">
        <f>'[11]Пос с др.целями Пр.19-23   '!G75+'[11]Уточнение Пр.1-24'!G75</f>
        <v>3415</v>
      </c>
      <c r="H75" s="834">
        <f>'[11]Пос с др.целями Пр.19-23   '!H75+'[11]Уточнение Пр.1-24'!H75</f>
        <v>0</v>
      </c>
    </row>
    <row r="76" spans="1:8" ht="24" x14ac:dyDescent="0.2">
      <c r="A76" s="639">
        <v>67</v>
      </c>
      <c r="B76" s="635" t="s">
        <v>147</v>
      </c>
      <c r="C76" s="637" t="s">
        <v>148</v>
      </c>
      <c r="D76" s="830">
        <f t="shared" si="3"/>
        <v>300</v>
      </c>
      <c r="E76" s="834">
        <f>'[11]Пос с др.целями Пр.19-23   '!E76+'[11]Уточнение Пр.1-24'!E76</f>
        <v>300</v>
      </c>
      <c r="F76" s="834">
        <f>'[11]Пос с др.целями Пр.19-23   '!F76+'[11]Уточнение Пр.1-24'!F76</f>
        <v>0</v>
      </c>
      <c r="G76" s="834">
        <f>'[11]Пос с др.целями Пр.19-23   '!G76+'[11]Уточнение Пр.1-24'!G76</f>
        <v>0</v>
      </c>
      <c r="H76" s="834">
        <f>'[11]Пос с др.целями Пр.19-23   '!H76+'[11]Уточнение Пр.1-24'!H76</f>
        <v>0</v>
      </c>
    </row>
    <row r="77" spans="1:8" ht="24" x14ac:dyDescent="0.2">
      <c r="A77" s="632">
        <v>68</v>
      </c>
      <c r="B77" s="633" t="s">
        <v>149</v>
      </c>
      <c r="C77" s="637" t="s">
        <v>150</v>
      </c>
      <c r="D77" s="830">
        <f t="shared" si="3"/>
        <v>100</v>
      </c>
      <c r="E77" s="834">
        <f>'[11]Пос с др.целями Пр.19-23   '!E77+'[11]Уточнение Пр.1-24'!E77</f>
        <v>100</v>
      </c>
      <c r="F77" s="834">
        <f>'[11]Пос с др.целями Пр.19-23   '!F77+'[11]Уточнение Пр.1-24'!F77</f>
        <v>0</v>
      </c>
      <c r="G77" s="834">
        <f>'[11]Пос с др.целями Пр.19-23   '!G77+'[11]Уточнение Пр.1-24'!G77</f>
        <v>0</v>
      </c>
      <c r="H77" s="834">
        <f>'[11]Пос с др.целями Пр.19-23   '!H77+'[11]Уточнение Пр.1-24'!H77</f>
        <v>0</v>
      </c>
    </row>
    <row r="78" spans="1:8" ht="24" x14ac:dyDescent="0.2">
      <c r="A78" s="639">
        <v>69</v>
      </c>
      <c r="B78" s="635" t="s">
        <v>151</v>
      </c>
      <c r="C78" s="637" t="s">
        <v>152</v>
      </c>
      <c r="D78" s="830">
        <f t="shared" si="3"/>
        <v>50</v>
      </c>
      <c r="E78" s="834">
        <f>'[11]Пос с др.целями Пр.19-23   '!E78+'[11]Уточнение Пр.1-24'!E78</f>
        <v>50</v>
      </c>
      <c r="F78" s="834">
        <f>'[11]Пос с др.целями Пр.19-23   '!F78+'[11]Уточнение Пр.1-24'!F78</f>
        <v>0</v>
      </c>
      <c r="G78" s="834">
        <f>'[11]Пос с др.целями Пр.19-23   '!G78+'[11]Уточнение Пр.1-24'!G78</f>
        <v>0</v>
      </c>
      <c r="H78" s="834">
        <f>'[11]Пос с др.целями Пр.19-23   '!H78+'[11]Уточнение Пр.1-24'!H78</f>
        <v>0</v>
      </c>
    </row>
    <row r="79" spans="1:8" ht="24" x14ac:dyDescent="0.2">
      <c r="A79" s="632">
        <v>70</v>
      </c>
      <c r="B79" s="635" t="s">
        <v>153</v>
      </c>
      <c r="C79" s="637" t="s">
        <v>154</v>
      </c>
      <c r="D79" s="830">
        <f t="shared" si="3"/>
        <v>290</v>
      </c>
      <c r="E79" s="834">
        <f>'[11]Пос с др.целями Пр.19-23   '!E79+'[11]Уточнение Пр.1-24'!E79</f>
        <v>290</v>
      </c>
      <c r="F79" s="834">
        <f>'[11]Пос с др.целями Пр.19-23   '!F79+'[11]Уточнение Пр.1-24'!F79</f>
        <v>0</v>
      </c>
      <c r="G79" s="834">
        <f>'[11]Пос с др.целями Пр.19-23   '!G79+'[11]Уточнение Пр.1-24'!G79</f>
        <v>0</v>
      </c>
      <c r="H79" s="834">
        <f>'[11]Пос с др.целями Пр.19-23   '!H79+'[11]Уточнение Пр.1-24'!H79</f>
        <v>0</v>
      </c>
    </row>
    <row r="80" spans="1:8" ht="24" x14ac:dyDescent="0.2">
      <c r="A80" s="639">
        <v>71</v>
      </c>
      <c r="B80" s="633" t="s">
        <v>155</v>
      </c>
      <c r="C80" s="637" t="s">
        <v>156</v>
      </c>
      <c r="D80" s="830">
        <f t="shared" si="3"/>
        <v>1600</v>
      </c>
      <c r="E80" s="834">
        <f>'[11]Пос с др.целями Пр.19-23   '!E80+'[11]Уточнение Пр.1-24'!E80</f>
        <v>1600</v>
      </c>
      <c r="F80" s="834">
        <f>'[11]Пос с др.целями Пр.19-23   '!F80+'[11]Уточнение Пр.1-24'!F80</f>
        <v>0</v>
      </c>
      <c r="G80" s="834">
        <f>'[11]Пос с др.целями Пр.19-23   '!G80+'[11]Уточнение Пр.1-24'!G80</f>
        <v>0</v>
      </c>
      <c r="H80" s="834">
        <f>'[11]Пос с др.целями Пр.19-23   '!H80+'[11]Уточнение Пр.1-24'!H80</f>
        <v>0</v>
      </c>
    </row>
    <row r="81" spans="1:8" ht="24" x14ac:dyDescent="0.2">
      <c r="A81" s="632">
        <v>72</v>
      </c>
      <c r="B81" s="633" t="s">
        <v>157</v>
      </c>
      <c r="C81" s="637" t="s">
        <v>158</v>
      </c>
      <c r="D81" s="830">
        <f t="shared" si="3"/>
        <v>150</v>
      </c>
      <c r="E81" s="834">
        <f>'[11]Пос с др.целями Пр.19-23   '!E81+'[11]Уточнение Пр.1-24'!E81</f>
        <v>150</v>
      </c>
      <c r="F81" s="834">
        <f>'[11]Пос с др.целями Пр.19-23   '!F81+'[11]Уточнение Пр.1-24'!F81</f>
        <v>0</v>
      </c>
      <c r="G81" s="834">
        <f>'[11]Пос с др.целями Пр.19-23   '!G81+'[11]Уточнение Пр.1-24'!G81</f>
        <v>0</v>
      </c>
      <c r="H81" s="834">
        <f>'[11]Пос с др.целями Пр.19-23   '!H81+'[11]Уточнение Пр.1-24'!H81</f>
        <v>0</v>
      </c>
    </row>
    <row r="82" spans="1:8" ht="24" x14ac:dyDescent="0.2">
      <c r="A82" s="639">
        <v>73</v>
      </c>
      <c r="B82" s="633" t="s">
        <v>159</v>
      </c>
      <c r="C82" s="637" t="s">
        <v>160</v>
      </c>
      <c r="D82" s="830">
        <f t="shared" si="3"/>
        <v>0</v>
      </c>
      <c r="E82" s="834">
        <f>'[11]Пос с др.целями Пр.19-23   '!E82+'[11]Уточнение Пр.1-24'!E82</f>
        <v>0</v>
      </c>
      <c r="F82" s="834">
        <f>'[11]Пос с др.целями Пр.19-23   '!F82+'[11]Уточнение Пр.1-24'!F82</f>
        <v>0</v>
      </c>
      <c r="G82" s="834">
        <f>'[11]Пос с др.целями Пр.19-23   '!G82+'[11]Уточнение Пр.1-24'!G82</f>
        <v>0</v>
      </c>
      <c r="H82" s="834">
        <f>'[11]Пос с др.целями Пр.19-23   '!H82+'[11]Уточнение Пр.1-24'!H82</f>
        <v>0</v>
      </c>
    </row>
    <row r="83" spans="1:8" ht="24" x14ac:dyDescent="0.2">
      <c r="A83" s="632">
        <v>74</v>
      </c>
      <c r="B83" s="636" t="s">
        <v>161</v>
      </c>
      <c r="C83" s="637" t="s">
        <v>162</v>
      </c>
      <c r="D83" s="830">
        <f t="shared" si="3"/>
        <v>72286</v>
      </c>
      <c r="E83" s="834">
        <f>'[11]Пос с др.целями Пр.19-23   '!E83+'[11]Уточнение Пр.1-24'!E83</f>
        <v>0</v>
      </c>
      <c r="F83" s="834">
        <f>'[11]Пос с др.целями Пр.19-23   '!F83+'[11]Уточнение Пр.1-24'!F83</f>
        <v>9224</v>
      </c>
      <c r="G83" s="834">
        <f>'[11]Пос с др.целями Пр.19-23   '!G83+'[11]Уточнение Пр.1-24'!G83</f>
        <v>54346</v>
      </c>
      <c r="H83" s="834">
        <f>'[11]Пос с др.целями Пр.19-23   '!H83+'[11]Уточнение Пр.1-24'!H83</f>
        <v>8716</v>
      </c>
    </row>
    <row r="84" spans="1:8" x14ac:dyDescent="0.2">
      <c r="A84" s="639">
        <v>75</v>
      </c>
      <c r="B84" s="633" t="s">
        <v>163</v>
      </c>
      <c r="C84" s="637" t="s">
        <v>164</v>
      </c>
      <c r="D84" s="830">
        <f t="shared" si="3"/>
        <v>31808</v>
      </c>
      <c r="E84" s="834">
        <f>'[11]Пос с др.целями Пр.19-23   '!E84+'[11]Уточнение Пр.1-24'!E84</f>
        <v>0</v>
      </c>
      <c r="F84" s="834">
        <f>'[11]Пос с др.целями Пр.19-23   '!F84+'[11]Уточнение Пр.1-24'!F84</f>
        <v>18500</v>
      </c>
      <c r="G84" s="834">
        <f>'[11]Пос с др.целями Пр.19-23   '!G84+'[11]Уточнение Пр.1-24'!G84</f>
        <v>13308</v>
      </c>
      <c r="H84" s="834">
        <f>'[11]Пос с др.целями Пр.19-23   '!H84+'[11]Уточнение Пр.1-24'!H84</f>
        <v>0</v>
      </c>
    </row>
    <row r="85" spans="1:8" x14ac:dyDescent="0.2">
      <c r="A85" s="632">
        <v>76</v>
      </c>
      <c r="B85" s="636" t="s">
        <v>165</v>
      </c>
      <c r="C85" s="637" t="s">
        <v>166</v>
      </c>
      <c r="D85" s="830">
        <f t="shared" si="3"/>
        <v>23877</v>
      </c>
      <c r="E85" s="834">
        <f>'[11]Пос с др.целями Пр.19-23   '!E85+'[11]Уточнение Пр.1-24'!E85</f>
        <v>0</v>
      </c>
      <c r="F85" s="834">
        <f>'[11]Пос с др.целями Пр.19-23   '!F85+'[11]Уточнение Пр.1-24'!F85</f>
        <v>5885</v>
      </c>
      <c r="G85" s="834">
        <f>'[11]Пос с др.целями Пр.19-23   '!G85+'[11]Уточнение Пр.1-24'!G85</f>
        <v>8232</v>
      </c>
      <c r="H85" s="834">
        <f>'[11]Пос с др.целями Пр.19-23   '!H85+'[11]Уточнение Пр.1-24'!H85</f>
        <v>9760</v>
      </c>
    </row>
    <row r="86" spans="1:8" x14ac:dyDescent="0.2">
      <c r="A86" s="639">
        <v>77</v>
      </c>
      <c r="B86" s="638" t="s">
        <v>167</v>
      </c>
      <c r="C86" s="32" t="s">
        <v>168</v>
      </c>
      <c r="D86" s="830">
        <f t="shared" si="3"/>
        <v>2268</v>
      </c>
      <c r="E86" s="834">
        <f>'[11]Пос с др.целями Пр.19-23   '!E86+'[11]Уточнение Пр.1-24'!E86</f>
        <v>0</v>
      </c>
      <c r="F86" s="834">
        <f>'[11]Пос с др.целями Пр.19-23   '!F86+'[11]Уточнение Пр.1-24'!F86</f>
        <v>1182</v>
      </c>
      <c r="G86" s="834">
        <f>'[11]Пос с др.целями Пр.19-23   '!G86+'[11]Уточнение Пр.1-24'!G86</f>
        <v>1086</v>
      </c>
      <c r="H86" s="834">
        <f>'[11]Пос с др.целями Пр.19-23   '!H86+'[11]Уточнение Пр.1-24'!H86</f>
        <v>0</v>
      </c>
    </row>
    <row r="87" spans="1:8" x14ac:dyDescent="0.2">
      <c r="A87" s="632">
        <v>78</v>
      </c>
      <c r="B87" s="633" t="s">
        <v>169</v>
      </c>
      <c r="C87" s="637" t="s">
        <v>170</v>
      </c>
      <c r="D87" s="830">
        <f t="shared" si="3"/>
        <v>35714</v>
      </c>
      <c r="E87" s="834">
        <f>'[11]Пос с др.целями Пр.19-23   '!E87+'[11]Уточнение Пр.1-24'!E87</f>
        <v>0</v>
      </c>
      <c r="F87" s="834">
        <f>'[11]Пос с др.целями Пр.19-23   '!F87+'[11]Уточнение Пр.1-24'!F87</f>
        <v>12510</v>
      </c>
      <c r="G87" s="834">
        <f>'[11]Пос с др.целями Пр.19-23   '!G87+'[11]Уточнение Пр.1-24'!G87</f>
        <v>23204</v>
      </c>
      <c r="H87" s="834">
        <f>'[11]Пос с др.целями Пр.19-23   '!H87+'[11]Уточнение Пр.1-24'!H87</f>
        <v>0</v>
      </c>
    </row>
    <row r="88" spans="1:8" x14ac:dyDescent="0.2">
      <c r="A88" s="639">
        <v>79</v>
      </c>
      <c r="B88" s="638" t="s">
        <v>171</v>
      </c>
      <c r="C88" s="32" t="s">
        <v>172</v>
      </c>
      <c r="D88" s="830">
        <f t="shared" si="3"/>
        <v>45234</v>
      </c>
      <c r="E88" s="834">
        <f>'[11]Пос с др.целями Пр.19-23   '!E88+'[11]Уточнение Пр.1-24'!E88</f>
        <v>0</v>
      </c>
      <c r="F88" s="834">
        <f>'[11]Пос с др.целями Пр.19-23   '!F88+'[11]Уточнение Пр.1-24'!F88</f>
        <v>2340</v>
      </c>
      <c r="G88" s="834">
        <f>'[11]Пос с др.целями Пр.19-23   '!G88+'[11]Уточнение Пр.1-24'!G88</f>
        <v>36787</v>
      </c>
      <c r="H88" s="834">
        <f>'[11]Пос с др.целями Пр.19-23   '!H88+'[11]Уточнение Пр.1-24'!H88</f>
        <v>6107</v>
      </c>
    </row>
    <row r="89" spans="1:8" x14ac:dyDescent="0.2">
      <c r="A89" s="632">
        <v>80</v>
      </c>
      <c r="B89" s="633" t="s">
        <v>173</v>
      </c>
      <c r="C89" s="637" t="s">
        <v>174</v>
      </c>
      <c r="D89" s="830">
        <f t="shared" si="3"/>
        <v>61574</v>
      </c>
      <c r="E89" s="834">
        <f>'[11]Пос с др.целями Пр.19-23   '!E89+'[11]Уточнение Пр.1-24'!E89</f>
        <v>0</v>
      </c>
      <c r="F89" s="834">
        <f>'[11]Пос с др.целями Пр.19-23   '!F89+'[11]Уточнение Пр.1-24'!F89</f>
        <v>8217</v>
      </c>
      <c r="G89" s="834">
        <f>'[11]Пос с др.целями Пр.19-23   '!G89+'[11]Уточнение Пр.1-24'!G89</f>
        <v>15575</v>
      </c>
      <c r="H89" s="834">
        <f>'[11]Пос с др.целями Пр.19-23   '!H89+'[11]Уточнение Пр.1-24'!H89</f>
        <v>37782</v>
      </c>
    </row>
    <row r="90" spans="1:8" x14ac:dyDescent="0.2">
      <c r="A90" s="639">
        <v>81</v>
      </c>
      <c r="B90" s="638" t="s">
        <v>175</v>
      </c>
      <c r="C90" s="32" t="s">
        <v>742</v>
      </c>
      <c r="D90" s="830">
        <f t="shared" si="3"/>
        <v>28748</v>
      </c>
      <c r="E90" s="834">
        <f>'[11]Пос с др.целями Пр.19-23   '!E90+'[11]Уточнение Пр.1-24'!E90</f>
        <v>28748</v>
      </c>
      <c r="F90" s="834">
        <f>'[11]Пос с др.целями Пр.19-23   '!F90+'[11]Уточнение Пр.1-24'!F90</f>
        <v>0</v>
      </c>
      <c r="G90" s="834">
        <f>'[11]Пос с др.целями Пр.19-23   '!G90+'[11]Уточнение Пр.1-24'!G90</f>
        <v>0</v>
      </c>
      <c r="H90" s="834">
        <f>'[11]Пос с др.целями Пр.19-23   '!H90+'[11]Уточнение Пр.1-24'!H90</f>
        <v>0</v>
      </c>
    </row>
    <row r="91" spans="1:8" x14ac:dyDescent="0.2">
      <c r="A91" s="632">
        <v>82</v>
      </c>
      <c r="B91" s="635" t="s">
        <v>177</v>
      </c>
      <c r="C91" s="637" t="s">
        <v>358</v>
      </c>
      <c r="D91" s="830">
        <f t="shared" si="3"/>
        <v>0</v>
      </c>
      <c r="E91" s="834">
        <f>'[11]Пос с др.целями Пр.19-23   '!E91+'[11]Уточнение Пр.1-24'!E91</f>
        <v>0</v>
      </c>
      <c r="F91" s="834">
        <f>'[11]Пос с др.целями Пр.19-23   '!F91+'[11]Уточнение Пр.1-24'!F91</f>
        <v>0</v>
      </c>
      <c r="G91" s="834">
        <f>'[11]Пос с др.целями Пр.19-23   '!G91+'[11]Уточнение Пр.1-24'!G91</f>
        <v>0</v>
      </c>
      <c r="H91" s="834">
        <f>'[11]Пос с др.целями Пр.19-23   '!H91+'[11]Уточнение Пр.1-24'!H91</f>
        <v>0</v>
      </c>
    </row>
    <row r="92" spans="1:8" ht="48" x14ac:dyDescent="0.2">
      <c r="A92" s="1070">
        <v>83</v>
      </c>
      <c r="B92" s="1073" t="s">
        <v>178</v>
      </c>
      <c r="C92" s="1" t="s">
        <v>740</v>
      </c>
      <c r="D92" s="830">
        <f t="shared" si="3"/>
        <v>1186</v>
      </c>
      <c r="E92" s="834">
        <f>'[11]Пос с др.целями Пр.19-23   '!E92+'[11]Уточнение Пр.1-24'!E92</f>
        <v>0</v>
      </c>
      <c r="F92" s="834">
        <f>'[11]Пос с др.целями Пр.19-23   '!F92+'[11]Уточнение Пр.1-24'!F92</f>
        <v>0</v>
      </c>
      <c r="G92" s="834">
        <f>'[11]Пос с др.целями Пр.19-23   '!G92+'[11]Уточнение Пр.1-24'!G92</f>
        <v>1186</v>
      </c>
      <c r="H92" s="834">
        <f>'[11]Пос с др.целями Пр.19-23   '!H92+'[11]Уточнение Пр.1-24'!H92</f>
        <v>0</v>
      </c>
    </row>
    <row r="93" spans="1:8" ht="24" x14ac:dyDescent="0.2">
      <c r="A93" s="1071"/>
      <c r="B93" s="1074"/>
      <c r="C93" s="637" t="s">
        <v>180</v>
      </c>
      <c r="D93" s="830">
        <f t="shared" si="3"/>
        <v>0</v>
      </c>
      <c r="E93" s="834">
        <f>'[11]Пос с др.целями Пр.19-23   '!E93+'[11]Уточнение Пр.1-24'!E93</f>
        <v>0</v>
      </c>
      <c r="F93" s="834">
        <f>'[11]Пос с др.целями Пр.19-23   '!F93+'[11]Уточнение Пр.1-24'!F93</f>
        <v>0</v>
      </c>
      <c r="G93" s="834">
        <f>'[11]Пос с др.целями Пр.19-23   '!G93+'[11]Уточнение Пр.1-24'!G93</f>
        <v>0</v>
      </c>
      <c r="H93" s="834">
        <f>'[11]Пос с др.целями Пр.19-23   '!H93+'[11]Уточнение Пр.1-24'!H93</f>
        <v>0</v>
      </c>
    </row>
    <row r="94" spans="1:8" ht="48" x14ac:dyDescent="0.2">
      <c r="A94" s="1072"/>
      <c r="B94" s="1075"/>
      <c r="C94" s="225" t="s">
        <v>507</v>
      </c>
      <c r="D94" s="830">
        <f t="shared" si="3"/>
        <v>0</v>
      </c>
      <c r="E94" s="834">
        <f>'[11]Пос с др.целями Пр.19-23   '!E94+'[11]Уточнение Пр.1-24'!E94</f>
        <v>0</v>
      </c>
      <c r="F94" s="834">
        <f>'[11]Пос с др.целями Пр.19-23   '!F94+'[11]Уточнение Пр.1-24'!F94</f>
        <v>0</v>
      </c>
      <c r="G94" s="834">
        <f>'[11]Пос с др.целями Пр.19-23   '!G94+'[11]Уточнение Пр.1-24'!G94</f>
        <v>0</v>
      </c>
      <c r="H94" s="834">
        <f>'[11]Пос с др.целями Пр.19-23   '!H94+'[11]Уточнение Пр.1-24'!H94</f>
        <v>0</v>
      </c>
    </row>
    <row r="95" spans="1:8" ht="24" x14ac:dyDescent="0.2">
      <c r="A95" s="632">
        <v>84</v>
      </c>
      <c r="B95" s="635" t="s">
        <v>181</v>
      </c>
      <c r="C95" s="634" t="s">
        <v>182</v>
      </c>
      <c r="D95" s="830">
        <f t="shared" si="3"/>
        <v>0</v>
      </c>
      <c r="E95" s="834">
        <f>'[11]Пос с др.целями Пр.19-23   '!E95+'[11]Уточнение Пр.1-24'!E95</f>
        <v>0</v>
      </c>
      <c r="F95" s="834">
        <f>'[11]Пос с др.целями Пр.19-23   '!F95+'[11]Уточнение Пр.1-24'!F95</f>
        <v>0</v>
      </c>
      <c r="G95" s="834">
        <f>'[11]Пос с др.целями Пр.19-23   '!G95+'[11]Уточнение Пр.1-24'!G95</f>
        <v>0</v>
      </c>
      <c r="H95" s="834">
        <f>'[11]Пос с др.целями Пр.19-23   '!H95+'[11]Уточнение Пр.1-24'!H95</f>
        <v>0</v>
      </c>
    </row>
    <row r="96" spans="1:8" x14ac:dyDescent="0.2">
      <c r="A96" s="632">
        <v>85</v>
      </c>
      <c r="B96" s="635" t="s">
        <v>183</v>
      </c>
      <c r="C96" s="32" t="s">
        <v>184</v>
      </c>
      <c r="D96" s="830">
        <f t="shared" si="3"/>
        <v>3177</v>
      </c>
      <c r="E96" s="834">
        <f>'[11]Пос с др.целями Пр.19-23   '!E96+'[11]Уточнение Пр.1-24'!E96</f>
        <v>0</v>
      </c>
      <c r="F96" s="834">
        <f>'[11]Пос с др.целями Пр.19-23   '!F96+'[11]Уточнение Пр.1-24'!F96</f>
        <v>314</v>
      </c>
      <c r="G96" s="834">
        <f>'[11]Пос с др.целями Пр.19-23   '!G96+'[11]Уточнение Пр.1-24'!G96</f>
        <v>2863</v>
      </c>
      <c r="H96" s="834">
        <f>'[11]Пос с др.целями Пр.19-23   '!H96+'[11]Уточнение Пр.1-24'!H96</f>
        <v>0</v>
      </c>
    </row>
    <row r="97" spans="1:8" x14ac:dyDescent="0.2">
      <c r="A97" s="632">
        <v>86</v>
      </c>
      <c r="B97" s="636" t="s">
        <v>185</v>
      </c>
      <c r="C97" s="637" t="s">
        <v>186</v>
      </c>
      <c r="D97" s="830">
        <f>E97+F97+G97+H97</f>
        <v>3900</v>
      </c>
      <c r="E97" s="834">
        <f>'[11]Пос с др.целями Пр.19-23   '!E97+'[11]Уточнение Пр.1-24'!E97</f>
        <v>0</v>
      </c>
      <c r="F97" s="834">
        <f>'[11]Пос с др.целями Пр.19-23   '!F97+'[11]Уточнение Пр.1-24'!F97</f>
        <v>848</v>
      </c>
      <c r="G97" s="834">
        <f>'[11]Пос с др.целями Пр.19-23   '!G97+'[11]Уточнение Пр.1-24'!G97</f>
        <v>3052</v>
      </c>
      <c r="H97" s="834">
        <f>'[11]Пос с др.целями Пр.19-23   '!H97+'[11]Уточнение Пр.1-24'!H97</f>
        <v>0</v>
      </c>
    </row>
    <row r="98" spans="1:8" x14ac:dyDescent="0.2">
      <c r="A98" s="632">
        <v>87</v>
      </c>
      <c r="B98" s="635" t="s">
        <v>187</v>
      </c>
      <c r="C98" s="634" t="s">
        <v>188</v>
      </c>
      <c r="D98" s="830">
        <f t="shared" si="3"/>
        <v>9256</v>
      </c>
      <c r="E98" s="834">
        <f>'[11]Пос с др.целями Пр.19-23   '!E98+'[11]Уточнение Пр.1-24'!E98</f>
        <v>0</v>
      </c>
      <c r="F98" s="834">
        <f>'[11]Пос с др.целями Пр.19-23   '!F98+'[11]Уточнение Пр.1-24'!F98</f>
        <v>2341</v>
      </c>
      <c r="G98" s="834">
        <f>'[11]Пос с др.целями Пр.19-23   '!G98+'[11]Уточнение Пр.1-24'!G98</f>
        <v>6915</v>
      </c>
      <c r="H98" s="834">
        <f>'[11]Пос с др.целями Пр.19-23   '!H98+'[11]Уточнение Пр.1-24'!H98</f>
        <v>0</v>
      </c>
    </row>
    <row r="99" spans="1:8" x14ac:dyDescent="0.2">
      <c r="A99" s="632">
        <v>88</v>
      </c>
      <c r="B99" s="636" t="s">
        <v>189</v>
      </c>
      <c r="C99" s="637" t="s">
        <v>190</v>
      </c>
      <c r="D99" s="830">
        <f t="shared" si="3"/>
        <v>8471</v>
      </c>
      <c r="E99" s="834">
        <f>'[11]Пос с др.целями Пр.19-23   '!E99+'[11]Уточнение Пр.1-24'!E99</f>
        <v>0</v>
      </c>
      <c r="F99" s="834">
        <f>'[11]Пос с др.целями Пр.19-23   '!F99+'[11]Уточнение Пр.1-24'!F99</f>
        <v>1483</v>
      </c>
      <c r="G99" s="834">
        <f>'[11]Пос с др.целями Пр.19-23   '!G99+'[11]Уточнение Пр.1-24'!G99</f>
        <v>6988</v>
      </c>
      <c r="H99" s="834">
        <f>'[11]Пос с др.целями Пр.19-23   '!H99+'[11]Уточнение Пр.1-24'!H99</f>
        <v>0</v>
      </c>
    </row>
    <row r="100" spans="1:8" x14ac:dyDescent="0.2">
      <c r="A100" s="632">
        <v>89</v>
      </c>
      <c r="B100" s="636" t="s">
        <v>191</v>
      </c>
      <c r="C100" s="637" t="s">
        <v>192</v>
      </c>
      <c r="D100" s="830">
        <f t="shared" si="3"/>
        <v>27955</v>
      </c>
      <c r="E100" s="834">
        <f>'[11]Пос с др.целями Пр.19-23   '!E100+'[11]Уточнение Пр.1-24'!E100</f>
        <v>0</v>
      </c>
      <c r="F100" s="834">
        <f>'[11]Пос с др.целями Пр.19-23   '!F100+'[11]Уточнение Пр.1-24'!F100</f>
        <v>6492</v>
      </c>
      <c r="G100" s="834">
        <f>'[11]Пос с др.целями Пр.19-23   '!G100+'[11]Уточнение Пр.1-24'!G100</f>
        <v>21463</v>
      </c>
      <c r="H100" s="834">
        <f>'[11]Пос с др.целями Пр.19-23   '!H100+'[11]Уточнение Пр.1-24'!H100</f>
        <v>0</v>
      </c>
    </row>
    <row r="101" spans="1:8" x14ac:dyDescent="0.2">
      <c r="A101" s="632">
        <v>90</v>
      </c>
      <c r="B101" s="635" t="s">
        <v>193</v>
      </c>
      <c r="C101" s="32" t="s">
        <v>194</v>
      </c>
      <c r="D101" s="830">
        <f t="shared" si="3"/>
        <v>9790</v>
      </c>
      <c r="E101" s="834">
        <f>'[11]Пос с др.целями Пр.19-23   '!E101+'[11]Уточнение Пр.1-24'!E101</f>
        <v>0</v>
      </c>
      <c r="F101" s="834">
        <f>'[11]Пос с др.целями Пр.19-23   '!F101+'[11]Уточнение Пр.1-24'!F101</f>
        <v>1673</v>
      </c>
      <c r="G101" s="834">
        <f>'[11]Пос с др.целями Пр.19-23   '!G101+'[11]Уточнение Пр.1-24'!G101</f>
        <v>8117</v>
      </c>
      <c r="H101" s="834">
        <f>'[11]Пос с др.целями Пр.19-23   '!H101+'[11]Уточнение Пр.1-24'!H101</f>
        <v>0</v>
      </c>
    </row>
    <row r="102" spans="1:8" x14ac:dyDescent="0.2">
      <c r="A102" s="632">
        <v>91</v>
      </c>
      <c r="B102" s="635" t="s">
        <v>195</v>
      </c>
      <c r="C102" s="634" t="s">
        <v>196</v>
      </c>
      <c r="D102" s="830">
        <f t="shared" si="3"/>
        <v>10673</v>
      </c>
      <c r="E102" s="834">
        <f>'[11]Пос с др.целями Пр.19-23   '!E102+'[11]Уточнение Пр.1-24'!E102</f>
        <v>0</v>
      </c>
      <c r="F102" s="834">
        <f>'[11]Пос с др.целями Пр.19-23   '!F102+'[11]Уточнение Пр.1-24'!F102</f>
        <v>6586</v>
      </c>
      <c r="G102" s="834">
        <f>'[11]Пос с др.целями Пр.19-23   '!G102+'[11]Уточнение Пр.1-24'!G102</f>
        <v>4087</v>
      </c>
      <c r="H102" s="834">
        <f>'[11]Пос с др.целями Пр.19-23   '!H102+'[11]Уточнение Пр.1-24'!H102</f>
        <v>0</v>
      </c>
    </row>
    <row r="103" spans="1:8" x14ac:dyDescent="0.2">
      <c r="A103" s="632">
        <v>92</v>
      </c>
      <c r="B103" s="633" t="s">
        <v>197</v>
      </c>
      <c r="C103" s="634" t="s">
        <v>198</v>
      </c>
      <c r="D103" s="830">
        <f t="shared" si="3"/>
        <v>40176</v>
      </c>
      <c r="E103" s="834">
        <f>'[11]Пос с др.целями Пр.19-23   '!E103+'[11]Уточнение Пр.1-24'!E103</f>
        <v>0</v>
      </c>
      <c r="F103" s="834">
        <f>'[11]Пос с др.целями Пр.19-23   '!F103+'[11]Уточнение Пр.1-24'!F103</f>
        <v>4045</v>
      </c>
      <c r="G103" s="834">
        <f>'[11]Пос с др.целями Пр.19-23   '!G103+'[11]Уточнение Пр.1-24'!G103</f>
        <v>36131</v>
      </c>
      <c r="H103" s="834">
        <f>'[11]Пос с др.целями Пр.19-23   '!H103+'[11]Уточнение Пр.1-24'!H103</f>
        <v>0</v>
      </c>
    </row>
    <row r="104" spans="1:8" x14ac:dyDescent="0.2">
      <c r="A104" s="632">
        <v>93</v>
      </c>
      <c r="B104" s="633" t="s">
        <v>199</v>
      </c>
      <c r="C104" s="634" t="s">
        <v>200</v>
      </c>
      <c r="D104" s="830">
        <f t="shared" si="3"/>
        <v>23260</v>
      </c>
      <c r="E104" s="834">
        <f>'[11]Пос с др.целями Пр.19-23   '!E104+'[11]Уточнение Пр.1-24'!E104</f>
        <v>0</v>
      </c>
      <c r="F104" s="834">
        <f>'[11]Пос с др.целями Пр.19-23   '!F104+'[11]Уточнение Пр.1-24'!F104</f>
        <v>11555</v>
      </c>
      <c r="G104" s="834">
        <f>'[11]Пос с др.целями Пр.19-23   '!G104+'[11]Уточнение Пр.1-24'!G104</f>
        <v>11705</v>
      </c>
      <c r="H104" s="834">
        <f>'[11]Пос с др.целями Пр.19-23   '!H104+'[11]Уточнение Пр.1-24'!H104</f>
        <v>0</v>
      </c>
    </row>
    <row r="105" spans="1:8" x14ac:dyDescent="0.2">
      <c r="A105" s="632">
        <v>94</v>
      </c>
      <c r="B105" s="636" t="s">
        <v>201</v>
      </c>
      <c r="C105" s="637" t="s">
        <v>202</v>
      </c>
      <c r="D105" s="830">
        <f t="shared" si="3"/>
        <v>10500</v>
      </c>
      <c r="E105" s="834">
        <f>'[11]Пос с др.целями Пр.19-23   '!E105+'[11]Уточнение Пр.1-24'!E105</f>
        <v>0</v>
      </c>
      <c r="F105" s="834">
        <f>'[11]Пос с др.целями Пр.19-23   '!F105+'[11]Уточнение Пр.1-24'!F105</f>
        <v>1400</v>
      </c>
      <c r="G105" s="834">
        <f>'[11]Пос с др.целями Пр.19-23   '!G105+'[11]Уточнение Пр.1-24'!G105</f>
        <v>9100</v>
      </c>
      <c r="H105" s="834">
        <f>'[11]Пос с др.целями Пр.19-23   '!H105+'[11]Уточнение Пр.1-24'!H105</f>
        <v>0</v>
      </c>
    </row>
    <row r="106" spans="1:8" x14ac:dyDescent="0.2">
      <c r="A106" s="632">
        <v>95</v>
      </c>
      <c r="B106" s="638" t="s">
        <v>203</v>
      </c>
      <c r="C106" s="32" t="s">
        <v>204</v>
      </c>
      <c r="D106" s="830">
        <f t="shared" si="3"/>
        <v>16034</v>
      </c>
      <c r="E106" s="834">
        <f>'[11]Пос с др.целями Пр.19-23   '!E106+'[11]Уточнение Пр.1-24'!E106</f>
        <v>0</v>
      </c>
      <c r="F106" s="834">
        <f>'[11]Пос с др.целями Пр.19-23   '!F106+'[11]Уточнение Пр.1-24'!F106</f>
        <v>2905</v>
      </c>
      <c r="G106" s="834">
        <f>'[11]Пос с др.целями Пр.19-23   '!G106+'[11]Уточнение Пр.1-24'!G106</f>
        <v>13129</v>
      </c>
      <c r="H106" s="834">
        <f>'[11]Пос с др.целями Пр.19-23   '!H106+'[11]Уточнение Пр.1-24'!H106</f>
        <v>0</v>
      </c>
    </row>
    <row r="107" spans="1:8" x14ac:dyDescent="0.2">
      <c r="A107" s="632">
        <v>96</v>
      </c>
      <c r="B107" s="633" t="s">
        <v>205</v>
      </c>
      <c r="C107" s="634" t="s">
        <v>206</v>
      </c>
      <c r="D107" s="830">
        <f t="shared" si="3"/>
        <v>9325</v>
      </c>
      <c r="E107" s="834">
        <f>'[11]Пос с др.целями Пр.19-23   '!E107+'[11]Уточнение Пр.1-24'!E107</f>
        <v>0</v>
      </c>
      <c r="F107" s="834">
        <f>'[11]Пос с др.целями Пр.19-23   '!F107+'[11]Уточнение Пр.1-24'!F107</f>
        <v>2315</v>
      </c>
      <c r="G107" s="834">
        <f>'[11]Пос с др.целями Пр.19-23   '!G107+'[11]Уточнение Пр.1-24'!G107</f>
        <v>7010</v>
      </c>
      <c r="H107" s="834">
        <f>'[11]Пос с др.целями Пр.19-23   '!H107+'[11]Уточнение Пр.1-24'!H107</f>
        <v>0</v>
      </c>
    </row>
    <row r="108" spans="1:8" x14ac:dyDescent="0.2">
      <c r="A108" s="632">
        <v>97</v>
      </c>
      <c r="B108" s="635" t="s">
        <v>207</v>
      </c>
      <c r="C108" s="634" t="s">
        <v>208</v>
      </c>
      <c r="D108" s="830">
        <f t="shared" si="3"/>
        <v>24731</v>
      </c>
      <c r="E108" s="834">
        <f>'[11]Пос с др.целями Пр.19-23   '!E108+'[11]Уточнение Пр.1-24'!E108</f>
        <v>0</v>
      </c>
      <c r="F108" s="834">
        <f>'[11]Пос с др.целями Пр.19-23   '!F108+'[11]Уточнение Пр.1-24'!F108</f>
        <v>2963</v>
      </c>
      <c r="G108" s="834">
        <f>'[11]Пос с др.целями Пр.19-23   '!G108+'[11]Уточнение Пр.1-24'!G108</f>
        <v>15699</v>
      </c>
      <c r="H108" s="834">
        <f>'[11]Пос с др.целями Пр.19-23   '!H108+'[11]Уточнение Пр.1-24'!H108</f>
        <v>6069</v>
      </c>
    </row>
    <row r="109" spans="1:8" x14ac:dyDescent="0.2">
      <c r="A109" s="632">
        <v>98</v>
      </c>
      <c r="B109" s="636" t="s">
        <v>209</v>
      </c>
      <c r="C109" s="637" t="s">
        <v>210</v>
      </c>
      <c r="D109" s="830">
        <f t="shared" si="3"/>
        <v>12635</v>
      </c>
      <c r="E109" s="834">
        <f>'[11]Пос с др.целями Пр.19-23   '!E109+'[11]Уточнение Пр.1-24'!E109</f>
        <v>0</v>
      </c>
      <c r="F109" s="834">
        <f>'[11]Пос с др.целями Пр.19-23   '!F109+'[11]Уточнение Пр.1-24'!F109</f>
        <v>5481</v>
      </c>
      <c r="G109" s="834">
        <f>'[11]Пос с др.целями Пр.19-23   '!G109+'[11]Уточнение Пр.1-24'!G109</f>
        <v>7154</v>
      </c>
      <c r="H109" s="834">
        <f>'[11]Пос с др.целями Пр.19-23   '!H109+'[11]Уточнение Пр.1-24'!H109</f>
        <v>0</v>
      </c>
    </row>
    <row r="110" spans="1:8" x14ac:dyDescent="0.2">
      <c r="A110" s="632">
        <v>99</v>
      </c>
      <c r="B110" s="636" t="s">
        <v>211</v>
      </c>
      <c r="C110" s="637" t="s">
        <v>212</v>
      </c>
      <c r="D110" s="830">
        <f t="shared" si="3"/>
        <v>12448</v>
      </c>
      <c r="E110" s="834">
        <f>'[11]Пос с др.целями Пр.19-23   '!E110+'[11]Уточнение Пр.1-24'!E110</f>
        <v>0</v>
      </c>
      <c r="F110" s="834">
        <f>'[11]Пос с др.целями Пр.19-23   '!F110+'[11]Уточнение Пр.1-24'!F110</f>
        <v>3452</v>
      </c>
      <c r="G110" s="834">
        <f>'[11]Пос с др.целями Пр.19-23   '!G110+'[11]Уточнение Пр.1-24'!G110</f>
        <v>8996</v>
      </c>
      <c r="H110" s="834">
        <f>'[11]Пос с др.целями Пр.19-23   '!H110+'[11]Уточнение Пр.1-24'!H110</f>
        <v>0</v>
      </c>
    </row>
    <row r="111" spans="1:8" x14ac:dyDescent="0.2">
      <c r="A111" s="632">
        <v>100</v>
      </c>
      <c r="B111" s="633" t="s">
        <v>213</v>
      </c>
      <c r="C111" s="634" t="s">
        <v>214</v>
      </c>
      <c r="D111" s="830">
        <f t="shared" si="3"/>
        <v>25369</v>
      </c>
      <c r="E111" s="834">
        <f>'[11]Пос с др.целями Пр.19-23   '!E111+'[11]Уточнение Пр.1-24'!E111</f>
        <v>0</v>
      </c>
      <c r="F111" s="834">
        <f>'[11]Пос с др.целями Пр.19-23   '!F111+'[11]Уточнение Пр.1-24'!F111</f>
        <v>4880</v>
      </c>
      <c r="G111" s="834">
        <f>'[11]Пос с др.целями Пр.19-23   '!G111+'[11]Уточнение Пр.1-24'!G111</f>
        <v>20489</v>
      </c>
      <c r="H111" s="834">
        <f>'[11]Пос с др.целями Пр.19-23   '!H111+'[11]Уточнение Пр.1-24'!H111</f>
        <v>0</v>
      </c>
    </row>
    <row r="112" spans="1:8" x14ac:dyDescent="0.2">
      <c r="A112" s="632">
        <v>101</v>
      </c>
      <c r="B112" s="635" t="s">
        <v>215</v>
      </c>
      <c r="C112" s="634" t="s">
        <v>216</v>
      </c>
      <c r="D112" s="830">
        <f t="shared" si="3"/>
        <v>5785</v>
      </c>
      <c r="E112" s="834">
        <f>'[11]Пос с др.целями Пр.19-23   '!E112+'[11]Уточнение Пр.1-24'!E112</f>
        <v>0</v>
      </c>
      <c r="F112" s="834">
        <f>'[11]Пос с др.целями Пр.19-23   '!F112+'[11]Уточнение Пр.1-24'!F112</f>
        <v>1477</v>
      </c>
      <c r="G112" s="834">
        <f>'[11]Пос с др.целями Пр.19-23   '!G112+'[11]Уточнение Пр.1-24'!G112</f>
        <v>4308</v>
      </c>
      <c r="H112" s="834">
        <f>'[11]Пос с др.целями Пр.19-23   '!H112+'[11]Уточнение Пр.1-24'!H112</f>
        <v>0</v>
      </c>
    </row>
    <row r="113" spans="1:8" x14ac:dyDescent="0.2">
      <c r="A113" s="632">
        <v>102</v>
      </c>
      <c r="B113" s="633" t="s">
        <v>217</v>
      </c>
      <c r="C113" s="637" t="s">
        <v>218</v>
      </c>
      <c r="D113" s="830">
        <f t="shared" si="3"/>
        <v>0</v>
      </c>
      <c r="E113" s="834">
        <f>'[11]Пос с др.целями Пр.19-23   '!E113+'[11]Уточнение Пр.1-24'!E113</f>
        <v>0</v>
      </c>
      <c r="F113" s="834">
        <f>'[11]Пос с др.целями Пр.19-23   '!F113+'[11]Уточнение Пр.1-24'!F113</f>
        <v>0</v>
      </c>
      <c r="G113" s="834">
        <f>'[11]Пос с др.целями Пр.19-23   '!G113+'[11]Уточнение Пр.1-24'!G113</f>
        <v>0</v>
      </c>
      <c r="H113" s="834">
        <f>'[11]Пос с др.целями Пр.19-23   '!H113+'[11]Уточнение Пр.1-24'!H113</f>
        <v>0</v>
      </c>
    </row>
    <row r="114" spans="1:8" x14ac:dyDescent="0.2">
      <c r="A114" s="632">
        <v>103</v>
      </c>
      <c r="B114" s="633" t="s">
        <v>219</v>
      </c>
      <c r="C114" s="634" t="s">
        <v>220</v>
      </c>
      <c r="D114" s="830">
        <f t="shared" si="3"/>
        <v>0</v>
      </c>
      <c r="E114" s="834">
        <f>'[11]Пос с др.целями Пр.19-23   '!E114+'[11]Уточнение Пр.1-24'!E114</f>
        <v>0</v>
      </c>
      <c r="F114" s="834">
        <f>'[11]Пос с др.целями Пр.19-23   '!F114+'[11]Уточнение Пр.1-24'!F114</f>
        <v>0</v>
      </c>
      <c r="G114" s="834">
        <f>'[11]Пос с др.целями Пр.19-23   '!G114+'[11]Уточнение Пр.1-24'!G114</f>
        <v>0</v>
      </c>
      <c r="H114" s="834">
        <f>'[11]Пос с др.целями Пр.19-23   '!H114+'[11]Уточнение Пр.1-24'!H114</f>
        <v>0</v>
      </c>
    </row>
    <row r="115" spans="1:8" x14ac:dyDescent="0.2">
      <c r="A115" s="632">
        <v>104</v>
      </c>
      <c r="B115" s="636" t="s">
        <v>221</v>
      </c>
      <c r="C115" s="637" t="s">
        <v>222</v>
      </c>
      <c r="D115" s="830">
        <f t="shared" si="3"/>
        <v>0</v>
      </c>
      <c r="E115" s="834">
        <f>'[11]Пос с др.целями Пр.19-23   '!E115+'[11]Уточнение Пр.1-24'!E115</f>
        <v>0</v>
      </c>
      <c r="F115" s="834">
        <f>'[11]Пос с др.целями Пр.19-23   '!F115+'[11]Уточнение Пр.1-24'!F115</f>
        <v>0</v>
      </c>
      <c r="G115" s="834">
        <f>'[11]Пос с др.целями Пр.19-23   '!G115+'[11]Уточнение Пр.1-24'!G115</f>
        <v>0</v>
      </c>
      <c r="H115" s="834">
        <f>'[11]Пос с др.целями Пр.19-23   '!H115+'[11]Уточнение Пр.1-24'!H115</f>
        <v>0</v>
      </c>
    </row>
    <row r="116" spans="1:8" x14ac:dyDescent="0.2">
      <c r="A116" s="632">
        <v>105</v>
      </c>
      <c r="B116" s="636" t="s">
        <v>223</v>
      </c>
      <c r="C116" s="637" t="s">
        <v>224</v>
      </c>
      <c r="D116" s="830">
        <f t="shared" si="3"/>
        <v>0</v>
      </c>
      <c r="E116" s="834">
        <f>'[11]Пос с др.целями Пр.19-23   '!E116+'[11]Уточнение Пр.1-24'!E116</f>
        <v>0</v>
      </c>
      <c r="F116" s="834">
        <f>'[11]Пос с др.целями Пр.19-23   '!F116+'[11]Уточнение Пр.1-24'!F116</f>
        <v>0</v>
      </c>
      <c r="G116" s="834">
        <f>'[11]Пос с др.целями Пр.19-23   '!G116+'[11]Уточнение Пр.1-24'!G116</f>
        <v>0</v>
      </c>
      <c r="H116" s="834">
        <f>'[11]Пос с др.целями Пр.19-23   '!H116+'[11]Уточнение Пр.1-24'!H116</f>
        <v>0</v>
      </c>
    </row>
    <row r="117" spans="1:8" x14ac:dyDescent="0.2">
      <c r="A117" s="632">
        <v>106</v>
      </c>
      <c r="B117" s="636" t="s">
        <v>225</v>
      </c>
      <c r="C117" s="637" t="s">
        <v>226</v>
      </c>
      <c r="D117" s="830">
        <f t="shared" si="3"/>
        <v>0</v>
      </c>
      <c r="E117" s="834">
        <f>'[11]Пос с др.целями Пр.19-23   '!E117+'[11]Уточнение Пр.1-24'!E117</f>
        <v>0</v>
      </c>
      <c r="F117" s="834">
        <f>'[11]Пос с др.целями Пр.19-23   '!F117+'[11]Уточнение Пр.1-24'!F117</f>
        <v>0</v>
      </c>
      <c r="G117" s="834">
        <f>'[11]Пос с др.целями Пр.19-23   '!G117+'[11]Уточнение Пр.1-24'!G117</f>
        <v>0</v>
      </c>
      <c r="H117" s="834">
        <f>'[11]Пос с др.целями Пр.19-23   '!H117+'[11]Уточнение Пр.1-24'!H117</f>
        <v>0</v>
      </c>
    </row>
    <row r="118" spans="1:8" ht="24" x14ac:dyDescent="0.2">
      <c r="A118" s="632">
        <v>107</v>
      </c>
      <c r="B118" s="636" t="s">
        <v>227</v>
      </c>
      <c r="C118" s="637" t="s">
        <v>228</v>
      </c>
      <c r="D118" s="830">
        <f t="shared" si="3"/>
        <v>0</v>
      </c>
      <c r="E118" s="834">
        <f>'[11]Пос с др.целями Пр.19-23   '!E118+'[11]Уточнение Пр.1-24'!E118</f>
        <v>0</v>
      </c>
      <c r="F118" s="834">
        <f>'[11]Пос с др.целями Пр.19-23   '!F118+'[11]Уточнение Пр.1-24'!F118</f>
        <v>0</v>
      </c>
      <c r="G118" s="834">
        <f>'[11]Пос с др.целями Пр.19-23   '!G118+'[11]Уточнение Пр.1-24'!G118</f>
        <v>0</v>
      </c>
      <c r="H118" s="834">
        <f>'[11]Пос с др.целями Пр.19-23   '!H118+'[11]Уточнение Пр.1-24'!H118</f>
        <v>0</v>
      </c>
    </row>
    <row r="119" spans="1:8" x14ac:dyDescent="0.2">
      <c r="A119" s="632">
        <v>108</v>
      </c>
      <c r="B119" s="636" t="s">
        <v>229</v>
      </c>
      <c r="C119" s="637" t="s">
        <v>230</v>
      </c>
      <c r="D119" s="830">
        <f t="shared" si="3"/>
        <v>0</v>
      </c>
      <c r="E119" s="834">
        <f>'[11]Пос с др.целями Пр.19-23   '!E119+'[11]Уточнение Пр.1-24'!E119</f>
        <v>0</v>
      </c>
      <c r="F119" s="834">
        <f>'[11]Пос с др.целями Пр.19-23   '!F119+'[11]Уточнение Пр.1-24'!F119</f>
        <v>0</v>
      </c>
      <c r="G119" s="834">
        <f>'[11]Пос с др.целями Пр.19-23   '!G119+'[11]Уточнение Пр.1-24'!G119</f>
        <v>0</v>
      </c>
      <c r="H119" s="834">
        <f>'[11]Пос с др.целями Пр.19-23   '!H119+'[11]Уточнение Пр.1-24'!H119</f>
        <v>0</v>
      </c>
    </row>
    <row r="120" spans="1:8" x14ac:dyDescent="0.2">
      <c r="A120" s="632">
        <v>109</v>
      </c>
      <c r="B120" s="636" t="s">
        <v>231</v>
      </c>
      <c r="C120" s="637" t="s">
        <v>232</v>
      </c>
      <c r="D120" s="830">
        <f t="shared" si="3"/>
        <v>0</v>
      </c>
      <c r="E120" s="834">
        <f>'[11]Пос с др.целями Пр.19-23   '!E120+'[11]Уточнение Пр.1-24'!E120</f>
        <v>0</v>
      </c>
      <c r="F120" s="834">
        <f>'[11]Пос с др.целями Пр.19-23   '!F120+'[11]Уточнение Пр.1-24'!F120</f>
        <v>0</v>
      </c>
      <c r="G120" s="834">
        <f>'[11]Пос с др.целями Пр.19-23   '!G120+'[11]Уточнение Пр.1-24'!G120</f>
        <v>0</v>
      </c>
      <c r="H120" s="834">
        <f>'[11]Пос с др.целями Пр.19-23   '!H120+'[11]Уточнение Пр.1-24'!H120</f>
        <v>0</v>
      </c>
    </row>
    <row r="121" spans="1:8" x14ac:dyDescent="0.2">
      <c r="A121" s="632">
        <v>110</v>
      </c>
      <c r="B121" s="643" t="s">
        <v>233</v>
      </c>
      <c r="C121" s="644" t="s">
        <v>234</v>
      </c>
      <c r="D121" s="830">
        <f t="shared" si="3"/>
        <v>0</v>
      </c>
      <c r="E121" s="834">
        <f>'[11]Пос с др.целями Пр.19-23   '!E121+'[11]Уточнение Пр.1-24'!E121</f>
        <v>0</v>
      </c>
      <c r="F121" s="834">
        <f>'[11]Пос с др.целями Пр.19-23   '!F121+'[11]Уточнение Пр.1-24'!F121</f>
        <v>0</v>
      </c>
      <c r="G121" s="834">
        <f>'[11]Пос с др.целями Пр.19-23   '!G121+'[11]Уточнение Пр.1-24'!G121</f>
        <v>0</v>
      </c>
      <c r="H121" s="834">
        <f>'[11]Пос с др.целями Пр.19-23   '!H121+'[11]Уточнение Пр.1-24'!H121</f>
        <v>0</v>
      </c>
    </row>
    <row r="122" spans="1:8" x14ac:dyDescent="0.2">
      <c r="A122" s="632">
        <v>111</v>
      </c>
      <c r="B122" s="643" t="s">
        <v>235</v>
      </c>
      <c r="C122" s="644" t="s">
        <v>236</v>
      </c>
      <c r="D122" s="830">
        <f t="shared" si="3"/>
        <v>0</v>
      </c>
      <c r="E122" s="834">
        <f>'[11]Пос с др.целями Пр.19-23   '!E122+'[11]Уточнение Пр.1-24'!E122</f>
        <v>0</v>
      </c>
      <c r="F122" s="834">
        <f>'[11]Пос с др.целями Пр.19-23   '!F122+'[11]Уточнение Пр.1-24'!F122</f>
        <v>0</v>
      </c>
      <c r="G122" s="834">
        <f>'[11]Пос с др.целями Пр.19-23   '!G122+'[11]Уточнение Пр.1-24'!G122</f>
        <v>0</v>
      </c>
      <c r="H122" s="834">
        <f>'[11]Пос с др.целями Пр.19-23   '!H122+'[11]Уточнение Пр.1-24'!H122</f>
        <v>0</v>
      </c>
    </row>
    <row r="123" spans="1:8" x14ac:dyDescent="0.2">
      <c r="A123" s="632">
        <v>112</v>
      </c>
      <c r="B123" s="635" t="s">
        <v>237</v>
      </c>
      <c r="C123" s="634" t="s">
        <v>238</v>
      </c>
      <c r="D123" s="830">
        <f t="shared" si="3"/>
        <v>0</v>
      </c>
      <c r="E123" s="834">
        <f>'[11]Пос с др.целями Пр.19-23   '!E123+'[11]Уточнение Пр.1-24'!E123</f>
        <v>0</v>
      </c>
      <c r="F123" s="834">
        <f>'[11]Пос с др.целями Пр.19-23   '!F123+'[11]Уточнение Пр.1-24'!F123</f>
        <v>0</v>
      </c>
      <c r="G123" s="834">
        <f>'[11]Пос с др.целями Пр.19-23   '!G123+'[11]Уточнение Пр.1-24'!G123</f>
        <v>0</v>
      </c>
      <c r="H123" s="834">
        <f>'[11]Пос с др.целями Пр.19-23   '!H123+'[11]Уточнение Пр.1-24'!H123</f>
        <v>0</v>
      </c>
    </row>
    <row r="124" spans="1:8" x14ac:dyDescent="0.2">
      <c r="A124" s="632">
        <v>113</v>
      </c>
      <c r="B124" s="636" t="s">
        <v>239</v>
      </c>
      <c r="C124" s="637" t="s">
        <v>240</v>
      </c>
      <c r="D124" s="830">
        <f t="shared" si="3"/>
        <v>0</v>
      </c>
      <c r="E124" s="834">
        <f>'[11]Пос с др.целями Пр.19-23   '!E124+'[11]Уточнение Пр.1-24'!E124</f>
        <v>0</v>
      </c>
      <c r="F124" s="834">
        <f>'[11]Пос с др.целями Пр.19-23   '!F124+'[11]Уточнение Пр.1-24'!F124</f>
        <v>0</v>
      </c>
      <c r="G124" s="834">
        <f>'[11]Пос с др.целями Пр.19-23   '!G124+'[11]Уточнение Пр.1-24'!G124</f>
        <v>0</v>
      </c>
      <c r="H124" s="834">
        <f>'[11]Пос с др.целями Пр.19-23   '!H124+'[11]Уточнение Пр.1-24'!H124</f>
        <v>0</v>
      </c>
    </row>
    <row r="125" spans="1:8" ht="24" x14ac:dyDescent="0.2">
      <c r="A125" s="632">
        <v>114</v>
      </c>
      <c r="B125" s="633" t="s">
        <v>241</v>
      </c>
      <c r="C125" s="645" t="s">
        <v>242</v>
      </c>
      <c r="D125" s="830">
        <f t="shared" si="3"/>
        <v>0</v>
      </c>
      <c r="E125" s="834">
        <f>'[11]Пос с др.целями Пр.19-23   '!E125+'[11]Уточнение Пр.1-24'!E125</f>
        <v>0</v>
      </c>
      <c r="F125" s="834">
        <f>'[11]Пос с др.целями Пр.19-23   '!F125+'[11]Уточнение Пр.1-24'!F125</f>
        <v>0</v>
      </c>
      <c r="G125" s="834">
        <f>'[11]Пос с др.целями Пр.19-23   '!G125+'[11]Уточнение Пр.1-24'!G125</f>
        <v>0</v>
      </c>
      <c r="H125" s="834">
        <f>'[11]Пос с др.целями Пр.19-23   '!H125+'[11]Уточнение Пр.1-24'!H125</f>
        <v>0</v>
      </c>
    </row>
    <row r="126" spans="1:8" x14ac:dyDescent="0.2">
      <c r="A126" s="632">
        <v>115</v>
      </c>
      <c r="B126" s="636" t="s">
        <v>243</v>
      </c>
      <c r="C126" s="32" t="s">
        <v>385</v>
      </c>
      <c r="D126" s="830">
        <f t="shared" si="3"/>
        <v>0</v>
      </c>
      <c r="E126" s="834">
        <f>'[11]Пос с др.целями Пр.19-23   '!E126+'[11]Уточнение Пр.1-24'!E126</f>
        <v>0</v>
      </c>
      <c r="F126" s="834">
        <f>'[11]Пос с др.целями Пр.19-23   '!F126+'[11]Уточнение Пр.1-24'!F126</f>
        <v>0</v>
      </c>
      <c r="G126" s="834">
        <f>'[11]Пос с др.целями Пр.19-23   '!G126+'[11]Уточнение Пр.1-24'!G126</f>
        <v>0</v>
      </c>
      <c r="H126" s="834">
        <f>'[11]Пос с др.целями Пр.19-23   '!H126+'[11]Уточнение Пр.1-24'!H126</f>
        <v>0</v>
      </c>
    </row>
    <row r="127" spans="1:8" x14ac:dyDescent="0.2">
      <c r="A127" s="632">
        <v>116</v>
      </c>
      <c r="B127" s="635" t="s">
        <v>244</v>
      </c>
      <c r="C127" s="637" t="s">
        <v>245</v>
      </c>
      <c r="D127" s="830">
        <f t="shared" si="3"/>
        <v>0</v>
      </c>
      <c r="E127" s="834">
        <f>'[11]Пос с др.целями Пр.19-23   '!E127+'[11]Уточнение Пр.1-24'!E127</f>
        <v>0</v>
      </c>
      <c r="F127" s="834">
        <f>'[11]Пос с др.целями Пр.19-23   '!F127+'[11]Уточнение Пр.1-24'!F127</f>
        <v>0</v>
      </c>
      <c r="G127" s="834">
        <f>'[11]Пос с др.целями Пр.19-23   '!G127+'[11]Уточнение Пр.1-24'!G127</f>
        <v>0</v>
      </c>
      <c r="H127" s="834">
        <f>'[11]Пос с др.целями Пр.19-23   '!H127+'[11]Уточнение Пр.1-24'!H127</f>
        <v>0</v>
      </c>
    </row>
    <row r="128" spans="1:8" x14ac:dyDescent="0.2">
      <c r="A128" s="632">
        <v>117</v>
      </c>
      <c r="B128" s="635" t="s">
        <v>246</v>
      </c>
      <c r="C128" s="637" t="s">
        <v>247</v>
      </c>
      <c r="D128" s="830">
        <f t="shared" si="3"/>
        <v>0</v>
      </c>
      <c r="E128" s="834">
        <f>'[11]Пос с др.целями Пр.19-23   '!E128+'[11]Уточнение Пр.1-24'!E128</f>
        <v>0</v>
      </c>
      <c r="F128" s="834">
        <f>'[11]Пос с др.целями Пр.19-23   '!F128+'[11]Уточнение Пр.1-24'!F128</f>
        <v>0</v>
      </c>
      <c r="G128" s="834">
        <f>'[11]Пос с др.целями Пр.19-23   '!G128+'[11]Уточнение Пр.1-24'!G128</f>
        <v>0</v>
      </c>
      <c r="H128" s="834">
        <f>'[11]Пос с др.целями Пр.19-23   '!H128+'[11]Уточнение Пр.1-24'!H128</f>
        <v>0</v>
      </c>
    </row>
    <row r="129" spans="1:8" x14ac:dyDescent="0.2">
      <c r="A129" s="632">
        <v>118</v>
      </c>
      <c r="B129" s="635" t="s">
        <v>248</v>
      </c>
      <c r="C129" s="637" t="s">
        <v>249</v>
      </c>
      <c r="D129" s="830">
        <f t="shared" si="3"/>
        <v>0</v>
      </c>
      <c r="E129" s="834">
        <f>'[11]Пос с др.целями Пр.19-23   '!E129+'[11]Уточнение Пр.1-24'!E129</f>
        <v>0</v>
      </c>
      <c r="F129" s="834">
        <f>'[11]Пос с др.целями Пр.19-23   '!F129+'[11]Уточнение Пр.1-24'!F129</f>
        <v>0</v>
      </c>
      <c r="G129" s="834">
        <f>'[11]Пос с др.целями Пр.19-23   '!G129+'[11]Уточнение Пр.1-24'!G129</f>
        <v>0</v>
      </c>
      <c r="H129" s="834">
        <f>'[11]Пос с др.целями Пр.19-23   '!H129+'[11]Уточнение Пр.1-24'!H129</f>
        <v>0</v>
      </c>
    </row>
    <row r="130" spans="1:8" x14ac:dyDescent="0.2">
      <c r="A130" s="632">
        <v>119</v>
      </c>
      <c r="B130" s="633" t="s">
        <v>250</v>
      </c>
      <c r="C130" s="634" t="s">
        <v>251</v>
      </c>
      <c r="D130" s="830">
        <f t="shared" si="3"/>
        <v>0</v>
      </c>
      <c r="E130" s="834">
        <f>'[11]Пос с др.целями Пр.19-23   '!E130+'[11]Уточнение Пр.1-24'!E130</f>
        <v>0</v>
      </c>
      <c r="F130" s="834">
        <f>'[11]Пос с др.целями Пр.19-23   '!F130+'[11]Уточнение Пр.1-24'!F130</f>
        <v>0</v>
      </c>
      <c r="G130" s="834">
        <f>'[11]Пос с др.целями Пр.19-23   '!G130+'[11]Уточнение Пр.1-24'!G130</f>
        <v>0</v>
      </c>
      <c r="H130" s="834">
        <f>'[11]Пос с др.целями Пр.19-23   '!H130+'[11]Уточнение Пр.1-24'!H130</f>
        <v>0</v>
      </c>
    </row>
    <row r="131" spans="1:8" x14ac:dyDescent="0.2">
      <c r="A131" s="632">
        <v>120</v>
      </c>
      <c r="B131" s="635" t="s">
        <v>252</v>
      </c>
      <c r="C131" s="634" t="s">
        <v>253</v>
      </c>
      <c r="D131" s="830">
        <f t="shared" si="3"/>
        <v>0</v>
      </c>
      <c r="E131" s="834">
        <f>'[11]Пос с др.целями Пр.19-23   '!E131+'[11]Уточнение Пр.1-24'!E131</f>
        <v>0</v>
      </c>
      <c r="F131" s="834">
        <f>'[11]Пос с др.целями Пр.19-23   '!F131+'[11]Уточнение Пр.1-24'!F131</f>
        <v>0</v>
      </c>
      <c r="G131" s="834">
        <f>'[11]Пос с др.целями Пр.19-23   '!G131+'[11]Уточнение Пр.1-24'!G131</f>
        <v>0</v>
      </c>
      <c r="H131" s="834">
        <f>'[11]Пос с др.целями Пр.19-23   '!H131+'[11]Уточнение Пр.1-24'!H131</f>
        <v>0</v>
      </c>
    </row>
    <row r="132" spans="1:8" x14ac:dyDescent="0.2">
      <c r="A132" s="632">
        <v>121</v>
      </c>
      <c r="B132" s="636" t="s">
        <v>254</v>
      </c>
      <c r="C132" s="637" t="s">
        <v>255</v>
      </c>
      <c r="D132" s="830">
        <f t="shared" si="3"/>
        <v>0</v>
      </c>
      <c r="E132" s="834">
        <f>'[11]Пос с др.целями Пр.19-23   '!E132+'[11]Уточнение Пр.1-24'!E132</f>
        <v>0</v>
      </c>
      <c r="F132" s="834">
        <f>'[11]Пос с др.целями Пр.19-23   '!F132+'[11]Уточнение Пр.1-24'!F132</f>
        <v>0</v>
      </c>
      <c r="G132" s="834">
        <f>'[11]Пос с др.целями Пр.19-23   '!G132+'[11]Уточнение Пр.1-24'!G132</f>
        <v>0</v>
      </c>
      <c r="H132" s="834">
        <f>'[11]Пос с др.целями Пр.19-23   '!H132+'[11]Уточнение Пр.1-24'!H132</f>
        <v>0</v>
      </c>
    </row>
    <row r="133" spans="1:8" x14ac:dyDescent="0.2">
      <c r="A133" s="632">
        <v>122</v>
      </c>
      <c r="B133" s="636" t="s">
        <v>256</v>
      </c>
      <c r="C133" s="637" t="s">
        <v>257</v>
      </c>
      <c r="D133" s="830">
        <f t="shared" si="3"/>
        <v>0</v>
      </c>
      <c r="E133" s="834">
        <f>'[11]Пос с др.целями Пр.19-23   '!E133+'[11]Уточнение Пр.1-24'!E133</f>
        <v>0</v>
      </c>
      <c r="F133" s="834">
        <f>'[11]Пос с др.целями Пр.19-23   '!F133+'[11]Уточнение Пр.1-24'!F133</f>
        <v>0</v>
      </c>
      <c r="G133" s="834">
        <f>'[11]Пос с др.целями Пр.19-23   '!G133+'[11]Уточнение Пр.1-24'!G133</f>
        <v>0</v>
      </c>
      <c r="H133" s="834">
        <f>'[11]Пос с др.целями Пр.19-23   '!H133+'[11]Уточнение Пр.1-24'!H133</f>
        <v>0</v>
      </c>
    </row>
    <row r="134" spans="1:8" x14ac:dyDescent="0.2">
      <c r="A134" s="632">
        <v>123</v>
      </c>
      <c r="B134" s="636" t="s">
        <v>258</v>
      </c>
      <c r="C134" s="637" t="s">
        <v>259</v>
      </c>
      <c r="D134" s="830">
        <f t="shared" si="3"/>
        <v>0</v>
      </c>
      <c r="E134" s="834">
        <f>'[11]Пос с др.целями Пр.19-23   '!E134+'[11]Уточнение Пр.1-24'!E134</f>
        <v>0</v>
      </c>
      <c r="F134" s="834">
        <f>'[11]Пос с др.целями Пр.19-23   '!F134+'[11]Уточнение Пр.1-24'!F134</f>
        <v>0</v>
      </c>
      <c r="G134" s="834">
        <f>'[11]Пос с др.целями Пр.19-23   '!G134+'[11]Уточнение Пр.1-24'!G134</f>
        <v>0</v>
      </c>
      <c r="H134" s="834">
        <f>'[11]Пос с др.целями Пр.19-23   '!H134+'[11]Уточнение Пр.1-24'!H134</f>
        <v>0</v>
      </c>
    </row>
    <row r="135" spans="1:8" x14ac:dyDescent="0.2">
      <c r="A135" s="632">
        <v>124</v>
      </c>
      <c r="B135" s="636" t="s">
        <v>260</v>
      </c>
      <c r="C135" s="637" t="s">
        <v>261</v>
      </c>
      <c r="D135" s="830">
        <f t="shared" si="3"/>
        <v>0</v>
      </c>
      <c r="E135" s="834">
        <f>'[11]Пос с др.целями Пр.19-23   '!E135+'[11]Уточнение Пр.1-24'!E135</f>
        <v>0</v>
      </c>
      <c r="F135" s="834">
        <f>'[11]Пос с др.целями Пр.19-23   '!F135+'[11]Уточнение Пр.1-24'!F135</f>
        <v>0</v>
      </c>
      <c r="G135" s="834">
        <f>'[11]Пос с др.целями Пр.19-23   '!G135+'[11]Уточнение Пр.1-24'!G135</f>
        <v>0</v>
      </c>
      <c r="H135" s="834">
        <f>'[11]Пос с др.целями Пр.19-23   '!H135+'[11]Уточнение Пр.1-24'!H135</f>
        <v>0</v>
      </c>
    </row>
    <row r="136" spans="1:8" x14ac:dyDescent="0.2">
      <c r="A136" s="632">
        <v>125</v>
      </c>
      <c r="B136" s="636" t="s">
        <v>262</v>
      </c>
      <c r="C136" s="637" t="s">
        <v>263</v>
      </c>
      <c r="D136" s="830">
        <f t="shared" si="3"/>
        <v>0</v>
      </c>
      <c r="E136" s="834">
        <f>'[11]Пос с др.целями Пр.19-23   '!E136+'[11]Уточнение Пр.1-24'!E136</f>
        <v>0</v>
      </c>
      <c r="F136" s="834">
        <f>'[11]Пос с др.целями Пр.19-23   '!F136+'[11]Уточнение Пр.1-24'!F136</f>
        <v>0</v>
      </c>
      <c r="G136" s="834">
        <f>'[11]Пос с др.целями Пр.19-23   '!G136+'[11]Уточнение Пр.1-24'!G136</f>
        <v>0</v>
      </c>
      <c r="H136" s="834">
        <f>'[11]Пос с др.целями Пр.19-23   '!H136+'[11]Уточнение Пр.1-24'!H136</f>
        <v>0</v>
      </c>
    </row>
    <row r="137" spans="1:8" x14ac:dyDescent="0.2">
      <c r="A137" s="632">
        <v>126</v>
      </c>
      <c r="B137" s="633" t="s">
        <v>264</v>
      </c>
      <c r="C137" s="634" t="s">
        <v>265</v>
      </c>
      <c r="D137" s="830">
        <f t="shared" si="3"/>
        <v>0</v>
      </c>
      <c r="E137" s="834">
        <f>'[11]Пос с др.целями Пр.19-23   '!E137+'[11]Уточнение Пр.1-24'!E137</f>
        <v>0</v>
      </c>
      <c r="F137" s="834">
        <f>'[11]Пос с др.целями Пр.19-23   '!F137+'[11]Уточнение Пр.1-24'!F137</f>
        <v>0</v>
      </c>
      <c r="G137" s="834">
        <f>'[11]Пос с др.целями Пр.19-23   '!G137+'[11]Уточнение Пр.1-24'!G137</f>
        <v>0</v>
      </c>
      <c r="H137" s="834">
        <f>'[11]Пос с др.целями Пр.19-23   '!H137+'[11]Уточнение Пр.1-24'!H137</f>
        <v>0</v>
      </c>
    </row>
    <row r="138" spans="1:8" x14ac:dyDescent="0.2">
      <c r="A138" s="632">
        <v>127</v>
      </c>
      <c r="B138" s="633" t="s">
        <v>266</v>
      </c>
      <c r="C138" s="637" t="s">
        <v>267</v>
      </c>
      <c r="D138" s="830">
        <f t="shared" ref="D138:D151" si="4">E138+F138+G138+H138</f>
        <v>11801</v>
      </c>
      <c r="E138" s="834">
        <f>'[11]Пос с др.целями Пр.19-23   '!E138+'[11]Уточнение Пр.1-24'!E138</f>
        <v>11801</v>
      </c>
      <c r="F138" s="834">
        <f>'[11]Пос с др.целями Пр.19-23   '!F138+'[11]Уточнение Пр.1-24'!F138</f>
        <v>0</v>
      </c>
      <c r="G138" s="834">
        <f>'[11]Пос с др.целями Пр.19-23   '!G138+'[11]Уточнение Пр.1-24'!G138</f>
        <v>0</v>
      </c>
      <c r="H138" s="834">
        <f>'[11]Пос с др.целями Пр.19-23   '!H138+'[11]Уточнение Пр.1-24'!H138</f>
        <v>0</v>
      </c>
    </row>
    <row r="139" spans="1:8" x14ac:dyDescent="0.2">
      <c r="A139" s="632">
        <v>128</v>
      </c>
      <c r="B139" s="638" t="s">
        <v>268</v>
      </c>
      <c r="C139" s="32" t="s">
        <v>269</v>
      </c>
      <c r="D139" s="830">
        <f t="shared" si="4"/>
        <v>24131</v>
      </c>
      <c r="E139" s="834">
        <f>'[11]Пос с др.целями Пр.19-23   '!E139+'[11]Уточнение Пр.1-24'!E139</f>
        <v>24131</v>
      </c>
      <c r="F139" s="834">
        <f>'[11]Пос с др.целями Пр.19-23   '!F139+'[11]Уточнение Пр.1-24'!F139</f>
        <v>0</v>
      </c>
      <c r="G139" s="834">
        <f>'[11]Пос с др.целями Пр.19-23   '!G139+'[11]Уточнение Пр.1-24'!G139</f>
        <v>0</v>
      </c>
      <c r="H139" s="834">
        <f>'[11]Пос с др.целями Пр.19-23   '!H139+'[11]Уточнение Пр.1-24'!H139</f>
        <v>0</v>
      </c>
    </row>
    <row r="140" spans="1:8" x14ac:dyDescent="0.2">
      <c r="A140" s="632">
        <v>129</v>
      </c>
      <c r="B140" s="636" t="s">
        <v>270</v>
      </c>
      <c r="C140" s="637" t="s">
        <v>271</v>
      </c>
      <c r="D140" s="830">
        <f t="shared" si="4"/>
        <v>0</v>
      </c>
      <c r="E140" s="834">
        <f>'[11]Пос с др.целями Пр.19-23   '!E140+'[11]Уточнение Пр.1-24'!E140</f>
        <v>0</v>
      </c>
      <c r="F140" s="834">
        <f>'[11]Пос с др.целями Пр.19-23   '!F140+'[11]Уточнение Пр.1-24'!F140</f>
        <v>0</v>
      </c>
      <c r="G140" s="834">
        <f>'[11]Пос с др.целями Пр.19-23   '!G140+'[11]Уточнение Пр.1-24'!G140</f>
        <v>0</v>
      </c>
      <c r="H140" s="834">
        <f>'[11]Пос с др.целями Пр.19-23   '!H140+'[11]Уточнение Пр.1-24'!H140</f>
        <v>0</v>
      </c>
    </row>
    <row r="141" spans="1:8" x14ac:dyDescent="0.2">
      <c r="A141" s="632">
        <v>130</v>
      </c>
      <c r="B141" s="636" t="s">
        <v>272</v>
      </c>
      <c r="C141" s="637" t="s">
        <v>273</v>
      </c>
      <c r="D141" s="830">
        <f t="shared" si="4"/>
        <v>12487</v>
      </c>
      <c r="E141" s="834">
        <f>'[11]Пос с др.целями Пр.19-23   '!E141+'[11]Уточнение Пр.1-24'!E141</f>
        <v>0</v>
      </c>
      <c r="F141" s="834">
        <f>'[11]Пос с др.целями Пр.19-23   '!F141+'[11]Уточнение Пр.1-24'!F141</f>
        <v>0</v>
      </c>
      <c r="G141" s="834">
        <f>'[11]Пос с др.целями Пр.19-23   '!G141+'[11]Уточнение Пр.1-24'!G141</f>
        <v>0</v>
      </c>
      <c r="H141" s="834">
        <f>'[11]Пос с др.целями Пр.19-23   '!H141+'[11]Уточнение Пр.1-24'!H141</f>
        <v>12487</v>
      </c>
    </row>
    <row r="142" spans="1:8" x14ac:dyDescent="0.2">
      <c r="A142" s="632">
        <v>131</v>
      </c>
      <c r="B142" s="636" t="s">
        <v>274</v>
      </c>
      <c r="C142" s="637" t="s">
        <v>275</v>
      </c>
      <c r="D142" s="830">
        <f t="shared" si="4"/>
        <v>0</v>
      </c>
      <c r="E142" s="834">
        <f>'[11]Пос с др.целями Пр.19-23   '!E142+'[11]Уточнение Пр.1-24'!E142</f>
        <v>0</v>
      </c>
      <c r="F142" s="834">
        <f>'[11]Пос с др.целями Пр.19-23   '!F142+'[11]Уточнение Пр.1-24'!F142</f>
        <v>0</v>
      </c>
      <c r="G142" s="834">
        <f>'[11]Пос с др.целями Пр.19-23   '!G142+'[11]Уточнение Пр.1-24'!G142</f>
        <v>0</v>
      </c>
      <c r="H142" s="834">
        <f>'[11]Пос с др.целями Пр.19-23   '!H142+'[11]Уточнение Пр.1-24'!H142</f>
        <v>0</v>
      </c>
    </row>
    <row r="143" spans="1:8" x14ac:dyDescent="0.2">
      <c r="A143" s="632">
        <v>132</v>
      </c>
      <c r="B143" s="638" t="s">
        <v>276</v>
      </c>
      <c r="C143" s="32" t="s">
        <v>277</v>
      </c>
      <c r="D143" s="830">
        <f t="shared" si="4"/>
        <v>7770</v>
      </c>
      <c r="E143" s="834">
        <f>'[11]Пос с др.целями Пр.19-23   '!E143+'[11]Уточнение Пр.1-24'!E143</f>
        <v>0</v>
      </c>
      <c r="F143" s="834">
        <f>'[11]Пос с др.целями Пр.19-23   '!F143+'[11]Уточнение Пр.1-24'!F143</f>
        <v>3784</v>
      </c>
      <c r="G143" s="834">
        <f>'[11]Пос с др.целями Пр.19-23   '!G143+'[11]Уточнение Пр.1-24'!G143</f>
        <v>3986</v>
      </c>
      <c r="H143" s="834">
        <f>'[11]Пос с др.целями Пр.19-23   '!H143+'[11]Уточнение Пр.1-24'!H143</f>
        <v>0</v>
      </c>
    </row>
    <row r="144" spans="1:8" x14ac:dyDescent="0.2">
      <c r="A144" s="632">
        <v>133</v>
      </c>
      <c r="B144" s="635" t="s">
        <v>278</v>
      </c>
      <c r="C144" s="32" t="s">
        <v>279</v>
      </c>
      <c r="D144" s="830">
        <f t="shared" si="4"/>
        <v>61848</v>
      </c>
      <c r="E144" s="834">
        <f>'[11]Пос с др.целями Пр.19-23   '!E144+'[11]Уточнение Пр.1-24'!E144</f>
        <v>0</v>
      </c>
      <c r="F144" s="834">
        <f>'[11]Пос с др.целями Пр.19-23   '!F144+'[11]Уточнение Пр.1-24'!F144</f>
        <v>13890</v>
      </c>
      <c r="G144" s="834">
        <f>'[11]Пос с др.целями Пр.19-23   '!G144+'[11]Уточнение Пр.1-24'!G144</f>
        <v>47958</v>
      </c>
      <c r="H144" s="834">
        <f>'[11]Пос с др.целями Пр.19-23   '!H144+'[11]Уточнение Пр.1-24'!H144</f>
        <v>0</v>
      </c>
    </row>
    <row r="145" spans="1:8" x14ac:dyDescent="0.2">
      <c r="A145" s="632">
        <v>134</v>
      </c>
      <c r="B145" s="636" t="s">
        <v>280</v>
      </c>
      <c r="C145" s="637" t="s">
        <v>281</v>
      </c>
      <c r="D145" s="830">
        <f t="shared" si="4"/>
        <v>0</v>
      </c>
      <c r="E145" s="834">
        <f>'[11]Пос с др.целями Пр.19-23   '!E145+'[11]Уточнение Пр.1-24'!E145</f>
        <v>0</v>
      </c>
      <c r="F145" s="834">
        <f>'[11]Пос с др.целями Пр.19-23   '!F145+'[11]Уточнение Пр.1-24'!F145</f>
        <v>0</v>
      </c>
      <c r="G145" s="834">
        <f>'[11]Пос с др.целями Пр.19-23   '!G145+'[11]Уточнение Пр.1-24'!G145</f>
        <v>0</v>
      </c>
      <c r="H145" s="834">
        <f>'[11]Пос с др.целями Пр.19-23   '!H145+'[11]Уточнение Пр.1-24'!H145</f>
        <v>0</v>
      </c>
    </row>
    <row r="146" spans="1:8" x14ac:dyDescent="0.2">
      <c r="A146" s="632">
        <v>135</v>
      </c>
      <c r="B146" s="633" t="s">
        <v>282</v>
      </c>
      <c r="C146" s="634" t="s">
        <v>283</v>
      </c>
      <c r="D146" s="830">
        <f t="shared" si="4"/>
        <v>0</v>
      </c>
      <c r="E146" s="834">
        <f>'[11]Пос с др.целями Пр.19-23   '!E146+'[11]Уточнение Пр.1-24'!E146</f>
        <v>0</v>
      </c>
      <c r="F146" s="834">
        <f>'[11]Пос с др.целями Пр.19-23   '!F146+'[11]Уточнение Пр.1-24'!F146</f>
        <v>0</v>
      </c>
      <c r="G146" s="834">
        <f>'[11]Пос с др.целями Пр.19-23   '!G146+'[11]Уточнение Пр.1-24'!G146</f>
        <v>0</v>
      </c>
      <c r="H146" s="834">
        <f>'[11]Пос с др.целями Пр.19-23   '!H146+'[11]Уточнение Пр.1-24'!H146</f>
        <v>0</v>
      </c>
    </row>
    <row r="147" spans="1:8" ht="12.75" x14ac:dyDescent="0.2">
      <c r="A147" s="632">
        <v>136</v>
      </c>
      <c r="B147" s="646" t="s">
        <v>284</v>
      </c>
      <c r="C147" s="647" t="s">
        <v>285</v>
      </c>
      <c r="D147" s="830">
        <f t="shared" si="4"/>
        <v>0</v>
      </c>
      <c r="E147" s="834">
        <f>'[11]Пос с др.целями Пр.19-23   '!E147+'[11]Уточнение Пр.1-24'!E147</f>
        <v>0</v>
      </c>
      <c r="F147" s="834">
        <f>'[11]Пос с др.целями Пр.19-23   '!F147+'[11]Уточнение Пр.1-24'!F147</f>
        <v>0</v>
      </c>
      <c r="G147" s="834">
        <f>'[11]Пос с др.целями Пр.19-23   '!G147+'[11]Уточнение Пр.1-24'!G147</f>
        <v>0</v>
      </c>
      <c r="H147" s="834">
        <f>'[11]Пос с др.целями Пр.19-23   '!H147+'[11]Уточнение Пр.1-24'!H147</f>
        <v>0</v>
      </c>
    </row>
    <row r="148" spans="1:8" x14ac:dyDescent="0.2">
      <c r="A148" s="632">
        <v>137</v>
      </c>
      <c r="B148" s="40" t="s">
        <v>387</v>
      </c>
      <c r="C148" s="648" t="s">
        <v>388</v>
      </c>
      <c r="D148" s="830">
        <f t="shared" si="4"/>
        <v>0</v>
      </c>
      <c r="E148" s="834">
        <f>'[11]Пос с др.целями Пр.19-23   '!E148+'[11]Уточнение Пр.1-24'!E148</f>
        <v>0</v>
      </c>
      <c r="F148" s="834">
        <f>'[11]Пос с др.целями Пр.19-23   '!F148+'[11]Уточнение Пр.1-24'!F148</f>
        <v>0</v>
      </c>
      <c r="G148" s="834">
        <f>'[11]Пос с др.целями Пр.19-23   '!G148+'[11]Уточнение Пр.1-24'!G148</f>
        <v>0</v>
      </c>
      <c r="H148" s="835">
        <f>'[11]Пос с др.целями Пр.19-23   '!H148+'[11]Уточнение Пр.1-24'!H148</f>
        <v>0</v>
      </c>
    </row>
    <row r="149" spans="1:8" x14ac:dyDescent="0.2">
      <c r="A149" s="632">
        <v>138</v>
      </c>
      <c r="B149" s="41" t="s">
        <v>389</v>
      </c>
      <c r="C149" s="649" t="s">
        <v>390</v>
      </c>
      <c r="D149" s="830">
        <f t="shared" si="4"/>
        <v>0</v>
      </c>
      <c r="E149" s="834">
        <f>'[11]Пос с др.целями Пр.19-23   '!E149+'[11]Уточнение Пр.1-24'!E149</f>
        <v>0</v>
      </c>
      <c r="F149" s="834">
        <f>'[11]Пос с др.целями Пр.19-23   '!F149+'[11]Уточнение Пр.1-24'!F149</f>
        <v>0</v>
      </c>
      <c r="G149" s="834">
        <f>'[11]Пос с др.целями Пр.19-23   '!G149+'[11]Уточнение Пр.1-24'!G149</f>
        <v>0</v>
      </c>
      <c r="H149" s="835">
        <f>'[11]Пос с др.целями Пр.19-23   '!H149+'[11]Уточнение Пр.1-24'!H149</f>
        <v>0</v>
      </c>
    </row>
    <row r="150" spans="1:8" x14ac:dyDescent="0.2">
      <c r="A150" s="632">
        <v>139</v>
      </c>
      <c r="B150" s="42" t="s">
        <v>391</v>
      </c>
      <c r="C150" s="650" t="s">
        <v>392</v>
      </c>
      <c r="D150" s="830">
        <f t="shared" si="4"/>
        <v>0</v>
      </c>
      <c r="E150" s="834">
        <f>'[11]Пос с др.целями Пр.19-23   '!E150+'[11]Уточнение Пр.1-24'!E150</f>
        <v>0</v>
      </c>
      <c r="F150" s="834">
        <f>'[11]Пос с др.целями Пр.19-23   '!F150+'[11]Уточнение Пр.1-24'!F150</f>
        <v>0</v>
      </c>
      <c r="G150" s="834">
        <f>'[11]Пос с др.целями Пр.19-23   '!G150+'[11]Уточнение Пр.1-24'!G150</f>
        <v>0</v>
      </c>
      <c r="H150" s="835">
        <f>'[11]Пос с др.целями Пр.19-23   '!H150+'[11]Уточнение Пр.1-24'!H150</f>
        <v>0</v>
      </c>
    </row>
    <row r="151" spans="1:8" x14ac:dyDescent="0.2">
      <c r="A151" s="632">
        <v>140</v>
      </c>
      <c r="B151" s="632" t="s">
        <v>393</v>
      </c>
      <c r="C151" s="651" t="s">
        <v>394</v>
      </c>
      <c r="D151" s="830">
        <f t="shared" si="4"/>
        <v>0</v>
      </c>
      <c r="E151" s="834">
        <f>'[11]Пос с др.целями Пр.19-23   '!E151+'[11]Уточнение Пр.1-24'!E151</f>
        <v>0</v>
      </c>
      <c r="F151" s="834">
        <f>'[11]Пос с др.целями Пр.19-23   '!F151+'[11]Уточнение Пр.1-24'!F151</f>
        <v>0</v>
      </c>
      <c r="G151" s="834">
        <f>'[11]Пос с др.целями Пр.19-23   '!G151+'[11]Уточнение Пр.1-24'!G151</f>
        <v>0</v>
      </c>
      <c r="H151" s="835">
        <f>'[11]Пос с др.целями Пр.19-23   '!H151+'[11]Уточнение Пр.1-24'!H151</f>
        <v>0</v>
      </c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  <mergeCell ref="A7:C7"/>
    <mergeCell ref="A8:C8"/>
    <mergeCell ref="A9:C9"/>
    <mergeCell ref="A92:A94"/>
    <mergeCell ref="B92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55"/>
  <sheetViews>
    <sheetView workbookViewId="0">
      <pane xSplit="4" ySplit="9" topLeftCell="E140" activePane="bottomRight" state="frozen"/>
      <selection pane="topRight" activeCell="E1" sqref="E1"/>
      <selection pane="bottomLeft" activeCell="A10" sqref="A10"/>
      <selection pane="bottomRight" activeCell="C153" sqref="C153"/>
    </sheetView>
  </sheetViews>
  <sheetFormatPr defaultRowHeight="15" x14ac:dyDescent="0.25"/>
  <cols>
    <col min="1" max="2" width="9.140625" style="728"/>
    <col min="3" max="3" width="46.7109375" style="728" customWidth="1"/>
    <col min="4" max="4" width="14" style="728" customWidth="1"/>
    <col min="5" max="5" width="17.28515625" style="728" customWidth="1"/>
    <col min="6" max="6" width="9.140625" style="728"/>
    <col min="7" max="7" width="14.85546875" style="728" customWidth="1"/>
    <col min="8" max="8" width="16.7109375" style="728" customWidth="1"/>
    <col min="9" max="16384" width="9.140625" style="728"/>
  </cols>
  <sheetData>
    <row r="1" spans="1:8" ht="43.5" customHeight="1" x14ac:dyDescent="0.25">
      <c r="A1" s="1126" t="s">
        <v>743</v>
      </c>
      <c r="B1" s="1126"/>
      <c r="C1" s="1126"/>
      <c r="D1" s="1126"/>
      <c r="E1" s="1126"/>
      <c r="F1" s="1126"/>
      <c r="G1" s="1126"/>
      <c r="H1" s="1126"/>
    </row>
    <row r="2" spans="1:8" ht="32.25" customHeight="1" x14ac:dyDescent="0.25">
      <c r="A2" s="1082" t="s">
        <v>0</v>
      </c>
      <c r="B2" s="1083" t="s">
        <v>1</v>
      </c>
      <c r="C2" s="1082" t="s">
        <v>2</v>
      </c>
      <c r="D2" s="1127" t="s">
        <v>744</v>
      </c>
      <c r="E2" s="1128"/>
      <c r="F2" s="1128"/>
      <c r="G2" s="1128"/>
      <c r="H2" s="1129"/>
    </row>
    <row r="3" spans="1:8" x14ac:dyDescent="0.25">
      <c r="A3" s="1082"/>
      <c r="B3" s="1084"/>
      <c r="C3" s="1082"/>
      <c r="D3" s="1130" t="s">
        <v>3</v>
      </c>
      <c r="E3" s="1082" t="s">
        <v>4</v>
      </c>
      <c r="F3" s="1082"/>
      <c r="G3" s="1082"/>
      <c r="H3" s="1082"/>
    </row>
    <row r="4" spans="1:8" ht="39" customHeight="1" x14ac:dyDescent="0.25">
      <c r="A4" s="1082"/>
      <c r="B4" s="1084"/>
      <c r="C4" s="1082"/>
      <c r="D4" s="1130"/>
      <c r="E4" s="1131" t="s">
        <v>340</v>
      </c>
      <c r="F4" s="1087" t="s">
        <v>341</v>
      </c>
      <c r="G4" s="1087"/>
      <c r="H4" s="1087"/>
    </row>
    <row r="5" spans="1:8" ht="36" x14ac:dyDescent="0.25">
      <c r="A5" s="1082"/>
      <c r="B5" s="1084"/>
      <c r="C5" s="1082"/>
      <c r="D5" s="1130"/>
      <c r="E5" s="1132"/>
      <c r="F5" s="836" t="s">
        <v>297</v>
      </c>
      <c r="G5" s="837" t="s">
        <v>345</v>
      </c>
      <c r="H5" s="838" t="s">
        <v>346</v>
      </c>
    </row>
    <row r="6" spans="1:8" x14ac:dyDescent="0.25">
      <c r="A6" s="806">
        <v>1</v>
      </c>
      <c r="B6" s="806">
        <v>2</v>
      </c>
      <c r="C6" s="806">
        <v>3</v>
      </c>
      <c r="D6" s="839">
        <v>4</v>
      </c>
      <c r="E6" s="840">
        <v>5</v>
      </c>
      <c r="F6" s="840">
        <v>6</v>
      </c>
      <c r="G6" s="840">
        <v>7</v>
      </c>
      <c r="H6" s="840">
        <v>8</v>
      </c>
    </row>
    <row r="7" spans="1:8" x14ac:dyDescent="0.25">
      <c r="A7" s="1077" t="s">
        <v>6</v>
      </c>
      <c r="B7" s="1077"/>
      <c r="C7" s="1077"/>
      <c r="D7" s="841">
        <f>D8+D9</f>
        <v>572728</v>
      </c>
      <c r="E7" s="841">
        <f>E8+E9</f>
        <v>33793</v>
      </c>
      <c r="F7" s="841">
        <f>F8+F9</f>
        <v>538935</v>
      </c>
      <c r="G7" s="841">
        <f>G8+G9</f>
        <v>95136</v>
      </c>
      <c r="H7" s="841">
        <f t="shared" ref="H7" si="0">H8+H9</f>
        <v>443799</v>
      </c>
    </row>
    <row r="8" spans="1:8" x14ac:dyDescent="0.25">
      <c r="A8" s="1078" t="s">
        <v>14</v>
      </c>
      <c r="B8" s="1079"/>
      <c r="C8" s="1080"/>
      <c r="D8" s="839">
        <f t="shared" ref="D8" si="1">E8+F8</f>
        <v>0</v>
      </c>
      <c r="E8" s="840"/>
      <c r="F8" s="840"/>
      <c r="G8" s="840"/>
      <c r="H8" s="840"/>
    </row>
    <row r="9" spans="1:8" x14ac:dyDescent="0.25">
      <c r="A9" s="1078" t="s">
        <v>15</v>
      </c>
      <c r="B9" s="1079"/>
      <c r="C9" s="1080"/>
      <c r="D9" s="841">
        <f>E9+F9</f>
        <v>572728</v>
      </c>
      <c r="E9" s="841">
        <f>SUM(E10:E145)</f>
        <v>33793</v>
      </c>
      <c r="F9" s="841">
        <f>SUM(G9:H9)</f>
        <v>538935</v>
      </c>
      <c r="G9" s="841">
        <f>SUM(G10:G145)</f>
        <v>95136</v>
      </c>
      <c r="H9" s="841">
        <f>SUM(H10:H145)</f>
        <v>443799</v>
      </c>
    </row>
    <row r="10" spans="1:8" x14ac:dyDescent="0.25">
      <c r="A10" s="632">
        <v>1</v>
      </c>
      <c r="B10" s="633" t="s">
        <v>16</v>
      </c>
      <c r="C10" s="634" t="s">
        <v>17</v>
      </c>
      <c r="D10" s="840">
        <f t="shared" ref="D10:D73" si="2">E10+F10</f>
        <v>0</v>
      </c>
      <c r="E10" s="840">
        <f>'[12]Посещения СМП Пр.19-23  '!E10+'[12]Откл.Пр.1-24-Пр.19-23  '!E10</f>
        <v>0</v>
      </c>
      <c r="F10" s="840">
        <f t="shared" ref="F10:F73" si="3">SUM(G10:H10)</f>
        <v>0</v>
      </c>
      <c r="G10" s="840">
        <f>'[12]Посещения СМП Пр.19-23  '!G10+'[12]Откл.Пр.1-24-Пр.19-23  '!G10</f>
        <v>0</v>
      </c>
      <c r="H10" s="840">
        <f>'[12]Посещения СМП Пр.19-23  '!H10+'[12]Откл.Пр.1-24-Пр.19-23  '!H10</f>
        <v>0</v>
      </c>
    </row>
    <row r="11" spans="1:8" x14ac:dyDescent="0.25">
      <c r="A11" s="632">
        <v>2</v>
      </c>
      <c r="B11" s="635" t="s">
        <v>18</v>
      </c>
      <c r="C11" s="634" t="s">
        <v>19</v>
      </c>
      <c r="D11" s="840">
        <f t="shared" si="2"/>
        <v>2852</v>
      </c>
      <c r="E11" s="840">
        <f>'[12]Посещения СМП Пр.19-23  '!E11+'[12]Откл.Пр.1-24-Пр.19-23  '!E11</f>
        <v>0</v>
      </c>
      <c r="F11" s="840">
        <f t="shared" si="3"/>
        <v>2852</v>
      </c>
      <c r="G11" s="840">
        <f>'[12]Посещения СМП Пр.19-23  '!G11+'[12]Откл.Пр.1-24-Пр.19-23  '!G11</f>
        <v>0</v>
      </c>
      <c r="H11" s="840">
        <f>'[12]Посещения СМП Пр.19-23  '!H11+'[12]Откл.Пр.1-24-Пр.19-23  '!H11</f>
        <v>2852</v>
      </c>
    </row>
    <row r="12" spans="1:8" x14ac:dyDescent="0.25">
      <c r="A12" s="632">
        <v>3</v>
      </c>
      <c r="B12" s="636" t="s">
        <v>20</v>
      </c>
      <c r="C12" s="637" t="s">
        <v>21</v>
      </c>
      <c r="D12" s="840">
        <f t="shared" si="2"/>
        <v>24850</v>
      </c>
      <c r="E12" s="840">
        <f>'[12]Посещения СМП Пр.19-23  '!E12+'[12]Откл.Пр.1-24-Пр.19-23  '!E12</f>
        <v>0</v>
      </c>
      <c r="F12" s="840">
        <f t="shared" si="3"/>
        <v>24850</v>
      </c>
      <c r="G12" s="840">
        <f>'[12]Посещения СМП Пр.19-23  '!G12+'[12]Откл.Пр.1-24-Пр.19-23  '!G12</f>
        <v>285</v>
      </c>
      <c r="H12" s="840">
        <f>'[12]Посещения СМП Пр.19-23  '!H12+'[12]Откл.Пр.1-24-Пр.19-23  '!H12</f>
        <v>24565</v>
      </c>
    </row>
    <row r="13" spans="1:8" x14ac:dyDescent="0.25">
      <c r="A13" s="632">
        <v>4</v>
      </c>
      <c r="B13" s="633" t="s">
        <v>22</v>
      </c>
      <c r="C13" s="634" t="s">
        <v>23</v>
      </c>
      <c r="D13" s="840">
        <f t="shared" si="2"/>
        <v>2387</v>
      </c>
      <c r="E13" s="840">
        <f>'[12]Посещения СМП Пр.19-23  '!E13+'[12]Откл.Пр.1-24-Пр.19-23  '!E13</f>
        <v>0</v>
      </c>
      <c r="F13" s="840">
        <f t="shared" si="3"/>
        <v>2387</v>
      </c>
      <c r="G13" s="840">
        <f>'[12]Посещения СМП Пр.19-23  '!G13+'[12]Откл.Пр.1-24-Пр.19-23  '!G13</f>
        <v>0</v>
      </c>
      <c r="H13" s="840">
        <f>'[12]Посещения СМП Пр.19-23  '!H13+'[12]Откл.Пр.1-24-Пр.19-23  '!H13</f>
        <v>2387</v>
      </c>
    </row>
    <row r="14" spans="1:8" x14ac:dyDescent="0.25">
      <c r="A14" s="632">
        <v>5</v>
      </c>
      <c r="B14" s="633" t="s">
        <v>24</v>
      </c>
      <c r="C14" s="634" t="s">
        <v>25</v>
      </c>
      <c r="D14" s="840">
        <f t="shared" si="2"/>
        <v>6201</v>
      </c>
      <c r="E14" s="840">
        <f>'[12]Посещения СМП Пр.19-23  '!E14+'[12]Откл.Пр.1-24-Пр.19-23  '!E14</f>
        <v>0</v>
      </c>
      <c r="F14" s="840">
        <f t="shared" si="3"/>
        <v>6201</v>
      </c>
      <c r="G14" s="840">
        <f>'[12]Посещения СМП Пр.19-23  '!G14+'[12]Откл.Пр.1-24-Пр.19-23  '!G14</f>
        <v>1500</v>
      </c>
      <c r="H14" s="840">
        <f>'[12]Посещения СМП Пр.19-23  '!H14+'[12]Откл.Пр.1-24-Пр.19-23  '!H14</f>
        <v>4701</v>
      </c>
    </row>
    <row r="15" spans="1:8" x14ac:dyDescent="0.25">
      <c r="A15" s="632">
        <v>6</v>
      </c>
      <c r="B15" s="636" t="s">
        <v>26</v>
      </c>
      <c r="C15" s="637" t="s">
        <v>27</v>
      </c>
      <c r="D15" s="840">
        <f t="shared" si="2"/>
        <v>3660</v>
      </c>
      <c r="E15" s="840">
        <f>'[12]Посещения СМП Пр.19-23  '!E15+'[12]Откл.Пр.1-24-Пр.19-23  '!E15</f>
        <v>0</v>
      </c>
      <c r="F15" s="840">
        <f t="shared" si="3"/>
        <v>3660</v>
      </c>
      <c r="G15" s="840">
        <f>'[12]Посещения СМП Пр.19-23  '!G15+'[12]Откл.Пр.1-24-Пр.19-23  '!G15</f>
        <v>2320</v>
      </c>
      <c r="H15" s="840">
        <f>'[12]Посещения СМП Пр.19-23  '!H15+'[12]Откл.Пр.1-24-Пр.19-23  '!H15</f>
        <v>1340</v>
      </c>
    </row>
    <row r="16" spans="1:8" x14ac:dyDescent="0.25">
      <c r="A16" s="632">
        <v>7</v>
      </c>
      <c r="B16" s="638" t="s">
        <v>28</v>
      </c>
      <c r="C16" s="32" t="s">
        <v>29</v>
      </c>
      <c r="D16" s="840">
        <f t="shared" si="2"/>
        <v>7165</v>
      </c>
      <c r="E16" s="840">
        <f>'[12]Посещения СМП Пр.19-23  '!E16+'[12]Откл.Пр.1-24-Пр.19-23  '!E16</f>
        <v>0</v>
      </c>
      <c r="F16" s="840">
        <f t="shared" si="3"/>
        <v>7165</v>
      </c>
      <c r="G16" s="840">
        <f>'[12]Посещения СМП Пр.19-23  '!G16+'[12]Откл.Пр.1-24-Пр.19-23  '!G16</f>
        <v>2012</v>
      </c>
      <c r="H16" s="840">
        <f>'[12]Посещения СМП Пр.19-23  '!H16+'[12]Откл.Пр.1-24-Пр.19-23  '!H16</f>
        <v>5153</v>
      </c>
    </row>
    <row r="17" spans="1:8" x14ac:dyDescent="0.25">
      <c r="A17" s="632">
        <v>8</v>
      </c>
      <c r="B17" s="636" t="s">
        <v>30</v>
      </c>
      <c r="C17" s="637" t="s">
        <v>31</v>
      </c>
      <c r="D17" s="840">
        <f t="shared" si="2"/>
        <v>5730</v>
      </c>
      <c r="E17" s="840">
        <f>'[12]Посещения СМП Пр.19-23  '!E17+'[12]Откл.Пр.1-24-Пр.19-23  '!E17</f>
        <v>0</v>
      </c>
      <c r="F17" s="840">
        <f t="shared" si="3"/>
        <v>5730</v>
      </c>
      <c r="G17" s="840">
        <f>'[12]Посещения СМП Пр.19-23  '!G17+'[12]Откл.Пр.1-24-Пр.19-23  '!G17</f>
        <v>2730</v>
      </c>
      <c r="H17" s="840">
        <f>'[12]Посещения СМП Пр.19-23  '!H17+'[12]Откл.Пр.1-24-Пр.19-23  '!H17</f>
        <v>3000</v>
      </c>
    </row>
    <row r="18" spans="1:8" x14ac:dyDescent="0.25">
      <c r="A18" s="632">
        <v>9</v>
      </c>
      <c r="B18" s="636" t="s">
        <v>32</v>
      </c>
      <c r="C18" s="637" t="s">
        <v>33</v>
      </c>
      <c r="D18" s="840">
        <f t="shared" si="2"/>
        <v>0</v>
      </c>
      <c r="E18" s="840">
        <f>'[12]Посещения СМП Пр.19-23  '!E18+'[12]Откл.Пр.1-24-Пр.19-23  '!E18</f>
        <v>0</v>
      </c>
      <c r="F18" s="840">
        <f t="shared" si="3"/>
        <v>0</v>
      </c>
      <c r="G18" s="840">
        <f>'[12]Посещения СМП Пр.19-23  '!G18+'[12]Откл.Пр.1-24-Пр.19-23  '!G18</f>
        <v>0</v>
      </c>
      <c r="H18" s="840">
        <f>'[12]Посещения СМП Пр.19-23  '!H18+'[12]Откл.Пр.1-24-Пр.19-23  '!H18</f>
        <v>0</v>
      </c>
    </row>
    <row r="19" spans="1:8" x14ac:dyDescent="0.25">
      <c r="A19" s="632">
        <v>10</v>
      </c>
      <c r="B19" s="636" t="s">
        <v>34</v>
      </c>
      <c r="C19" s="637" t="s">
        <v>35</v>
      </c>
      <c r="D19" s="840">
        <f t="shared" si="2"/>
        <v>5206</v>
      </c>
      <c r="E19" s="840">
        <f>'[12]Посещения СМП Пр.19-23  '!E19+'[12]Откл.Пр.1-24-Пр.19-23  '!E19</f>
        <v>0</v>
      </c>
      <c r="F19" s="840">
        <f t="shared" si="3"/>
        <v>5206</v>
      </c>
      <c r="G19" s="840">
        <f>'[12]Посещения СМП Пр.19-23  '!G19+'[12]Откл.Пр.1-24-Пр.19-23  '!G19</f>
        <v>1206</v>
      </c>
      <c r="H19" s="840">
        <f>'[12]Посещения СМП Пр.19-23  '!H19+'[12]Откл.Пр.1-24-Пр.19-23  '!H19</f>
        <v>4000</v>
      </c>
    </row>
    <row r="20" spans="1:8" x14ac:dyDescent="0.25">
      <c r="A20" s="632">
        <v>11</v>
      </c>
      <c r="B20" s="636" t="s">
        <v>36</v>
      </c>
      <c r="C20" s="637" t="s">
        <v>37</v>
      </c>
      <c r="D20" s="840">
        <f t="shared" si="2"/>
        <v>10031</v>
      </c>
      <c r="E20" s="840">
        <f>'[12]Посещения СМП Пр.19-23  '!E20+'[12]Откл.Пр.1-24-Пр.19-23  '!E20</f>
        <v>0</v>
      </c>
      <c r="F20" s="840">
        <f t="shared" si="3"/>
        <v>10031</v>
      </c>
      <c r="G20" s="840">
        <f>'[12]Посещения СМП Пр.19-23  '!G20+'[12]Откл.Пр.1-24-Пр.19-23  '!G20</f>
        <v>1446</v>
      </c>
      <c r="H20" s="840">
        <f>'[12]Посещения СМП Пр.19-23  '!H20+'[12]Откл.Пр.1-24-Пр.19-23  '!H20</f>
        <v>8585</v>
      </c>
    </row>
    <row r="21" spans="1:8" x14ac:dyDescent="0.25">
      <c r="A21" s="632">
        <v>12</v>
      </c>
      <c r="B21" s="636" t="s">
        <v>38</v>
      </c>
      <c r="C21" s="637" t="s">
        <v>39</v>
      </c>
      <c r="D21" s="840">
        <f t="shared" si="2"/>
        <v>1971</v>
      </c>
      <c r="E21" s="840">
        <f>'[12]Посещения СМП Пр.19-23  '!E21+'[12]Откл.Пр.1-24-Пр.19-23  '!E21</f>
        <v>0</v>
      </c>
      <c r="F21" s="840">
        <f t="shared" si="3"/>
        <v>1971</v>
      </c>
      <c r="G21" s="840">
        <f>'[12]Посещения СМП Пр.19-23  '!G21+'[12]Откл.Пр.1-24-Пр.19-23  '!G21</f>
        <v>10</v>
      </c>
      <c r="H21" s="840">
        <f>'[12]Посещения СМП Пр.19-23  '!H21+'[12]Откл.Пр.1-24-Пр.19-23  '!H21</f>
        <v>1961</v>
      </c>
    </row>
    <row r="22" spans="1:8" x14ac:dyDescent="0.25">
      <c r="A22" s="639">
        <v>13</v>
      </c>
      <c r="B22" s="636" t="s">
        <v>40</v>
      </c>
      <c r="C22" s="637" t="s">
        <v>41</v>
      </c>
      <c r="D22" s="840">
        <f t="shared" si="2"/>
        <v>0</v>
      </c>
      <c r="E22" s="840">
        <f>'[12]Посещения СМП Пр.19-23  '!E22+'[12]Откл.Пр.1-24-Пр.19-23  '!E22</f>
        <v>0</v>
      </c>
      <c r="F22" s="840">
        <f t="shared" si="3"/>
        <v>0</v>
      </c>
      <c r="G22" s="840">
        <f>'[12]Посещения СМП Пр.19-23  '!G22+'[12]Откл.Пр.1-24-Пр.19-23  '!G22</f>
        <v>0</v>
      </c>
      <c r="H22" s="840">
        <f>'[12]Посещения СМП Пр.19-23  '!H22+'[12]Откл.Пр.1-24-Пр.19-23  '!H22</f>
        <v>0</v>
      </c>
    </row>
    <row r="23" spans="1:8" x14ac:dyDescent="0.25">
      <c r="A23" s="632">
        <v>14</v>
      </c>
      <c r="B23" s="633" t="s">
        <v>42</v>
      </c>
      <c r="C23" s="637" t="s">
        <v>43</v>
      </c>
      <c r="D23" s="840">
        <f t="shared" si="2"/>
        <v>0</v>
      </c>
      <c r="E23" s="840">
        <f>'[12]Посещения СМП Пр.19-23  '!E23+'[12]Откл.Пр.1-24-Пр.19-23  '!E23</f>
        <v>0</v>
      </c>
      <c r="F23" s="840">
        <f t="shared" si="3"/>
        <v>0</v>
      </c>
      <c r="G23" s="840">
        <f>'[12]Посещения СМП Пр.19-23  '!G23+'[12]Откл.Пр.1-24-Пр.19-23  '!G23</f>
        <v>0</v>
      </c>
      <c r="H23" s="840">
        <f>'[12]Посещения СМП Пр.19-23  '!H23+'[12]Откл.Пр.1-24-Пр.19-23  '!H23</f>
        <v>0</v>
      </c>
    </row>
    <row r="24" spans="1:8" x14ac:dyDescent="0.25">
      <c r="A24" s="639">
        <v>15</v>
      </c>
      <c r="B24" s="636" t="s">
        <v>44</v>
      </c>
      <c r="C24" s="637" t="s">
        <v>45</v>
      </c>
      <c r="D24" s="840">
        <f t="shared" si="2"/>
        <v>5107</v>
      </c>
      <c r="E24" s="840">
        <f>'[12]Посещения СМП Пр.19-23  '!E24+'[12]Откл.Пр.1-24-Пр.19-23  '!E24</f>
        <v>0</v>
      </c>
      <c r="F24" s="840">
        <f t="shared" si="3"/>
        <v>5107</v>
      </c>
      <c r="G24" s="840">
        <f>'[12]Посещения СМП Пр.19-23  '!G24+'[12]Откл.Пр.1-24-Пр.19-23  '!G24</f>
        <v>602</v>
      </c>
      <c r="H24" s="840">
        <f>'[12]Посещения СМП Пр.19-23  '!H24+'[12]Откл.Пр.1-24-Пр.19-23  '!H24</f>
        <v>4505</v>
      </c>
    </row>
    <row r="25" spans="1:8" x14ac:dyDescent="0.25">
      <c r="A25" s="632">
        <v>16</v>
      </c>
      <c r="B25" s="636" t="s">
        <v>46</v>
      </c>
      <c r="C25" s="637" t="s">
        <v>47</v>
      </c>
      <c r="D25" s="840">
        <f t="shared" si="2"/>
        <v>0</v>
      </c>
      <c r="E25" s="840">
        <f>'[12]Посещения СМП Пр.19-23  '!E25+'[12]Откл.Пр.1-24-Пр.19-23  '!E25</f>
        <v>0</v>
      </c>
      <c r="F25" s="840">
        <f t="shared" si="3"/>
        <v>0</v>
      </c>
      <c r="G25" s="840">
        <f>'[12]Посещения СМП Пр.19-23  '!G25+'[12]Откл.Пр.1-24-Пр.19-23  '!G25</f>
        <v>0</v>
      </c>
      <c r="H25" s="840">
        <f>'[12]Посещения СМП Пр.19-23  '!H25+'[12]Откл.Пр.1-24-Пр.19-23  '!H25</f>
        <v>0</v>
      </c>
    </row>
    <row r="26" spans="1:8" x14ac:dyDescent="0.25">
      <c r="A26" s="639">
        <v>17</v>
      </c>
      <c r="B26" s="636" t="s">
        <v>48</v>
      </c>
      <c r="C26" s="637" t="s">
        <v>49</v>
      </c>
      <c r="D26" s="840">
        <f t="shared" si="2"/>
        <v>8866</v>
      </c>
      <c r="E26" s="840">
        <f>'[12]Посещения СМП Пр.19-23  '!E26+'[12]Откл.Пр.1-24-Пр.19-23  '!E26</f>
        <v>0</v>
      </c>
      <c r="F26" s="840">
        <f t="shared" si="3"/>
        <v>8866</v>
      </c>
      <c r="G26" s="840">
        <f>'[12]Посещения СМП Пр.19-23  '!G26+'[12]Откл.Пр.1-24-Пр.19-23  '!G26</f>
        <v>2272</v>
      </c>
      <c r="H26" s="840">
        <f>'[12]Посещения СМП Пр.19-23  '!H26+'[12]Откл.Пр.1-24-Пр.19-23  '!H26</f>
        <v>6594</v>
      </c>
    </row>
    <row r="27" spans="1:8" x14ac:dyDescent="0.25">
      <c r="A27" s="632">
        <v>18</v>
      </c>
      <c r="B27" s="636" t="s">
        <v>50</v>
      </c>
      <c r="C27" s="637" t="s">
        <v>51</v>
      </c>
      <c r="D27" s="840">
        <f t="shared" si="2"/>
        <v>56642</v>
      </c>
      <c r="E27" s="840">
        <f>'[12]Посещения СМП Пр.19-23  '!E27+'[12]Откл.Пр.1-24-Пр.19-23  '!E27</f>
        <v>0</v>
      </c>
      <c r="F27" s="840">
        <f t="shared" si="3"/>
        <v>56642</v>
      </c>
      <c r="G27" s="840">
        <f>'[12]Посещения СМП Пр.19-23  '!G27+'[12]Откл.Пр.1-24-Пр.19-23  '!G27</f>
        <v>800</v>
      </c>
      <c r="H27" s="840">
        <f>'[12]Посещения СМП Пр.19-23  '!H27+'[12]Откл.Пр.1-24-Пр.19-23  '!H27</f>
        <v>55842</v>
      </c>
    </row>
    <row r="28" spans="1:8" x14ac:dyDescent="0.25">
      <c r="A28" s="639">
        <v>19</v>
      </c>
      <c r="B28" s="633" t="s">
        <v>52</v>
      </c>
      <c r="C28" s="634" t="s">
        <v>53</v>
      </c>
      <c r="D28" s="840">
        <f t="shared" si="2"/>
        <v>1600</v>
      </c>
      <c r="E28" s="840">
        <f>'[12]Посещения СМП Пр.19-23  '!E28+'[12]Откл.Пр.1-24-Пр.19-23  '!E28</f>
        <v>0</v>
      </c>
      <c r="F28" s="840">
        <f t="shared" si="3"/>
        <v>1600</v>
      </c>
      <c r="G28" s="840">
        <f>'[12]Посещения СМП Пр.19-23  '!G28+'[12]Откл.Пр.1-24-Пр.19-23  '!G28</f>
        <v>1200</v>
      </c>
      <c r="H28" s="840">
        <f>'[12]Посещения СМП Пр.19-23  '!H28+'[12]Откл.Пр.1-24-Пр.19-23  '!H28</f>
        <v>400</v>
      </c>
    </row>
    <row r="29" spans="1:8" x14ac:dyDescent="0.25">
      <c r="A29" s="632">
        <v>20</v>
      </c>
      <c r="B29" s="633" t="s">
        <v>54</v>
      </c>
      <c r="C29" s="634" t="s">
        <v>55</v>
      </c>
      <c r="D29" s="840">
        <f t="shared" si="2"/>
        <v>0</v>
      </c>
      <c r="E29" s="840">
        <f>'[12]Посещения СМП Пр.19-23  '!E29+'[12]Откл.Пр.1-24-Пр.19-23  '!E29</f>
        <v>0</v>
      </c>
      <c r="F29" s="840">
        <f t="shared" si="3"/>
        <v>0</v>
      </c>
      <c r="G29" s="840">
        <f>'[12]Посещения СМП Пр.19-23  '!G29+'[12]Откл.Пр.1-24-Пр.19-23  '!G29</f>
        <v>0</v>
      </c>
      <c r="H29" s="840">
        <f>'[12]Посещения СМП Пр.19-23  '!H29+'[12]Откл.Пр.1-24-Пр.19-23  '!H29</f>
        <v>0</v>
      </c>
    </row>
    <row r="30" spans="1:8" x14ac:dyDescent="0.25">
      <c r="A30" s="639">
        <v>21</v>
      </c>
      <c r="B30" s="633" t="s">
        <v>56</v>
      </c>
      <c r="C30" s="634" t="s">
        <v>57</v>
      </c>
      <c r="D30" s="840">
        <f t="shared" si="2"/>
        <v>3033</v>
      </c>
      <c r="E30" s="840">
        <f>'[12]Посещения СМП Пр.19-23  '!E30+'[12]Откл.Пр.1-24-Пр.19-23  '!E30</f>
        <v>0</v>
      </c>
      <c r="F30" s="840">
        <f t="shared" si="3"/>
        <v>3033</v>
      </c>
      <c r="G30" s="840">
        <f>'[12]Посещения СМП Пр.19-23  '!G30+'[12]Откл.Пр.1-24-Пр.19-23  '!G30</f>
        <v>1981</v>
      </c>
      <c r="H30" s="840">
        <f>'[12]Посещения СМП Пр.19-23  '!H30+'[12]Откл.Пр.1-24-Пр.19-23  '!H30</f>
        <v>1052</v>
      </c>
    </row>
    <row r="31" spans="1:8" x14ac:dyDescent="0.25">
      <c r="A31" s="632">
        <v>22</v>
      </c>
      <c r="B31" s="633" t="s">
        <v>58</v>
      </c>
      <c r="C31" s="634" t="s">
        <v>59</v>
      </c>
      <c r="D31" s="840">
        <f t="shared" si="2"/>
        <v>2250</v>
      </c>
      <c r="E31" s="840">
        <f>'[12]Посещения СМП Пр.19-23  '!E31+'[12]Откл.Пр.1-24-Пр.19-23  '!E31</f>
        <v>0</v>
      </c>
      <c r="F31" s="840">
        <f t="shared" si="3"/>
        <v>2250</v>
      </c>
      <c r="G31" s="840">
        <f>'[12]Посещения СМП Пр.19-23  '!G31+'[12]Откл.Пр.1-24-Пр.19-23  '!G31</f>
        <v>2250</v>
      </c>
      <c r="H31" s="840">
        <f>'[12]Посещения СМП Пр.19-23  '!H31+'[12]Откл.Пр.1-24-Пр.19-23  '!H31</f>
        <v>0</v>
      </c>
    </row>
    <row r="32" spans="1:8" x14ac:dyDescent="0.25">
      <c r="A32" s="639">
        <v>23</v>
      </c>
      <c r="B32" s="636" t="s">
        <v>60</v>
      </c>
      <c r="C32" s="637" t="s">
        <v>61</v>
      </c>
      <c r="D32" s="840">
        <f t="shared" si="2"/>
        <v>1693</v>
      </c>
      <c r="E32" s="840">
        <f>'[12]Посещения СМП Пр.19-23  '!E32+'[12]Откл.Пр.1-24-Пр.19-23  '!E32</f>
        <v>0</v>
      </c>
      <c r="F32" s="840">
        <f t="shared" si="3"/>
        <v>1693</v>
      </c>
      <c r="G32" s="840">
        <f>'[12]Посещения СМП Пр.19-23  '!G32+'[12]Откл.Пр.1-24-Пр.19-23  '!G32</f>
        <v>1200</v>
      </c>
      <c r="H32" s="840">
        <f>'[12]Посещения СМП Пр.19-23  '!H32+'[12]Откл.Пр.1-24-Пр.19-23  '!H32</f>
        <v>493</v>
      </c>
    </row>
    <row r="33" spans="1:8" x14ac:dyDescent="0.25">
      <c r="A33" s="632">
        <v>24</v>
      </c>
      <c r="B33" s="636" t="s">
        <v>62</v>
      </c>
      <c r="C33" s="637" t="s">
        <v>63</v>
      </c>
      <c r="D33" s="840">
        <f t="shared" si="2"/>
        <v>0</v>
      </c>
      <c r="E33" s="840">
        <f>'[12]Посещения СМП Пр.19-23  '!E33+'[12]Откл.Пр.1-24-Пр.19-23  '!E33</f>
        <v>0</v>
      </c>
      <c r="F33" s="840">
        <f t="shared" si="3"/>
        <v>0</v>
      </c>
      <c r="G33" s="840">
        <f>'[12]Посещения СМП Пр.19-23  '!G33+'[12]Откл.Пр.1-24-Пр.19-23  '!G33</f>
        <v>0</v>
      </c>
      <c r="H33" s="840">
        <f>'[12]Посещения СМП Пр.19-23  '!H33+'[12]Откл.Пр.1-24-Пр.19-23  '!H33</f>
        <v>0</v>
      </c>
    </row>
    <row r="34" spans="1:8" x14ac:dyDescent="0.25">
      <c r="A34" s="639">
        <v>25</v>
      </c>
      <c r="B34" s="636" t="s">
        <v>64</v>
      </c>
      <c r="C34" s="637" t="s">
        <v>65</v>
      </c>
      <c r="D34" s="840">
        <f t="shared" si="2"/>
        <v>0</v>
      </c>
      <c r="E34" s="840">
        <f>'[12]Посещения СМП Пр.19-23  '!E34+'[12]Откл.Пр.1-24-Пр.19-23  '!E34</f>
        <v>0</v>
      </c>
      <c r="F34" s="840">
        <f t="shared" si="3"/>
        <v>0</v>
      </c>
      <c r="G34" s="840">
        <f>'[12]Посещения СМП Пр.19-23  '!G34+'[12]Откл.Пр.1-24-Пр.19-23  '!G34</f>
        <v>0</v>
      </c>
      <c r="H34" s="840">
        <f>'[12]Посещения СМП Пр.19-23  '!H34+'[12]Откл.Пр.1-24-Пр.19-23  '!H34</f>
        <v>0</v>
      </c>
    </row>
    <row r="35" spans="1:8" x14ac:dyDescent="0.25">
      <c r="A35" s="632">
        <v>26</v>
      </c>
      <c r="B35" s="633" t="s">
        <v>66</v>
      </c>
      <c r="C35" s="32" t="s">
        <v>67</v>
      </c>
      <c r="D35" s="840">
        <f t="shared" si="2"/>
        <v>37631</v>
      </c>
      <c r="E35" s="840">
        <f>'[12]Посещения СМП Пр.19-23  '!E35+'[12]Откл.Пр.1-24-Пр.19-23  '!E35</f>
        <v>0</v>
      </c>
      <c r="F35" s="840">
        <f t="shared" si="3"/>
        <v>37631</v>
      </c>
      <c r="G35" s="840">
        <f>'[12]Посещения СМП Пр.19-23  '!G35+'[12]Откл.Пр.1-24-Пр.19-23  '!G35</f>
        <v>1987</v>
      </c>
      <c r="H35" s="840">
        <f>'[12]Посещения СМП Пр.19-23  '!H35+'[12]Откл.Пр.1-24-Пр.19-23  '!H35</f>
        <v>35644</v>
      </c>
    </row>
    <row r="36" spans="1:8" x14ac:dyDescent="0.25">
      <c r="A36" s="639">
        <v>27</v>
      </c>
      <c r="B36" s="636" t="s">
        <v>68</v>
      </c>
      <c r="C36" s="637" t="s">
        <v>69</v>
      </c>
      <c r="D36" s="840">
        <f t="shared" si="2"/>
        <v>46304</v>
      </c>
      <c r="E36" s="840">
        <f>'[12]Посещения СМП Пр.19-23  '!E36+'[12]Откл.Пр.1-24-Пр.19-23  '!E36</f>
        <v>0</v>
      </c>
      <c r="F36" s="840">
        <f t="shared" si="3"/>
        <v>46304</v>
      </c>
      <c r="G36" s="840">
        <f>'[12]Посещения СМП Пр.19-23  '!G36+'[12]Откл.Пр.1-24-Пр.19-23  '!G36</f>
        <v>2063</v>
      </c>
      <c r="H36" s="840">
        <f>'[12]Посещения СМП Пр.19-23  '!H36+'[12]Откл.Пр.1-24-Пр.19-23  '!H36</f>
        <v>44241</v>
      </c>
    </row>
    <row r="37" spans="1:8" x14ac:dyDescent="0.25">
      <c r="A37" s="632">
        <v>28</v>
      </c>
      <c r="B37" s="636" t="s">
        <v>70</v>
      </c>
      <c r="C37" s="637" t="s">
        <v>71</v>
      </c>
      <c r="D37" s="840">
        <f t="shared" si="2"/>
        <v>52488</v>
      </c>
      <c r="E37" s="840">
        <f>'[12]Посещения СМП Пр.19-23  '!E37+'[12]Откл.Пр.1-24-Пр.19-23  '!E37</f>
        <v>0</v>
      </c>
      <c r="F37" s="840">
        <f t="shared" si="3"/>
        <v>52488</v>
      </c>
      <c r="G37" s="840">
        <f>'[12]Посещения СМП Пр.19-23  '!G37+'[12]Откл.Пр.1-24-Пр.19-23  '!G37</f>
        <v>0</v>
      </c>
      <c r="H37" s="840">
        <f>'[12]Посещения СМП Пр.19-23  '!H37+'[12]Откл.Пр.1-24-Пр.19-23  '!H37</f>
        <v>52488</v>
      </c>
    </row>
    <row r="38" spans="1:8" x14ac:dyDescent="0.25">
      <c r="A38" s="639">
        <v>29</v>
      </c>
      <c r="B38" s="635" t="s">
        <v>72</v>
      </c>
      <c r="C38" s="32" t="s">
        <v>73</v>
      </c>
      <c r="D38" s="840">
        <f t="shared" si="2"/>
        <v>3150</v>
      </c>
      <c r="E38" s="840">
        <f>'[12]Посещения СМП Пр.19-23  '!E38+'[12]Откл.Пр.1-24-Пр.19-23  '!E38</f>
        <v>3150</v>
      </c>
      <c r="F38" s="840">
        <f t="shared" si="3"/>
        <v>0</v>
      </c>
      <c r="G38" s="840">
        <f>'[12]Посещения СМП Пр.19-23  '!G38+'[12]Откл.Пр.1-24-Пр.19-23  '!G38</f>
        <v>0</v>
      </c>
      <c r="H38" s="840">
        <f>'[12]Посещения СМП Пр.19-23  '!H38+'[12]Откл.Пр.1-24-Пр.19-23  '!H38</f>
        <v>0</v>
      </c>
    </row>
    <row r="39" spans="1:8" x14ac:dyDescent="0.25">
      <c r="A39" s="632">
        <v>30</v>
      </c>
      <c r="B39" s="633" t="s">
        <v>74</v>
      </c>
      <c r="C39" s="634" t="s">
        <v>357</v>
      </c>
      <c r="D39" s="840">
        <f t="shared" si="2"/>
        <v>0</v>
      </c>
      <c r="E39" s="840">
        <f>'[12]Посещения СМП Пр.19-23  '!E39+'[12]Откл.Пр.1-24-Пр.19-23  '!E39</f>
        <v>0</v>
      </c>
      <c r="F39" s="840">
        <f t="shared" si="3"/>
        <v>0</v>
      </c>
      <c r="G39" s="840">
        <f>'[12]Посещения СМП Пр.19-23  '!G39+'[12]Откл.Пр.1-24-Пр.19-23  '!G39</f>
        <v>0</v>
      </c>
      <c r="H39" s="840">
        <f>'[12]Посещения СМП Пр.19-23  '!H39+'[12]Откл.Пр.1-24-Пр.19-23  '!H39</f>
        <v>0</v>
      </c>
    </row>
    <row r="40" spans="1:8" x14ac:dyDescent="0.25">
      <c r="A40" s="639">
        <v>31</v>
      </c>
      <c r="B40" s="636" t="s">
        <v>75</v>
      </c>
      <c r="C40" s="637" t="s">
        <v>76</v>
      </c>
      <c r="D40" s="840">
        <f t="shared" si="2"/>
        <v>275</v>
      </c>
      <c r="E40" s="840">
        <f>'[12]Посещения СМП Пр.19-23  '!E40+'[12]Откл.Пр.1-24-Пр.19-23  '!E40</f>
        <v>0</v>
      </c>
      <c r="F40" s="840">
        <f t="shared" si="3"/>
        <v>275</v>
      </c>
      <c r="G40" s="840">
        <f>'[12]Посещения СМП Пр.19-23  '!G40+'[12]Откл.Пр.1-24-Пр.19-23  '!G40</f>
        <v>0</v>
      </c>
      <c r="H40" s="840">
        <f>'[12]Посещения СМП Пр.19-23  '!H40+'[12]Откл.Пр.1-24-Пр.19-23  '!H40</f>
        <v>275</v>
      </c>
    </row>
    <row r="41" spans="1:8" x14ac:dyDescent="0.25">
      <c r="A41" s="632">
        <v>32</v>
      </c>
      <c r="B41" s="635" t="s">
        <v>77</v>
      </c>
      <c r="C41" s="634" t="s">
        <v>78</v>
      </c>
      <c r="D41" s="840">
        <f t="shared" si="2"/>
        <v>12060</v>
      </c>
      <c r="E41" s="840">
        <f>'[12]Посещения СМП Пр.19-23  '!E41+'[12]Откл.Пр.1-24-Пр.19-23  '!E41</f>
        <v>0</v>
      </c>
      <c r="F41" s="840">
        <f t="shared" si="3"/>
        <v>12060</v>
      </c>
      <c r="G41" s="840">
        <f>'[12]Посещения СМП Пр.19-23  '!G41+'[12]Откл.Пр.1-24-Пр.19-23  '!G41</f>
        <v>5400</v>
      </c>
      <c r="H41" s="840">
        <f>'[12]Посещения СМП Пр.19-23  '!H41+'[12]Откл.Пр.1-24-Пр.19-23  '!H41</f>
        <v>6660</v>
      </c>
    </row>
    <row r="42" spans="1:8" x14ac:dyDescent="0.25">
      <c r="A42" s="639">
        <v>33</v>
      </c>
      <c r="B42" s="638" t="s">
        <v>79</v>
      </c>
      <c r="C42" s="32" t="s">
        <v>80</v>
      </c>
      <c r="D42" s="840">
        <f t="shared" si="2"/>
        <v>26882</v>
      </c>
      <c r="E42" s="840">
        <f>'[12]Посещения СМП Пр.19-23  '!E42+'[12]Откл.Пр.1-24-Пр.19-23  '!E42</f>
        <v>0</v>
      </c>
      <c r="F42" s="840">
        <f t="shared" si="3"/>
        <v>26882</v>
      </c>
      <c r="G42" s="840">
        <f>'[12]Посещения СМП Пр.19-23  '!G42+'[12]Откл.Пр.1-24-Пр.19-23  '!G42</f>
        <v>8900</v>
      </c>
      <c r="H42" s="840">
        <f>'[12]Посещения СМП Пр.19-23  '!H42+'[12]Откл.Пр.1-24-Пр.19-23  '!H42</f>
        <v>17982</v>
      </c>
    </row>
    <row r="43" spans="1:8" x14ac:dyDescent="0.25">
      <c r="A43" s="632">
        <v>34</v>
      </c>
      <c r="B43" s="635" t="s">
        <v>81</v>
      </c>
      <c r="C43" s="634" t="s">
        <v>82</v>
      </c>
      <c r="D43" s="840">
        <f t="shared" si="2"/>
        <v>7025</v>
      </c>
      <c r="E43" s="840">
        <f>'[12]Посещения СМП Пр.19-23  '!E43+'[12]Откл.Пр.1-24-Пр.19-23  '!E43</f>
        <v>0</v>
      </c>
      <c r="F43" s="840">
        <f t="shared" si="3"/>
        <v>7025</v>
      </c>
      <c r="G43" s="840">
        <f>'[12]Посещения СМП Пр.19-23  '!G43+'[12]Откл.Пр.1-24-Пр.19-23  '!G43</f>
        <v>1030</v>
      </c>
      <c r="H43" s="840">
        <f>'[12]Посещения СМП Пр.19-23  '!H43+'[12]Откл.Пр.1-24-Пр.19-23  '!H43</f>
        <v>5995</v>
      </c>
    </row>
    <row r="44" spans="1:8" x14ac:dyDescent="0.25">
      <c r="A44" s="639">
        <v>35</v>
      </c>
      <c r="B44" s="636" t="s">
        <v>83</v>
      </c>
      <c r="C44" s="637" t="s">
        <v>84</v>
      </c>
      <c r="D44" s="840">
        <f t="shared" si="2"/>
        <v>38522</v>
      </c>
      <c r="E44" s="840">
        <f>'[12]Посещения СМП Пр.19-23  '!E44+'[12]Откл.Пр.1-24-Пр.19-23  '!E44</f>
        <v>0</v>
      </c>
      <c r="F44" s="840">
        <f t="shared" si="3"/>
        <v>38522</v>
      </c>
      <c r="G44" s="840">
        <f>'[12]Посещения СМП Пр.19-23  '!G44+'[12]Откл.Пр.1-24-Пр.19-23  '!G44</f>
        <v>8000</v>
      </c>
      <c r="H44" s="840">
        <f>'[12]Посещения СМП Пр.19-23  '!H44+'[12]Откл.Пр.1-24-Пр.19-23  '!H44</f>
        <v>30522</v>
      </c>
    </row>
    <row r="45" spans="1:8" x14ac:dyDescent="0.25">
      <c r="A45" s="632">
        <v>36</v>
      </c>
      <c r="B45" s="635" t="s">
        <v>85</v>
      </c>
      <c r="C45" s="634" t="s">
        <v>86</v>
      </c>
      <c r="D45" s="840">
        <f t="shared" si="2"/>
        <v>7791</v>
      </c>
      <c r="E45" s="840">
        <f>'[12]Посещения СМП Пр.19-23  '!E45+'[12]Откл.Пр.1-24-Пр.19-23  '!E45</f>
        <v>0</v>
      </c>
      <c r="F45" s="840">
        <f t="shared" si="3"/>
        <v>7791</v>
      </c>
      <c r="G45" s="840">
        <f>'[12]Посещения СМП Пр.19-23  '!G45+'[12]Откл.Пр.1-24-Пр.19-23  '!G45</f>
        <v>1246</v>
      </c>
      <c r="H45" s="840">
        <f>'[12]Посещения СМП Пр.19-23  '!H45+'[12]Откл.Пр.1-24-Пр.19-23  '!H45</f>
        <v>6545</v>
      </c>
    </row>
    <row r="46" spans="1:8" x14ac:dyDescent="0.25">
      <c r="A46" s="639">
        <v>37</v>
      </c>
      <c r="B46" s="633" t="s">
        <v>87</v>
      </c>
      <c r="C46" s="634" t="s">
        <v>88</v>
      </c>
      <c r="D46" s="840">
        <f t="shared" si="2"/>
        <v>6000</v>
      </c>
      <c r="E46" s="840">
        <f>'[12]Посещения СМП Пр.19-23  '!E46+'[12]Откл.Пр.1-24-Пр.19-23  '!E46</f>
        <v>0</v>
      </c>
      <c r="F46" s="840">
        <f t="shared" si="3"/>
        <v>6000</v>
      </c>
      <c r="G46" s="840">
        <f>'[12]Посещения СМП Пр.19-23  '!G46+'[12]Откл.Пр.1-24-Пр.19-23  '!G46</f>
        <v>6000</v>
      </c>
      <c r="H46" s="840">
        <f>'[12]Посещения СМП Пр.19-23  '!H46+'[12]Откл.Пр.1-24-Пр.19-23  '!H46</f>
        <v>0</v>
      </c>
    </row>
    <row r="47" spans="1:8" x14ac:dyDescent="0.25">
      <c r="A47" s="632">
        <v>38</v>
      </c>
      <c r="B47" s="640" t="s">
        <v>89</v>
      </c>
      <c r="C47" s="641" t="s">
        <v>90</v>
      </c>
      <c r="D47" s="840">
        <f t="shared" si="2"/>
        <v>8350</v>
      </c>
      <c r="E47" s="840">
        <f>'[12]Посещения СМП Пр.19-23  '!E47+'[12]Откл.Пр.1-24-Пр.19-23  '!E47</f>
        <v>0</v>
      </c>
      <c r="F47" s="840">
        <f t="shared" si="3"/>
        <v>8350</v>
      </c>
      <c r="G47" s="840">
        <f>'[12]Посещения СМП Пр.19-23  '!G47+'[12]Откл.Пр.1-24-Пр.19-23  '!G47</f>
        <v>0</v>
      </c>
      <c r="H47" s="840">
        <f>'[12]Посещения СМП Пр.19-23  '!H47+'[12]Откл.Пр.1-24-Пр.19-23  '!H47</f>
        <v>8350</v>
      </c>
    </row>
    <row r="48" spans="1:8" x14ac:dyDescent="0.25">
      <c r="A48" s="639">
        <v>39</v>
      </c>
      <c r="B48" s="633" t="s">
        <v>91</v>
      </c>
      <c r="C48" s="634" t="s">
        <v>92</v>
      </c>
      <c r="D48" s="840">
        <f t="shared" si="2"/>
        <v>2400</v>
      </c>
      <c r="E48" s="840">
        <f>'[12]Посещения СМП Пр.19-23  '!E48+'[12]Откл.Пр.1-24-Пр.19-23  '!E48</f>
        <v>0</v>
      </c>
      <c r="F48" s="840">
        <f t="shared" si="3"/>
        <v>2400</v>
      </c>
      <c r="G48" s="840">
        <f>'[12]Посещения СМП Пр.19-23  '!G48+'[12]Откл.Пр.1-24-Пр.19-23  '!G48</f>
        <v>2400</v>
      </c>
      <c r="H48" s="840">
        <f>'[12]Посещения СМП Пр.19-23  '!H48+'[12]Откл.Пр.1-24-Пр.19-23  '!H48</f>
        <v>0</v>
      </c>
    </row>
    <row r="49" spans="1:8" x14ac:dyDescent="0.25">
      <c r="A49" s="632">
        <v>40</v>
      </c>
      <c r="B49" s="638" t="s">
        <v>93</v>
      </c>
      <c r="C49" s="32" t="s">
        <v>94</v>
      </c>
      <c r="D49" s="840">
        <f t="shared" si="2"/>
        <v>1400</v>
      </c>
      <c r="E49" s="840">
        <f>'[12]Посещения СМП Пр.19-23  '!E49+'[12]Откл.Пр.1-24-Пр.19-23  '!E49</f>
        <v>0</v>
      </c>
      <c r="F49" s="840">
        <f t="shared" si="3"/>
        <v>1400</v>
      </c>
      <c r="G49" s="840">
        <f>'[12]Посещения СМП Пр.19-23  '!G49+'[12]Откл.Пр.1-24-Пр.19-23  '!G49</f>
        <v>400</v>
      </c>
      <c r="H49" s="840">
        <f>'[12]Посещения СМП Пр.19-23  '!H49+'[12]Откл.Пр.1-24-Пр.19-23  '!H49</f>
        <v>1000</v>
      </c>
    </row>
    <row r="50" spans="1:8" x14ac:dyDescent="0.25">
      <c r="A50" s="639">
        <v>41</v>
      </c>
      <c r="B50" s="636" t="s">
        <v>95</v>
      </c>
      <c r="C50" s="637" t="s">
        <v>96</v>
      </c>
      <c r="D50" s="840">
        <f t="shared" si="2"/>
        <v>4032</v>
      </c>
      <c r="E50" s="840">
        <f>'[12]Посещения СМП Пр.19-23  '!E50+'[12]Откл.Пр.1-24-Пр.19-23  '!E50</f>
        <v>0</v>
      </c>
      <c r="F50" s="840">
        <f t="shared" si="3"/>
        <v>4032</v>
      </c>
      <c r="G50" s="840">
        <f>'[12]Посещения СМП Пр.19-23  '!G50+'[12]Откл.Пр.1-24-Пр.19-23  '!G50</f>
        <v>1000</v>
      </c>
      <c r="H50" s="840">
        <f>'[12]Посещения СМП Пр.19-23  '!H50+'[12]Откл.Пр.1-24-Пр.19-23  '!H50</f>
        <v>3032</v>
      </c>
    </row>
    <row r="51" spans="1:8" x14ac:dyDescent="0.25">
      <c r="A51" s="632">
        <v>42</v>
      </c>
      <c r="B51" s="635" t="s">
        <v>97</v>
      </c>
      <c r="C51" s="634" t="s">
        <v>98</v>
      </c>
      <c r="D51" s="840">
        <f t="shared" si="2"/>
        <v>0</v>
      </c>
      <c r="E51" s="840">
        <f>'[12]Посещения СМП Пр.19-23  '!E51+'[12]Откл.Пр.1-24-Пр.19-23  '!E51</f>
        <v>0</v>
      </c>
      <c r="F51" s="840">
        <f t="shared" si="3"/>
        <v>0</v>
      </c>
      <c r="G51" s="840">
        <f>'[12]Посещения СМП Пр.19-23  '!G51+'[12]Откл.Пр.1-24-Пр.19-23  '!G51</f>
        <v>0</v>
      </c>
      <c r="H51" s="840">
        <f>'[12]Посещения СМП Пр.19-23  '!H51+'[12]Откл.Пр.1-24-Пр.19-23  '!H51</f>
        <v>0</v>
      </c>
    </row>
    <row r="52" spans="1:8" x14ac:dyDescent="0.25">
      <c r="A52" s="639">
        <v>43</v>
      </c>
      <c r="B52" s="636" t="s">
        <v>99</v>
      </c>
      <c r="C52" s="637" t="s">
        <v>100</v>
      </c>
      <c r="D52" s="840">
        <f t="shared" si="2"/>
        <v>8737</v>
      </c>
      <c r="E52" s="840">
        <f>'[12]Посещения СМП Пр.19-23  '!E52+'[12]Откл.Пр.1-24-Пр.19-23  '!E52</f>
        <v>0</v>
      </c>
      <c r="F52" s="840">
        <f t="shared" si="3"/>
        <v>8737</v>
      </c>
      <c r="G52" s="840">
        <f>'[12]Посещения СМП Пр.19-23  '!G52+'[12]Откл.Пр.1-24-Пр.19-23  '!G52</f>
        <v>5939</v>
      </c>
      <c r="H52" s="840">
        <f>'[12]Посещения СМП Пр.19-23  '!H52+'[12]Откл.Пр.1-24-Пр.19-23  '!H52</f>
        <v>2798</v>
      </c>
    </row>
    <row r="53" spans="1:8" x14ac:dyDescent="0.25">
      <c r="A53" s="632">
        <v>44</v>
      </c>
      <c r="B53" s="633" t="s">
        <v>101</v>
      </c>
      <c r="C53" s="634" t="s">
        <v>102</v>
      </c>
      <c r="D53" s="840">
        <f t="shared" si="2"/>
        <v>7396</v>
      </c>
      <c r="E53" s="840">
        <f>'[12]Посещения СМП Пр.19-23  '!E53+'[12]Откл.Пр.1-24-Пр.19-23  '!E53</f>
        <v>0</v>
      </c>
      <c r="F53" s="840">
        <f t="shared" si="3"/>
        <v>7396</v>
      </c>
      <c r="G53" s="840">
        <f>'[12]Посещения СМП Пр.19-23  '!G53+'[12]Откл.Пр.1-24-Пр.19-23  '!G53</f>
        <v>360</v>
      </c>
      <c r="H53" s="840">
        <f>'[12]Посещения СМП Пр.19-23  '!H53+'[12]Откл.Пр.1-24-Пр.19-23  '!H53</f>
        <v>7036</v>
      </c>
    </row>
    <row r="54" spans="1:8" x14ac:dyDescent="0.25">
      <c r="A54" s="639">
        <v>45</v>
      </c>
      <c r="B54" s="633" t="s">
        <v>103</v>
      </c>
      <c r="C54" s="634" t="s">
        <v>104</v>
      </c>
      <c r="D54" s="840">
        <f t="shared" si="2"/>
        <v>5084</v>
      </c>
      <c r="E54" s="840">
        <f>'[12]Посещения СМП Пр.19-23  '!E54+'[12]Откл.Пр.1-24-Пр.19-23  '!E54</f>
        <v>0</v>
      </c>
      <c r="F54" s="840">
        <f t="shared" si="3"/>
        <v>5084</v>
      </c>
      <c r="G54" s="840">
        <f>'[12]Посещения СМП Пр.19-23  '!G54+'[12]Откл.Пр.1-24-Пр.19-23  '!G54</f>
        <v>1426</v>
      </c>
      <c r="H54" s="840">
        <f>'[12]Посещения СМП Пр.19-23  '!H54+'[12]Откл.Пр.1-24-Пр.19-23  '!H54</f>
        <v>3658</v>
      </c>
    </row>
    <row r="55" spans="1:8" x14ac:dyDescent="0.25">
      <c r="A55" s="632">
        <v>46</v>
      </c>
      <c r="B55" s="636" t="s">
        <v>105</v>
      </c>
      <c r="C55" s="637" t="s">
        <v>106</v>
      </c>
      <c r="D55" s="840">
        <f t="shared" si="2"/>
        <v>2742</v>
      </c>
      <c r="E55" s="840">
        <f>'[12]Посещения СМП Пр.19-23  '!E55+'[12]Откл.Пр.1-24-Пр.19-23  '!E55</f>
        <v>0</v>
      </c>
      <c r="F55" s="840">
        <f t="shared" si="3"/>
        <v>2742</v>
      </c>
      <c r="G55" s="840">
        <f>'[12]Посещения СМП Пр.19-23  '!G55+'[12]Откл.Пр.1-24-Пр.19-23  '!G55</f>
        <v>0</v>
      </c>
      <c r="H55" s="840">
        <f>'[12]Посещения СМП Пр.19-23  '!H55+'[12]Откл.Пр.1-24-Пр.19-23  '!H55</f>
        <v>2742</v>
      </c>
    </row>
    <row r="56" spans="1:8" x14ac:dyDescent="0.25">
      <c r="A56" s="639">
        <v>47</v>
      </c>
      <c r="B56" s="636" t="s">
        <v>107</v>
      </c>
      <c r="C56" s="637" t="s">
        <v>108</v>
      </c>
      <c r="D56" s="840">
        <f t="shared" si="2"/>
        <v>2650</v>
      </c>
      <c r="E56" s="840">
        <f>'[12]Посещения СМП Пр.19-23  '!E56+'[12]Откл.Пр.1-24-Пр.19-23  '!E56</f>
        <v>0</v>
      </c>
      <c r="F56" s="840">
        <f t="shared" si="3"/>
        <v>2650</v>
      </c>
      <c r="G56" s="840">
        <f>'[12]Посещения СМП Пр.19-23  '!G56+'[12]Откл.Пр.1-24-Пр.19-23  '!G56</f>
        <v>2500</v>
      </c>
      <c r="H56" s="840">
        <f>'[12]Посещения СМП Пр.19-23  '!H56+'[12]Откл.Пр.1-24-Пр.19-23  '!H56</f>
        <v>150</v>
      </c>
    </row>
    <row r="57" spans="1:8" x14ac:dyDescent="0.25">
      <c r="A57" s="632">
        <v>48</v>
      </c>
      <c r="B57" s="635" t="s">
        <v>109</v>
      </c>
      <c r="C57" s="634" t="s">
        <v>110</v>
      </c>
      <c r="D57" s="840">
        <f t="shared" si="2"/>
        <v>0</v>
      </c>
      <c r="E57" s="840">
        <f>'[12]Посещения СМП Пр.19-23  '!E57+'[12]Откл.Пр.1-24-Пр.19-23  '!E57</f>
        <v>0</v>
      </c>
      <c r="F57" s="840">
        <f t="shared" si="3"/>
        <v>0</v>
      </c>
      <c r="G57" s="840">
        <f>'[12]Посещения СМП Пр.19-23  '!G57+'[12]Откл.Пр.1-24-Пр.19-23  '!G57</f>
        <v>0</v>
      </c>
      <c r="H57" s="840">
        <f>'[12]Посещения СМП Пр.19-23  '!H57+'[12]Откл.Пр.1-24-Пр.19-23  '!H57</f>
        <v>0</v>
      </c>
    </row>
    <row r="58" spans="1:8" x14ac:dyDescent="0.25">
      <c r="A58" s="639">
        <v>49</v>
      </c>
      <c r="B58" s="636" t="s">
        <v>111</v>
      </c>
      <c r="C58" s="637" t="s">
        <v>112</v>
      </c>
      <c r="D58" s="840">
        <f t="shared" si="2"/>
        <v>317</v>
      </c>
      <c r="E58" s="840">
        <f>'[12]Посещения СМП Пр.19-23  '!E58+'[12]Откл.Пр.1-24-Пр.19-23  '!E58</f>
        <v>0</v>
      </c>
      <c r="F58" s="840">
        <f t="shared" si="3"/>
        <v>317</v>
      </c>
      <c r="G58" s="840">
        <f>'[12]Посещения СМП Пр.19-23  '!G58+'[12]Откл.Пр.1-24-Пр.19-23  '!G58</f>
        <v>0</v>
      </c>
      <c r="H58" s="840">
        <f>'[12]Посещения СМП Пр.19-23  '!H58+'[12]Откл.Пр.1-24-Пр.19-23  '!H58</f>
        <v>317</v>
      </c>
    </row>
    <row r="59" spans="1:8" x14ac:dyDescent="0.25">
      <c r="A59" s="632">
        <v>50</v>
      </c>
      <c r="B59" s="635" t="s">
        <v>113</v>
      </c>
      <c r="C59" s="634" t="s">
        <v>114</v>
      </c>
      <c r="D59" s="840">
        <f t="shared" si="2"/>
        <v>4940</v>
      </c>
      <c r="E59" s="840">
        <f>'[12]Посещения СМП Пр.19-23  '!E59+'[12]Откл.Пр.1-24-Пр.19-23  '!E59</f>
        <v>0</v>
      </c>
      <c r="F59" s="840">
        <f t="shared" si="3"/>
        <v>4940</v>
      </c>
      <c r="G59" s="840">
        <f>'[12]Посещения СМП Пр.19-23  '!G59+'[12]Откл.Пр.1-24-Пр.19-23  '!G59</f>
        <v>200</v>
      </c>
      <c r="H59" s="840">
        <f>'[12]Посещения СМП Пр.19-23  '!H59+'[12]Откл.Пр.1-24-Пр.19-23  '!H59</f>
        <v>4740</v>
      </c>
    </row>
    <row r="60" spans="1:8" x14ac:dyDescent="0.25">
      <c r="A60" s="639">
        <v>51</v>
      </c>
      <c r="B60" s="636" t="s">
        <v>115</v>
      </c>
      <c r="C60" s="637" t="s">
        <v>116</v>
      </c>
      <c r="D60" s="840">
        <f t="shared" si="2"/>
        <v>3360</v>
      </c>
      <c r="E60" s="840">
        <f>'[12]Посещения СМП Пр.19-23  '!E60+'[12]Откл.Пр.1-24-Пр.19-23  '!E60</f>
        <v>0</v>
      </c>
      <c r="F60" s="840">
        <f t="shared" si="3"/>
        <v>3360</v>
      </c>
      <c r="G60" s="840">
        <f>'[12]Посещения СМП Пр.19-23  '!G60+'[12]Откл.Пр.1-24-Пр.19-23  '!G60</f>
        <v>160</v>
      </c>
      <c r="H60" s="840">
        <f>'[12]Посещения СМП Пр.19-23  '!H60+'[12]Откл.Пр.1-24-Пр.19-23  '!H60</f>
        <v>3200</v>
      </c>
    </row>
    <row r="61" spans="1:8" x14ac:dyDescent="0.25">
      <c r="A61" s="632">
        <v>52</v>
      </c>
      <c r="B61" s="636" t="s">
        <v>117</v>
      </c>
      <c r="C61" s="637" t="s">
        <v>118</v>
      </c>
      <c r="D61" s="840">
        <f t="shared" si="2"/>
        <v>16336</v>
      </c>
      <c r="E61" s="840">
        <f>'[12]Посещения СМП Пр.19-23  '!E61+'[12]Откл.Пр.1-24-Пр.19-23  '!E61</f>
        <v>0</v>
      </c>
      <c r="F61" s="840">
        <f t="shared" si="3"/>
        <v>16336</v>
      </c>
      <c r="G61" s="840">
        <f>'[12]Посещения СМП Пр.19-23  '!G61+'[12]Откл.Пр.1-24-Пр.19-23  '!G61</f>
        <v>506</v>
      </c>
      <c r="H61" s="840">
        <f>'[12]Посещения СМП Пр.19-23  '!H61+'[12]Откл.Пр.1-24-Пр.19-23  '!H61</f>
        <v>15830</v>
      </c>
    </row>
    <row r="62" spans="1:8" x14ac:dyDescent="0.25">
      <c r="A62" s="639">
        <v>53</v>
      </c>
      <c r="B62" s="636" t="s">
        <v>119</v>
      </c>
      <c r="C62" s="637" t="s">
        <v>120</v>
      </c>
      <c r="D62" s="840">
        <f t="shared" si="2"/>
        <v>3951</v>
      </c>
      <c r="E62" s="840">
        <f>'[12]Посещения СМП Пр.19-23  '!E62+'[12]Откл.Пр.1-24-Пр.19-23  '!E62</f>
        <v>0</v>
      </c>
      <c r="F62" s="840">
        <f t="shared" si="3"/>
        <v>3951</v>
      </c>
      <c r="G62" s="840">
        <f>'[12]Посещения СМП Пр.19-23  '!G62+'[12]Откл.Пр.1-24-Пр.19-23  '!G62</f>
        <v>2150</v>
      </c>
      <c r="H62" s="840">
        <f>'[12]Посещения СМП Пр.19-23  '!H62+'[12]Откл.Пр.1-24-Пр.19-23  '!H62</f>
        <v>1801</v>
      </c>
    </row>
    <row r="63" spans="1:8" x14ac:dyDescent="0.25">
      <c r="A63" s="632">
        <v>54</v>
      </c>
      <c r="B63" s="636" t="s">
        <v>121</v>
      </c>
      <c r="C63" s="637" t="s">
        <v>122</v>
      </c>
      <c r="D63" s="840">
        <f t="shared" si="2"/>
        <v>0</v>
      </c>
      <c r="E63" s="840">
        <f>'[12]Посещения СМП Пр.19-23  '!E63+'[12]Откл.Пр.1-24-Пр.19-23  '!E63</f>
        <v>0</v>
      </c>
      <c r="F63" s="840">
        <f t="shared" si="3"/>
        <v>0</v>
      </c>
      <c r="G63" s="840">
        <f>'[12]Посещения СМП Пр.19-23  '!G63+'[12]Откл.Пр.1-24-Пр.19-23  '!G63</f>
        <v>0</v>
      </c>
      <c r="H63" s="840">
        <f>'[12]Посещения СМП Пр.19-23  '!H63+'[12]Откл.Пр.1-24-Пр.19-23  '!H63</f>
        <v>0</v>
      </c>
    </row>
    <row r="64" spans="1:8" x14ac:dyDescent="0.25">
      <c r="A64" s="639">
        <v>55</v>
      </c>
      <c r="B64" s="636" t="s">
        <v>123</v>
      </c>
      <c r="C64" s="637" t="s">
        <v>124</v>
      </c>
      <c r="D64" s="840">
        <f t="shared" si="2"/>
        <v>0</v>
      </c>
      <c r="E64" s="840">
        <f>'[12]Посещения СМП Пр.19-23  '!E64+'[12]Откл.Пр.1-24-Пр.19-23  '!E64</f>
        <v>0</v>
      </c>
      <c r="F64" s="840">
        <f t="shared" si="3"/>
        <v>0</v>
      </c>
      <c r="G64" s="840">
        <f>'[12]Посещения СМП Пр.19-23  '!G64+'[12]Откл.Пр.1-24-Пр.19-23  '!G64</f>
        <v>0</v>
      </c>
      <c r="H64" s="840">
        <f>'[12]Посещения СМП Пр.19-23  '!H64+'[12]Откл.Пр.1-24-Пр.19-23  '!H64</f>
        <v>0</v>
      </c>
    </row>
    <row r="65" spans="1:8" x14ac:dyDescent="0.25">
      <c r="A65" s="632">
        <v>56</v>
      </c>
      <c r="B65" s="642" t="s">
        <v>125</v>
      </c>
      <c r="C65" s="32" t="s">
        <v>126</v>
      </c>
      <c r="D65" s="840">
        <f t="shared" si="2"/>
        <v>0</v>
      </c>
      <c r="E65" s="840">
        <f>'[12]Посещения СМП Пр.19-23  '!E65+'[12]Откл.Пр.1-24-Пр.19-23  '!E65</f>
        <v>0</v>
      </c>
      <c r="F65" s="840">
        <f t="shared" si="3"/>
        <v>0</v>
      </c>
      <c r="G65" s="840">
        <f>'[12]Посещения СМП Пр.19-23  '!G65+'[12]Откл.Пр.1-24-Пр.19-23  '!G65</f>
        <v>0</v>
      </c>
      <c r="H65" s="840">
        <f>'[12]Посещения СМП Пр.19-23  '!H65+'[12]Откл.Пр.1-24-Пр.19-23  '!H65</f>
        <v>0</v>
      </c>
    </row>
    <row r="66" spans="1:8" x14ac:dyDescent="0.25">
      <c r="A66" s="639">
        <v>57</v>
      </c>
      <c r="B66" s="636" t="s">
        <v>127</v>
      </c>
      <c r="C66" s="637" t="s">
        <v>128</v>
      </c>
      <c r="D66" s="840">
        <f t="shared" si="2"/>
        <v>0</v>
      </c>
      <c r="E66" s="840">
        <f>'[12]Посещения СМП Пр.19-23  '!E66+'[12]Откл.Пр.1-24-Пр.19-23  '!E66</f>
        <v>0</v>
      </c>
      <c r="F66" s="840">
        <f t="shared" si="3"/>
        <v>0</v>
      </c>
      <c r="G66" s="840">
        <f>'[12]Посещения СМП Пр.19-23  '!G66+'[12]Откл.Пр.1-24-Пр.19-23  '!G66</f>
        <v>0</v>
      </c>
      <c r="H66" s="840">
        <f>'[12]Посещения СМП Пр.19-23  '!H66+'[12]Откл.Пр.1-24-Пр.19-23  '!H66</f>
        <v>0</v>
      </c>
    </row>
    <row r="67" spans="1:8" x14ac:dyDescent="0.25">
      <c r="A67" s="632">
        <v>58</v>
      </c>
      <c r="B67" s="635" t="s">
        <v>129</v>
      </c>
      <c r="C67" s="637" t="s">
        <v>130</v>
      </c>
      <c r="D67" s="840">
        <f t="shared" si="2"/>
        <v>0</v>
      </c>
      <c r="E67" s="840">
        <f>'[12]Посещения СМП Пр.19-23  '!E67+'[12]Откл.Пр.1-24-Пр.19-23  '!E67</f>
        <v>0</v>
      </c>
      <c r="F67" s="840">
        <f t="shared" si="3"/>
        <v>0</v>
      </c>
      <c r="G67" s="840">
        <f>'[12]Посещения СМП Пр.19-23  '!G67+'[12]Откл.Пр.1-24-Пр.19-23  '!G67</f>
        <v>0</v>
      </c>
      <c r="H67" s="840">
        <f>'[12]Посещения СМП Пр.19-23  '!H67+'[12]Откл.Пр.1-24-Пр.19-23  '!H67</f>
        <v>0</v>
      </c>
    </row>
    <row r="68" spans="1:8" x14ac:dyDescent="0.25">
      <c r="A68" s="639">
        <v>59</v>
      </c>
      <c r="B68" s="638" t="s">
        <v>131</v>
      </c>
      <c r="C68" s="32" t="s">
        <v>132</v>
      </c>
      <c r="D68" s="840">
        <f t="shared" si="2"/>
        <v>811</v>
      </c>
      <c r="E68" s="840">
        <f>'[12]Посещения СМП Пр.19-23  '!E68+'[12]Откл.Пр.1-24-Пр.19-23  '!E68</f>
        <v>0</v>
      </c>
      <c r="F68" s="840">
        <f t="shared" si="3"/>
        <v>811</v>
      </c>
      <c r="G68" s="840">
        <f>'[12]Посещения СМП Пр.19-23  '!G68+'[12]Откл.Пр.1-24-Пр.19-23  '!G68</f>
        <v>800</v>
      </c>
      <c r="H68" s="840">
        <f>'[12]Посещения СМП Пр.19-23  '!H68+'[12]Откл.Пр.1-24-Пр.19-23  '!H68</f>
        <v>11</v>
      </c>
    </row>
    <row r="69" spans="1:8" x14ac:dyDescent="0.25">
      <c r="A69" s="632">
        <v>60</v>
      </c>
      <c r="B69" s="635" t="s">
        <v>133</v>
      </c>
      <c r="C69" s="637" t="s">
        <v>134</v>
      </c>
      <c r="D69" s="840">
        <f t="shared" si="2"/>
        <v>0</v>
      </c>
      <c r="E69" s="840">
        <f>'[12]Посещения СМП Пр.19-23  '!E69+'[12]Откл.Пр.1-24-Пр.19-23  '!E69</f>
        <v>0</v>
      </c>
      <c r="F69" s="840">
        <f t="shared" si="3"/>
        <v>0</v>
      </c>
      <c r="G69" s="840">
        <f>'[12]Посещения СМП Пр.19-23  '!G69+'[12]Откл.Пр.1-24-Пр.19-23  '!G69</f>
        <v>0</v>
      </c>
      <c r="H69" s="840">
        <f>'[12]Посещения СМП Пр.19-23  '!H69+'[12]Откл.Пр.1-24-Пр.19-23  '!H69</f>
        <v>0</v>
      </c>
    </row>
    <row r="70" spans="1:8" x14ac:dyDescent="0.25">
      <c r="A70" s="639">
        <v>61</v>
      </c>
      <c r="B70" s="636" t="s">
        <v>135</v>
      </c>
      <c r="C70" s="637" t="s">
        <v>136</v>
      </c>
      <c r="D70" s="840">
        <f t="shared" si="2"/>
        <v>0</v>
      </c>
      <c r="E70" s="840">
        <f>'[12]Посещения СМП Пр.19-23  '!E70+'[12]Откл.Пр.1-24-Пр.19-23  '!E70</f>
        <v>0</v>
      </c>
      <c r="F70" s="840">
        <f t="shared" si="3"/>
        <v>0</v>
      </c>
      <c r="G70" s="840">
        <f>'[12]Посещения СМП Пр.19-23  '!G70+'[12]Откл.Пр.1-24-Пр.19-23  '!G70</f>
        <v>0</v>
      </c>
      <c r="H70" s="840">
        <f>'[12]Посещения СМП Пр.19-23  '!H70+'[12]Откл.Пр.1-24-Пр.19-23  '!H70</f>
        <v>0</v>
      </c>
    </row>
    <row r="71" spans="1:8" x14ac:dyDescent="0.25">
      <c r="A71" s="632">
        <v>62</v>
      </c>
      <c r="B71" s="633" t="s">
        <v>137</v>
      </c>
      <c r="C71" s="637" t="s">
        <v>138</v>
      </c>
      <c r="D71" s="840">
        <f t="shared" si="2"/>
        <v>6102</v>
      </c>
      <c r="E71" s="840">
        <f>'[12]Посещения СМП Пр.19-23  '!E71+'[12]Откл.Пр.1-24-Пр.19-23  '!E71</f>
        <v>6102</v>
      </c>
      <c r="F71" s="840">
        <f t="shared" si="3"/>
        <v>0</v>
      </c>
      <c r="G71" s="840">
        <f>'[12]Посещения СМП Пр.19-23  '!G71+'[12]Откл.Пр.1-24-Пр.19-23  '!G71</f>
        <v>0</v>
      </c>
      <c r="H71" s="840">
        <f>'[12]Посещения СМП Пр.19-23  '!H71+'[12]Откл.Пр.1-24-Пр.19-23  '!H71</f>
        <v>0</v>
      </c>
    </row>
    <row r="72" spans="1:8" x14ac:dyDescent="0.25">
      <c r="A72" s="639">
        <v>63</v>
      </c>
      <c r="B72" s="633" t="s">
        <v>139</v>
      </c>
      <c r="C72" s="637" t="s">
        <v>140</v>
      </c>
      <c r="D72" s="840">
        <f t="shared" si="2"/>
        <v>19630</v>
      </c>
      <c r="E72" s="840">
        <f>'[12]Посещения СМП Пр.19-23  '!E72+'[12]Откл.Пр.1-24-Пр.19-23  '!E72</f>
        <v>19630</v>
      </c>
      <c r="F72" s="840">
        <f t="shared" si="3"/>
        <v>0</v>
      </c>
      <c r="G72" s="840">
        <f>'[12]Посещения СМП Пр.19-23  '!G72+'[12]Откл.Пр.1-24-Пр.19-23  '!G72</f>
        <v>0</v>
      </c>
      <c r="H72" s="840">
        <f>'[12]Посещения СМП Пр.19-23  '!H72+'[12]Откл.Пр.1-24-Пр.19-23  '!H72</f>
        <v>0</v>
      </c>
    </row>
    <row r="73" spans="1:8" x14ac:dyDescent="0.25">
      <c r="A73" s="632">
        <v>64</v>
      </c>
      <c r="B73" s="635" t="s">
        <v>141</v>
      </c>
      <c r="C73" s="637" t="s">
        <v>142</v>
      </c>
      <c r="D73" s="840">
        <f t="shared" si="2"/>
        <v>0</v>
      </c>
      <c r="E73" s="840">
        <f>'[12]Посещения СМП Пр.19-23  '!E73+'[12]Откл.Пр.1-24-Пр.19-23  '!E73</f>
        <v>0</v>
      </c>
      <c r="F73" s="840">
        <f t="shared" si="3"/>
        <v>0</v>
      </c>
      <c r="G73" s="840">
        <f>'[12]Посещения СМП Пр.19-23  '!G73+'[12]Откл.Пр.1-24-Пр.19-23  '!G73</f>
        <v>0</v>
      </c>
      <c r="H73" s="840">
        <f>'[12]Посещения СМП Пр.19-23  '!H73+'[12]Откл.Пр.1-24-Пр.19-23  '!H73</f>
        <v>0</v>
      </c>
    </row>
    <row r="74" spans="1:8" x14ac:dyDescent="0.25">
      <c r="A74" s="639">
        <v>65</v>
      </c>
      <c r="B74" s="635" t="s">
        <v>143</v>
      </c>
      <c r="C74" s="634" t="s">
        <v>144</v>
      </c>
      <c r="D74" s="840">
        <f t="shared" ref="D74:D137" si="4">E74+F74</f>
        <v>0</v>
      </c>
      <c r="E74" s="840">
        <f>'[12]Посещения СМП Пр.19-23  '!E74+'[12]Откл.Пр.1-24-Пр.19-23  '!E74</f>
        <v>0</v>
      </c>
      <c r="F74" s="840">
        <f t="shared" ref="F74:F137" si="5">SUM(G74:H74)</f>
        <v>0</v>
      </c>
      <c r="G74" s="840">
        <f>'[12]Посещения СМП Пр.19-23  '!G74+'[12]Откл.Пр.1-24-Пр.19-23  '!G74</f>
        <v>0</v>
      </c>
      <c r="H74" s="840">
        <f>'[12]Посещения СМП Пр.19-23  '!H74+'[12]Откл.Пр.1-24-Пр.19-23  '!H74</f>
        <v>0</v>
      </c>
    </row>
    <row r="75" spans="1:8" x14ac:dyDescent="0.25">
      <c r="A75" s="632">
        <v>66</v>
      </c>
      <c r="B75" s="635" t="s">
        <v>145</v>
      </c>
      <c r="C75" s="637" t="s">
        <v>146</v>
      </c>
      <c r="D75" s="840">
        <f t="shared" si="4"/>
        <v>0</v>
      </c>
      <c r="E75" s="840">
        <f>'[12]Посещения СМП Пр.19-23  '!E75+'[12]Откл.Пр.1-24-Пр.19-23  '!E75</f>
        <v>0</v>
      </c>
      <c r="F75" s="840">
        <f t="shared" si="5"/>
        <v>0</v>
      </c>
      <c r="G75" s="840">
        <f>'[12]Посещения СМП Пр.19-23  '!G75+'[12]Откл.Пр.1-24-Пр.19-23  '!G75</f>
        <v>0</v>
      </c>
      <c r="H75" s="840">
        <f>'[12]Посещения СМП Пр.19-23  '!H75+'[12]Откл.Пр.1-24-Пр.19-23  '!H75</f>
        <v>0</v>
      </c>
    </row>
    <row r="76" spans="1:8" x14ac:dyDescent="0.25">
      <c r="A76" s="639">
        <v>67</v>
      </c>
      <c r="B76" s="635" t="s">
        <v>147</v>
      </c>
      <c r="C76" s="637" t="s">
        <v>148</v>
      </c>
      <c r="D76" s="840">
        <f t="shared" si="4"/>
        <v>200</v>
      </c>
      <c r="E76" s="840">
        <f>'[12]Посещения СМП Пр.19-23  '!E76+'[12]Откл.Пр.1-24-Пр.19-23  '!E76</f>
        <v>200</v>
      </c>
      <c r="F76" s="840">
        <f t="shared" si="5"/>
        <v>0</v>
      </c>
      <c r="G76" s="840">
        <f>'[12]Посещения СМП Пр.19-23  '!G76+'[12]Откл.Пр.1-24-Пр.19-23  '!G76</f>
        <v>0</v>
      </c>
      <c r="H76" s="840">
        <f>'[12]Посещения СМП Пр.19-23  '!H76+'[12]Откл.Пр.1-24-Пр.19-23  '!H76</f>
        <v>0</v>
      </c>
    </row>
    <row r="77" spans="1:8" x14ac:dyDescent="0.25">
      <c r="A77" s="632">
        <v>68</v>
      </c>
      <c r="B77" s="633" t="s">
        <v>149</v>
      </c>
      <c r="C77" s="637" t="s">
        <v>150</v>
      </c>
      <c r="D77" s="840">
        <f t="shared" si="4"/>
        <v>0</v>
      </c>
      <c r="E77" s="840">
        <f>'[12]Посещения СМП Пр.19-23  '!E77+'[12]Откл.Пр.1-24-Пр.19-23  '!E77</f>
        <v>0</v>
      </c>
      <c r="F77" s="840">
        <f t="shared" si="5"/>
        <v>0</v>
      </c>
      <c r="G77" s="840">
        <f>'[12]Посещения СМП Пр.19-23  '!G77+'[12]Откл.Пр.1-24-Пр.19-23  '!G77</f>
        <v>0</v>
      </c>
      <c r="H77" s="840">
        <f>'[12]Посещения СМП Пр.19-23  '!H77+'[12]Откл.Пр.1-24-Пр.19-23  '!H77</f>
        <v>0</v>
      </c>
    </row>
    <row r="78" spans="1:8" x14ac:dyDescent="0.25">
      <c r="A78" s="639">
        <v>69</v>
      </c>
      <c r="B78" s="635" t="s">
        <v>151</v>
      </c>
      <c r="C78" s="637" t="s">
        <v>152</v>
      </c>
      <c r="D78" s="840">
        <f t="shared" si="4"/>
        <v>50</v>
      </c>
      <c r="E78" s="840">
        <f>'[12]Посещения СМП Пр.19-23  '!E78+'[12]Откл.Пр.1-24-Пр.19-23  '!E78</f>
        <v>50</v>
      </c>
      <c r="F78" s="840">
        <f t="shared" si="5"/>
        <v>0</v>
      </c>
      <c r="G78" s="840">
        <f>'[12]Посещения СМП Пр.19-23  '!G78+'[12]Откл.Пр.1-24-Пр.19-23  '!G78</f>
        <v>0</v>
      </c>
      <c r="H78" s="840">
        <f>'[12]Посещения СМП Пр.19-23  '!H78+'[12]Откл.Пр.1-24-Пр.19-23  '!H78</f>
        <v>0</v>
      </c>
    </row>
    <row r="79" spans="1:8" x14ac:dyDescent="0.25">
      <c r="A79" s="632">
        <v>70</v>
      </c>
      <c r="B79" s="635" t="s">
        <v>153</v>
      </c>
      <c r="C79" s="637" t="s">
        <v>154</v>
      </c>
      <c r="D79" s="840">
        <f t="shared" si="4"/>
        <v>0</v>
      </c>
      <c r="E79" s="840">
        <f>'[12]Посещения СМП Пр.19-23  '!E79+'[12]Откл.Пр.1-24-Пр.19-23  '!E79</f>
        <v>0</v>
      </c>
      <c r="F79" s="840">
        <f t="shared" si="5"/>
        <v>0</v>
      </c>
      <c r="G79" s="840">
        <f>'[12]Посещения СМП Пр.19-23  '!G79+'[12]Откл.Пр.1-24-Пр.19-23  '!G79</f>
        <v>0</v>
      </c>
      <c r="H79" s="840">
        <f>'[12]Посещения СМП Пр.19-23  '!H79+'[12]Откл.Пр.1-24-Пр.19-23  '!H79</f>
        <v>0</v>
      </c>
    </row>
    <row r="80" spans="1:8" x14ac:dyDescent="0.25">
      <c r="A80" s="639">
        <v>71</v>
      </c>
      <c r="B80" s="633" t="s">
        <v>155</v>
      </c>
      <c r="C80" s="637" t="s">
        <v>156</v>
      </c>
      <c r="D80" s="840">
        <f t="shared" si="4"/>
        <v>4174</v>
      </c>
      <c r="E80" s="840">
        <f>'[12]Посещения СМП Пр.19-23  '!E80+'[12]Откл.Пр.1-24-Пр.19-23  '!E80</f>
        <v>4174</v>
      </c>
      <c r="F80" s="840">
        <f t="shared" si="5"/>
        <v>0</v>
      </c>
      <c r="G80" s="840">
        <f>'[12]Посещения СМП Пр.19-23  '!G80+'[12]Откл.Пр.1-24-Пр.19-23  '!G80</f>
        <v>0</v>
      </c>
      <c r="H80" s="840">
        <f>'[12]Посещения СМП Пр.19-23  '!H80+'[12]Откл.Пр.1-24-Пр.19-23  '!H80</f>
        <v>0</v>
      </c>
    </row>
    <row r="81" spans="1:8" x14ac:dyDescent="0.25">
      <c r="A81" s="632">
        <v>72</v>
      </c>
      <c r="B81" s="633" t="s">
        <v>157</v>
      </c>
      <c r="C81" s="637" t="s">
        <v>158</v>
      </c>
      <c r="D81" s="840">
        <f t="shared" si="4"/>
        <v>163</v>
      </c>
      <c r="E81" s="840">
        <f>'[12]Посещения СМП Пр.19-23  '!E81+'[12]Откл.Пр.1-24-Пр.19-23  '!E81</f>
        <v>163</v>
      </c>
      <c r="F81" s="840">
        <f t="shared" si="5"/>
        <v>0</v>
      </c>
      <c r="G81" s="840">
        <f>'[12]Посещения СМП Пр.19-23  '!G81+'[12]Откл.Пр.1-24-Пр.19-23  '!G81</f>
        <v>0</v>
      </c>
      <c r="H81" s="840">
        <f>'[12]Посещения СМП Пр.19-23  '!H81+'[12]Откл.Пр.1-24-Пр.19-23  '!H81</f>
        <v>0</v>
      </c>
    </row>
    <row r="82" spans="1:8" x14ac:dyDescent="0.25">
      <c r="A82" s="639">
        <v>73</v>
      </c>
      <c r="B82" s="633" t="s">
        <v>159</v>
      </c>
      <c r="C82" s="637" t="s">
        <v>160</v>
      </c>
      <c r="D82" s="840">
        <f t="shared" si="4"/>
        <v>324</v>
      </c>
      <c r="E82" s="840">
        <f>'[12]Посещения СМП Пр.19-23  '!E82+'[12]Откл.Пр.1-24-Пр.19-23  '!E82</f>
        <v>324</v>
      </c>
      <c r="F82" s="840">
        <f t="shared" si="5"/>
        <v>0</v>
      </c>
      <c r="G82" s="840">
        <f>'[12]Посещения СМП Пр.19-23  '!G82+'[12]Откл.Пр.1-24-Пр.19-23  '!G82</f>
        <v>0</v>
      </c>
      <c r="H82" s="840">
        <f>'[12]Посещения СМП Пр.19-23  '!H82+'[12]Откл.Пр.1-24-Пр.19-23  '!H82</f>
        <v>0</v>
      </c>
    </row>
    <row r="83" spans="1:8" x14ac:dyDescent="0.25">
      <c r="A83" s="632">
        <v>74</v>
      </c>
      <c r="B83" s="636" t="s">
        <v>161</v>
      </c>
      <c r="C83" s="637" t="s">
        <v>162</v>
      </c>
      <c r="D83" s="840">
        <f t="shared" si="4"/>
        <v>3940</v>
      </c>
      <c r="E83" s="840">
        <f>'[12]Посещения СМП Пр.19-23  '!E83+'[12]Откл.Пр.1-24-Пр.19-23  '!E83</f>
        <v>0</v>
      </c>
      <c r="F83" s="840">
        <f t="shared" si="5"/>
        <v>3940</v>
      </c>
      <c r="G83" s="840">
        <f>'[12]Посещения СМП Пр.19-23  '!G83+'[12]Откл.Пр.1-24-Пр.19-23  '!G83</f>
        <v>0</v>
      </c>
      <c r="H83" s="840">
        <f>'[12]Посещения СМП Пр.19-23  '!H83+'[12]Откл.Пр.1-24-Пр.19-23  '!H83</f>
        <v>3940</v>
      </c>
    </row>
    <row r="84" spans="1:8" x14ac:dyDescent="0.25">
      <c r="A84" s="639">
        <v>75</v>
      </c>
      <c r="B84" s="633" t="s">
        <v>163</v>
      </c>
      <c r="C84" s="637" t="s">
        <v>164</v>
      </c>
      <c r="D84" s="840">
        <f t="shared" si="4"/>
        <v>960</v>
      </c>
      <c r="E84" s="840">
        <f>'[12]Посещения СМП Пр.19-23  '!E84+'[12]Откл.Пр.1-24-Пр.19-23  '!E84</f>
        <v>0</v>
      </c>
      <c r="F84" s="840">
        <f t="shared" si="5"/>
        <v>960</v>
      </c>
      <c r="G84" s="840">
        <f>'[12]Посещения СМП Пр.19-23  '!G84+'[12]Откл.Пр.1-24-Пр.19-23  '!G84</f>
        <v>0</v>
      </c>
      <c r="H84" s="840">
        <f>'[12]Посещения СМП Пр.19-23  '!H84+'[12]Откл.Пр.1-24-Пр.19-23  '!H84</f>
        <v>960</v>
      </c>
    </row>
    <row r="85" spans="1:8" x14ac:dyDescent="0.25">
      <c r="A85" s="632">
        <v>76</v>
      </c>
      <c r="B85" s="636" t="s">
        <v>165</v>
      </c>
      <c r="C85" s="637" t="s">
        <v>166</v>
      </c>
      <c r="D85" s="840">
        <f t="shared" si="4"/>
        <v>5644</v>
      </c>
      <c r="E85" s="840">
        <f>'[12]Посещения СМП Пр.19-23  '!E85+'[12]Откл.Пр.1-24-Пр.19-23  '!E85</f>
        <v>0</v>
      </c>
      <c r="F85" s="840">
        <f t="shared" si="5"/>
        <v>5644</v>
      </c>
      <c r="G85" s="840">
        <f>'[12]Посещения СМП Пр.19-23  '!G85+'[12]Откл.Пр.1-24-Пр.19-23  '!G85</f>
        <v>1344</v>
      </c>
      <c r="H85" s="840">
        <f>'[12]Посещения СМП Пр.19-23  '!H85+'[12]Откл.Пр.1-24-Пр.19-23  '!H85</f>
        <v>4300</v>
      </c>
    </row>
    <row r="86" spans="1:8" x14ac:dyDescent="0.25">
      <c r="A86" s="639">
        <v>77</v>
      </c>
      <c r="B86" s="638" t="s">
        <v>167</v>
      </c>
      <c r="C86" s="32" t="s">
        <v>168</v>
      </c>
      <c r="D86" s="840">
        <f t="shared" si="4"/>
        <v>0</v>
      </c>
      <c r="E86" s="840">
        <f>'[12]Посещения СМП Пр.19-23  '!E86+'[12]Откл.Пр.1-24-Пр.19-23  '!E86</f>
        <v>0</v>
      </c>
      <c r="F86" s="840">
        <f t="shared" si="5"/>
        <v>0</v>
      </c>
      <c r="G86" s="840">
        <f>'[12]Посещения СМП Пр.19-23  '!G86+'[12]Откл.Пр.1-24-Пр.19-23  '!G86</f>
        <v>0</v>
      </c>
      <c r="H86" s="840">
        <f>'[12]Посещения СМП Пр.19-23  '!H86+'[12]Откл.Пр.1-24-Пр.19-23  '!H86</f>
        <v>0</v>
      </c>
    </row>
    <row r="87" spans="1:8" x14ac:dyDescent="0.25">
      <c r="A87" s="632">
        <v>78</v>
      </c>
      <c r="B87" s="633" t="s">
        <v>169</v>
      </c>
      <c r="C87" s="637" t="s">
        <v>170</v>
      </c>
      <c r="D87" s="840">
        <f t="shared" si="4"/>
        <v>0</v>
      </c>
      <c r="E87" s="840">
        <f>'[12]Посещения СМП Пр.19-23  '!E87+'[12]Откл.Пр.1-24-Пр.19-23  '!E87</f>
        <v>0</v>
      </c>
      <c r="F87" s="840">
        <f t="shared" si="5"/>
        <v>0</v>
      </c>
      <c r="G87" s="840">
        <f>'[12]Посещения СМП Пр.19-23  '!G87+'[12]Откл.Пр.1-24-Пр.19-23  '!G87</f>
        <v>0</v>
      </c>
      <c r="H87" s="840">
        <f>'[12]Посещения СМП Пр.19-23  '!H87+'[12]Откл.Пр.1-24-Пр.19-23  '!H87</f>
        <v>0</v>
      </c>
    </row>
    <row r="88" spans="1:8" x14ac:dyDescent="0.25">
      <c r="A88" s="639">
        <v>79</v>
      </c>
      <c r="B88" s="638" t="s">
        <v>171</v>
      </c>
      <c r="C88" s="32" t="s">
        <v>172</v>
      </c>
      <c r="D88" s="840">
        <f t="shared" si="4"/>
        <v>0</v>
      </c>
      <c r="E88" s="840">
        <f>'[12]Посещения СМП Пр.19-23  '!E88+'[12]Откл.Пр.1-24-Пр.19-23  '!E88</f>
        <v>0</v>
      </c>
      <c r="F88" s="840">
        <f t="shared" si="5"/>
        <v>0</v>
      </c>
      <c r="G88" s="840">
        <f>'[12]Посещения СМП Пр.19-23  '!G88+'[12]Откл.Пр.1-24-Пр.19-23  '!G88</f>
        <v>0</v>
      </c>
      <c r="H88" s="840">
        <f>'[12]Посещения СМП Пр.19-23  '!H88+'[12]Откл.Пр.1-24-Пр.19-23  '!H88</f>
        <v>0</v>
      </c>
    </row>
    <row r="89" spans="1:8" x14ac:dyDescent="0.25">
      <c r="A89" s="632">
        <v>80</v>
      </c>
      <c r="B89" s="633" t="s">
        <v>173</v>
      </c>
      <c r="C89" s="637" t="s">
        <v>174</v>
      </c>
      <c r="D89" s="840">
        <f t="shared" si="4"/>
        <v>1500</v>
      </c>
      <c r="E89" s="840">
        <f>'[12]Посещения СМП Пр.19-23  '!E89+'[12]Откл.Пр.1-24-Пр.19-23  '!E89</f>
        <v>0</v>
      </c>
      <c r="F89" s="840">
        <f t="shared" si="5"/>
        <v>1500</v>
      </c>
      <c r="G89" s="840">
        <f>'[12]Посещения СМП Пр.19-23  '!G89+'[12]Откл.Пр.1-24-Пр.19-23  '!G89</f>
        <v>0</v>
      </c>
      <c r="H89" s="840">
        <f>'[12]Посещения СМП Пр.19-23  '!H89+'[12]Откл.Пр.1-24-Пр.19-23  '!H89</f>
        <v>1500</v>
      </c>
    </row>
    <row r="90" spans="1:8" x14ac:dyDescent="0.25">
      <c r="A90" s="639">
        <v>81</v>
      </c>
      <c r="B90" s="638" t="s">
        <v>175</v>
      </c>
      <c r="C90" s="32" t="s">
        <v>742</v>
      </c>
      <c r="D90" s="840">
        <f t="shared" si="4"/>
        <v>0</v>
      </c>
      <c r="E90" s="840">
        <f>'[12]Посещения СМП Пр.19-23  '!E90+'[12]Откл.Пр.1-24-Пр.19-23  '!E90</f>
        <v>0</v>
      </c>
      <c r="F90" s="840">
        <f t="shared" si="5"/>
        <v>0</v>
      </c>
      <c r="G90" s="840">
        <f>'[12]Посещения СМП Пр.19-23  '!G90+'[12]Откл.Пр.1-24-Пр.19-23  '!G90</f>
        <v>0</v>
      </c>
      <c r="H90" s="840">
        <f>'[12]Посещения СМП Пр.19-23  '!H90+'[12]Откл.Пр.1-24-Пр.19-23  '!H90</f>
        <v>0</v>
      </c>
    </row>
    <row r="91" spans="1:8" x14ac:dyDescent="0.25">
      <c r="A91" s="632">
        <v>82</v>
      </c>
      <c r="B91" s="635" t="s">
        <v>177</v>
      </c>
      <c r="C91" s="637" t="s">
        <v>358</v>
      </c>
      <c r="D91" s="840">
        <f t="shared" si="4"/>
        <v>0</v>
      </c>
      <c r="E91" s="840">
        <f>'[12]Посещения СМП Пр.19-23  '!E91+'[12]Откл.Пр.1-24-Пр.19-23  '!E91</f>
        <v>0</v>
      </c>
      <c r="F91" s="840">
        <f t="shared" si="5"/>
        <v>0</v>
      </c>
      <c r="G91" s="840">
        <f>'[12]Посещения СМП Пр.19-23  '!G91+'[12]Откл.Пр.1-24-Пр.19-23  '!G91</f>
        <v>0</v>
      </c>
      <c r="H91" s="840">
        <f>'[12]Посещения СМП Пр.19-23  '!H91+'[12]Откл.Пр.1-24-Пр.19-23  '!H91</f>
        <v>0</v>
      </c>
    </row>
    <row r="92" spans="1:8" ht="24" x14ac:dyDescent="0.25">
      <c r="A92" s="1070">
        <v>83</v>
      </c>
      <c r="B92" s="1073" t="s">
        <v>178</v>
      </c>
      <c r="C92" s="32" t="s">
        <v>740</v>
      </c>
      <c r="D92" s="840">
        <f t="shared" si="4"/>
        <v>0</v>
      </c>
      <c r="E92" s="840">
        <f>'[12]Посещения СМП Пр.19-23  '!E92+'[12]Откл.Пр.1-24-Пр.19-23  '!E92</f>
        <v>0</v>
      </c>
      <c r="F92" s="840">
        <f t="shared" si="5"/>
        <v>0</v>
      </c>
      <c r="G92" s="840">
        <f>'[12]Посещения СМП Пр.19-23  '!G92+'[12]Откл.Пр.1-24-Пр.19-23  '!G92</f>
        <v>0</v>
      </c>
      <c r="H92" s="840">
        <f>'[12]Посещения СМП Пр.19-23  '!H92+'[12]Откл.Пр.1-24-Пр.19-23  '!H92</f>
        <v>0</v>
      </c>
    </row>
    <row r="93" spans="1:8" x14ac:dyDescent="0.25">
      <c r="A93" s="1071"/>
      <c r="B93" s="1074"/>
      <c r="C93" s="637" t="s">
        <v>180</v>
      </c>
      <c r="D93" s="840">
        <f t="shared" si="4"/>
        <v>0</v>
      </c>
      <c r="E93" s="840">
        <f>'[12]Посещения СМП Пр.19-23  '!E93+'[12]Откл.Пр.1-24-Пр.19-23  '!E93</f>
        <v>0</v>
      </c>
      <c r="F93" s="840">
        <f t="shared" si="5"/>
        <v>0</v>
      </c>
      <c r="G93" s="840">
        <f>'[12]Посещения СМП Пр.19-23  '!G93+'[12]Откл.Пр.1-24-Пр.19-23  '!G93</f>
        <v>0</v>
      </c>
      <c r="H93" s="840">
        <f>'[12]Посещения СМП Пр.19-23  '!H93+'[12]Откл.Пр.1-24-Пр.19-23  '!H93</f>
        <v>0</v>
      </c>
    </row>
    <row r="94" spans="1:8" ht="24" x14ac:dyDescent="0.25">
      <c r="A94" s="1072"/>
      <c r="B94" s="1075"/>
      <c r="C94" s="225" t="s">
        <v>741</v>
      </c>
      <c r="D94" s="840">
        <f t="shared" si="4"/>
        <v>0</v>
      </c>
      <c r="E94" s="840">
        <f>'[12]Посещения СМП Пр.19-23  '!E94+'[12]Откл.Пр.1-24-Пр.19-23  '!E94</f>
        <v>0</v>
      </c>
      <c r="F94" s="840">
        <f t="shared" si="5"/>
        <v>0</v>
      </c>
      <c r="G94" s="840">
        <f>'[12]Посещения СМП Пр.19-23  '!G94+'[12]Откл.Пр.1-24-Пр.19-23  '!G94</f>
        <v>0</v>
      </c>
      <c r="H94" s="840">
        <f>'[12]Посещения СМП Пр.19-23  '!H94+'[12]Откл.Пр.1-24-Пр.19-23  '!H94</f>
        <v>0</v>
      </c>
    </row>
    <row r="95" spans="1:8" x14ac:dyDescent="0.25">
      <c r="A95" s="632">
        <v>84</v>
      </c>
      <c r="B95" s="635" t="s">
        <v>181</v>
      </c>
      <c r="C95" s="634" t="s">
        <v>182</v>
      </c>
      <c r="D95" s="840">
        <f t="shared" si="4"/>
        <v>0</v>
      </c>
      <c r="E95" s="840">
        <f>'[12]Посещения СМП Пр.19-23  '!E95+'[12]Откл.Пр.1-24-Пр.19-23  '!E95</f>
        <v>0</v>
      </c>
      <c r="F95" s="840">
        <f t="shared" si="5"/>
        <v>0</v>
      </c>
      <c r="G95" s="840">
        <f>'[12]Посещения СМП Пр.19-23  '!G95+'[12]Откл.Пр.1-24-Пр.19-23  '!G95</f>
        <v>0</v>
      </c>
      <c r="H95" s="840">
        <f>'[12]Посещения СМП Пр.19-23  '!H95+'[12]Откл.Пр.1-24-Пр.19-23  '!H95</f>
        <v>0</v>
      </c>
    </row>
    <row r="96" spans="1:8" x14ac:dyDescent="0.25">
      <c r="A96" s="632">
        <v>85</v>
      </c>
      <c r="B96" s="635" t="s">
        <v>183</v>
      </c>
      <c r="C96" s="32" t="s">
        <v>184</v>
      </c>
      <c r="D96" s="840">
        <f t="shared" si="4"/>
        <v>0</v>
      </c>
      <c r="E96" s="840">
        <f>'[12]Посещения СМП Пр.19-23  '!E96+'[12]Откл.Пр.1-24-Пр.19-23  '!E96</f>
        <v>0</v>
      </c>
      <c r="F96" s="840">
        <f t="shared" si="5"/>
        <v>0</v>
      </c>
      <c r="G96" s="840">
        <f>'[12]Посещения СМП Пр.19-23  '!G96+'[12]Откл.Пр.1-24-Пр.19-23  '!G96</f>
        <v>0</v>
      </c>
      <c r="H96" s="840">
        <f>'[12]Посещения СМП Пр.19-23  '!H96+'[12]Откл.Пр.1-24-Пр.19-23  '!H96</f>
        <v>0</v>
      </c>
    </row>
    <row r="97" spans="1:8" x14ac:dyDescent="0.25">
      <c r="A97" s="632">
        <v>86</v>
      </c>
      <c r="B97" s="636" t="s">
        <v>185</v>
      </c>
      <c r="C97" s="637" t="s">
        <v>186</v>
      </c>
      <c r="D97" s="840">
        <f t="shared" si="4"/>
        <v>1025</v>
      </c>
      <c r="E97" s="840">
        <f>'[12]Посещения СМП Пр.19-23  '!E97+'[12]Откл.Пр.1-24-Пр.19-23  '!E97</f>
        <v>0</v>
      </c>
      <c r="F97" s="840">
        <f t="shared" si="5"/>
        <v>1025</v>
      </c>
      <c r="G97" s="840">
        <f>'[12]Посещения СМП Пр.19-23  '!G97+'[12]Откл.Пр.1-24-Пр.19-23  '!G97</f>
        <v>0</v>
      </c>
      <c r="H97" s="840">
        <f>'[12]Посещения СМП Пр.19-23  '!H97+'[12]Откл.Пр.1-24-Пр.19-23  '!H97</f>
        <v>1025</v>
      </c>
    </row>
    <row r="98" spans="1:8" x14ac:dyDescent="0.25">
      <c r="A98" s="632">
        <v>87</v>
      </c>
      <c r="B98" s="635" t="s">
        <v>187</v>
      </c>
      <c r="C98" s="634" t="s">
        <v>188</v>
      </c>
      <c r="D98" s="840">
        <f t="shared" si="4"/>
        <v>0</v>
      </c>
      <c r="E98" s="840">
        <f>'[12]Посещения СМП Пр.19-23  '!E98+'[12]Откл.Пр.1-24-Пр.19-23  '!E98</f>
        <v>0</v>
      </c>
      <c r="F98" s="840">
        <f t="shared" si="5"/>
        <v>0</v>
      </c>
      <c r="G98" s="840">
        <f>'[12]Посещения СМП Пр.19-23  '!G98+'[12]Откл.Пр.1-24-Пр.19-23  '!G98</f>
        <v>0</v>
      </c>
      <c r="H98" s="840">
        <f>'[12]Посещения СМП Пр.19-23  '!H98+'[12]Откл.Пр.1-24-Пр.19-23  '!H98</f>
        <v>0</v>
      </c>
    </row>
    <row r="99" spans="1:8" x14ac:dyDescent="0.25">
      <c r="A99" s="632">
        <v>88</v>
      </c>
      <c r="B99" s="636" t="s">
        <v>189</v>
      </c>
      <c r="C99" s="637" t="s">
        <v>190</v>
      </c>
      <c r="D99" s="840">
        <f t="shared" si="4"/>
        <v>2960</v>
      </c>
      <c r="E99" s="840">
        <f>'[12]Посещения СМП Пр.19-23  '!E99+'[12]Откл.Пр.1-24-Пр.19-23  '!E99</f>
        <v>0</v>
      </c>
      <c r="F99" s="840">
        <f t="shared" si="5"/>
        <v>2960</v>
      </c>
      <c r="G99" s="840">
        <f>'[12]Посещения СМП Пр.19-23  '!G99+'[12]Откл.Пр.1-24-Пр.19-23  '!G99</f>
        <v>0</v>
      </c>
      <c r="H99" s="840">
        <f>'[12]Посещения СМП Пр.19-23  '!H99+'[12]Откл.Пр.1-24-Пр.19-23  '!H99</f>
        <v>2960</v>
      </c>
    </row>
    <row r="100" spans="1:8" x14ac:dyDescent="0.25">
      <c r="A100" s="632">
        <v>89</v>
      </c>
      <c r="B100" s="636" t="s">
        <v>191</v>
      </c>
      <c r="C100" s="637" t="s">
        <v>192</v>
      </c>
      <c r="D100" s="840">
        <f t="shared" si="4"/>
        <v>8000</v>
      </c>
      <c r="E100" s="840">
        <f>'[12]Посещения СМП Пр.19-23  '!E100+'[12]Откл.Пр.1-24-Пр.19-23  '!E100</f>
        <v>0</v>
      </c>
      <c r="F100" s="840">
        <f t="shared" si="5"/>
        <v>8000</v>
      </c>
      <c r="G100" s="840">
        <f>'[12]Посещения СМП Пр.19-23  '!G100+'[12]Откл.Пр.1-24-Пр.19-23  '!G100</f>
        <v>2000</v>
      </c>
      <c r="H100" s="840">
        <f>'[12]Посещения СМП Пр.19-23  '!H100+'[12]Откл.Пр.1-24-Пр.19-23  '!H100</f>
        <v>6000</v>
      </c>
    </row>
    <row r="101" spans="1:8" x14ac:dyDescent="0.25">
      <c r="A101" s="632">
        <v>90</v>
      </c>
      <c r="B101" s="635" t="s">
        <v>193</v>
      </c>
      <c r="C101" s="32" t="s">
        <v>194</v>
      </c>
      <c r="D101" s="840">
        <f t="shared" si="4"/>
        <v>6620</v>
      </c>
      <c r="E101" s="840">
        <f>'[12]Посещения СМП Пр.19-23  '!E101+'[12]Откл.Пр.1-24-Пр.19-23  '!E101</f>
        <v>0</v>
      </c>
      <c r="F101" s="840">
        <f t="shared" si="5"/>
        <v>6620</v>
      </c>
      <c r="G101" s="840">
        <f>'[12]Посещения СМП Пр.19-23  '!G101+'[12]Откл.Пр.1-24-Пр.19-23  '!G101</f>
        <v>0</v>
      </c>
      <c r="H101" s="840">
        <f>'[12]Посещения СМП Пр.19-23  '!H101+'[12]Откл.Пр.1-24-Пр.19-23  '!H101</f>
        <v>6620</v>
      </c>
    </row>
    <row r="102" spans="1:8" x14ac:dyDescent="0.25">
      <c r="A102" s="632">
        <v>91</v>
      </c>
      <c r="B102" s="635" t="s">
        <v>195</v>
      </c>
      <c r="C102" s="634" t="s">
        <v>196</v>
      </c>
      <c r="D102" s="840">
        <f t="shared" si="4"/>
        <v>0</v>
      </c>
      <c r="E102" s="840">
        <f>'[12]Посещения СМП Пр.19-23  '!E102+'[12]Откл.Пр.1-24-Пр.19-23  '!E102</f>
        <v>0</v>
      </c>
      <c r="F102" s="840">
        <f t="shared" si="5"/>
        <v>0</v>
      </c>
      <c r="G102" s="840">
        <f>'[12]Посещения СМП Пр.19-23  '!G102+'[12]Откл.Пр.1-24-Пр.19-23  '!G102</f>
        <v>0</v>
      </c>
      <c r="H102" s="840">
        <f>'[12]Посещения СМП Пр.19-23  '!H102+'[12]Откл.Пр.1-24-Пр.19-23  '!H102</f>
        <v>0</v>
      </c>
    </row>
    <row r="103" spans="1:8" x14ac:dyDescent="0.25">
      <c r="A103" s="632">
        <v>92</v>
      </c>
      <c r="B103" s="633" t="s">
        <v>197</v>
      </c>
      <c r="C103" s="634" t="s">
        <v>198</v>
      </c>
      <c r="D103" s="840">
        <f t="shared" si="4"/>
        <v>2300</v>
      </c>
      <c r="E103" s="840">
        <f>'[12]Посещения СМП Пр.19-23  '!E103+'[12]Откл.Пр.1-24-Пр.19-23  '!E103</f>
        <v>0</v>
      </c>
      <c r="F103" s="840">
        <f t="shared" si="5"/>
        <v>2300</v>
      </c>
      <c r="G103" s="840">
        <f>'[12]Посещения СМП Пр.19-23  '!G103+'[12]Откл.Пр.1-24-Пр.19-23  '!G103</f>
        <v>2300</v>
      </c>
      <c r="H103" s="840">
        <f>'[12]Посещения СМП Пр.19-23  '!H103+'[12]Откл.Пр.1-24-Пр.19-23  '!H103</f>
        <v>0</v>
      </c>
    </row>
    <row r="104" spans="1:8" x14ac:dyDescent="0.25">
      <c r="A104" s="632">
        <v>93</v>
      </c>
      <c r="B104" s="633" t="s">
        <v>199</v>
      </c>
      <c r="C104" s="634" t="s">
        <v>200</v>
      </c>
      <c r="D104" s="840">
        <f t="shared" si="4"/>
        <v>7477</v>
      </c>
      <c r="E104" s="840">
        <f>'[12]Посещения СМП Пр.19-23  '!E104+'[12]Откл.Пр.1-24-Пр.19-23  '!E104</f>
        <v>0</v>
      </c>
      <c r="F104" s="840">
        <f t="shared" si="5"/>
        <v>7477</v>
      </c>
      <c r="G104" s="840">
        <f>'[12]Посещения СМП Пр.19-23  '!G104+'[12]Откл.Пр.1-24-Пр.19-23  '!G104</f>
        <v>1440</v>
      </c>
      <c r="H104" s="840">
        <f>'[12]Посещения СМП Пр.19-23  '!H104+'[12]Откл.Пр.1-24-Пр.19-23  '!H104</f>
        <v>6037</v>
      </c>
    </row>
    <row r="105" spans="1:8" x14ac:dyDescent="0.25">
      <c r="A105" s="632">
        <v>94</v>
      </c>
      <c r="B105" s="636" t="s">
        <v>201</v>
      </c>
      <c r="C105" s="637" t="s">
        <v>202</v>
      </c>
      <c r="D105" s="840">
        <f t="shared" si="4"/>
        <v>2277</v>
      </c>
      <c r="E105" s="840">
        <f>'[12]Посещения СМП Пр.19-23  '!E105+'[12]Откл.Пр.1-24-Пр.19-23  '!E105</f>
        <v>0</v>
      </c>
      <c r="F105" s="840">
        <f t="shared" si="5"/>
        <v>2277</v>
      </c>
      <c r="G105" s="840">
        <f>'[12]Посещения СМП Пр.19-23  '!G105+'[12]Откл.Пр.1-24-Пр.19-23  '!G105</f>
        <v>2277</v>
      </c>
      <c r="H105" s="840">
        <f>'[12]Посещения СМП Пр.19-23  '!H105+'[12]Откл.Пр.1-24-Пр.19-23  '!H105</f>
        <v>0</v>
      </c>
    </row>
    <row r="106" spans="1:8" x14ac:dyDescent="0.25">
      <c r="A106" s="632">
        <v>95</v>
      </c>
      <c r="B106" s="638" t="s">
        <v>203</v>
      </c>
      <c r="C106" s="32" t="s">
        <v>204</v>
      </c>
      <c r="D106" s="840">
        <f t="shared" si="4"/>
        <v>3956</v>
      </c>
      <c r="E106" s="840">
        <f>'[12]Посещения СМП Пр.19-23  '!E106+'[12]Откл.Пр.1-24-Пр.19-23  '!E106</f>
        <v>0</v>
      </c>
      <c r="F106" s="840">
        <f t="shared" si="5"/>
        <v>3956</v>
      </c>
      <c r="G106" s="840">
        <f>'[12]Посещения СМП Пр.19-23  '!G106+'[12]Откл.Пр.1-24-Пр.19-23  '!G106</f>
        <v>0</v>
      </c>
      <c r="H106" s="840">
        <f>'[12]Посещения СМП Пр.19-23  '!H106+'[12]Откл.Пр.1-24-Пр.19-23  '!H106</f>
        <v>3956</v>
      </c>
    </row>
    <row r="107" spans="1:8" x14ac:dyDescent="0.25">
      <c r="A107" s="632">
        <v>96</v>
      </c>
      <c r="B107" s="633" t="s">
        <v>205</v>
      </c>
      <c r="C107" s="634" t="s">
        <v>206</v>
      </c>
      <c r="D107" s="840">
        <f t="shared" si="4"/>
        <v>5961</v>
      </c>
      <c r="E107" s="840">
        <f>'[12]Посещения СМП Пр.19-23  '!E107+'[12]Откл.Пр.1-24-Пр.19-23  '!E107</f>
        <v>0</v>
      </c>
      <c r="F107" s="840">
        <f t="shared" si="5"/>
        <v>5961</v>
      </c>
      <c r="G107" s="840">
        <f>'[12]Посещения СМП Пр.19-23  '!G107+'[12]Откл.Пр.1-24-Пр.19-23  '!G107</f>
        <v>1170</v>
      </c>
      <c r="H107" s="840">
        <f>'[12]Посещения СМП Пр.19-23  '!H107+'[12]Откл.Пр.1-24-Пр.19-23  '!H107</f>
        <v>4791</v>
      </c>
    </row>
    <row r="108" spans="1:8" x14ac:dyDescent="0.25">
      <c r="A108" s="632">
        <v>97</v>
      </c>
      <c r="B108" s="635" t="s">
        <v>207</v>
      </c>
      <c r="C108" s="634" t="s">
        <v>208</v>
      </c>
      <c r="D108" s="840">
        <f t="shared" si="4"/>
        <v>9780</v>
      </c>
      <c r="E108" s="840">
        <f>'[12]Посещения СМП Пр.19-23  '!E108+'[12]Откл.Пр.1-24-Пр.19-23  '!E108</f>
        <v>0</v>
      </c>
      <c r="F108" s="840">
        <f t="shared" si="5"/>
        <v>9780</v>
      </c>
      <c r="G108" s="840">
        <f>'[12]Посещения СМП Пр.19-23  '!G108+'[12]Откл.Пр.1-24-Пр.19-23  '!G108</f>
        <v>2700</v>
      </c>
      <c r="H108" s="840">
        <f>'[12]Посещения СМП Пр.19-23  '!H108+'[12]Откл.Пр.1-24-Пр.19-23  '!H108</f>
        <v>7080</v>
      </c>
    </row>
    <row r="109" spans="1:8" x14ac:dyDescent="0.25">
      <c r="A109" s="632">
        <v>98</v>
      </c>
      <c r="B109" s="636" t="s">
        <v>209</v>
      </c>
      <c r="C109" s="637" t="s">
        <v>210</v>
      </c>
      <c r="D109" s="840">
        <f t="shared" si="4"/>
        <v>1113</v>
      </c>
      <c r="E109" s="840">
        <f>'[12]Посещения СМП Пр.19-23  '!E109+'[12]Откл.Пр.1-24-Пр.19-23  '!E109</f>
        <v>0</v>
      </c>
      <c r="F109" s="840">
        <f t="shared" si="5"/>
        <v>1113</v>
      </c>
      <c r="G109" s="840">
        <f>'[12]Посещения СМП Пр.19-23  '!G109+'[12]Откл.Пр.1-24-Пр.19-23  '!G109</f>
        <v>1000</v>
      </c>
      <c r="H109" s="840">
        <f>'[12]Посещения СМП Пр.19-23  '!H109+'[12]Откл.Пр.1-24-Пр.19-23  '!H109</f>
        <v>113</v>
      </c>
    </row>
    <row r="110" spans="1:8" x14ac:dyDescent="0.25">
      <c r="A110" s="632">
        <v>99</v>
      </c>
      <c r="B110" s="636" t="s">
        <v>211</v>
      </c>
      <c r="C110" s="637" t="s">
        <v>212</v>
      </c>
      <c r="D110" s="840">
        <f t="shared" si="4"/>
        <v>6150</v>
      </c>
      <c r="E110" s="840">
        <f>'[12]Посещения СМП Пр.19-23  '!E110+'[12]Откл.Пр.1-24-Пр.19-23  '!E110</f>
        <v>0</v>
      </c>
      <c r="F110" s="840">
        <f t="shared" si="5"/>
        <v>6150</v>
      </c>
      <c r="G110" s="840">
        <f>'[12]Посещения СМП Пр.19-23  '!G110+'[12]Откл.Пр.1-24-Пр.19-23  '!G110</f>
        <v>2150</v>
      </c>
      <c r="H110" s="840">
        <f>'[12]Посещения СМП Пр.19-23  '!H110+'[12]Откл.Пр.1-24-Пр.19-23  '!H110</f>
        <v>4000</v>
      </c>
    </row>
    <row r="111" spans="1:8" x14ac:dyDescent="0.25">
      <c r="A111" s="632">
        <v>100</v>
      </c>
      <c r="B111" s="633" t="s">
        <v>213</v>
      </c>
      <c r="C111" s="634" t="s">
        <v>214</v>
      </c>
      <c r="D111" s="840">
        <f t="shared" si="4"/>
        <v>4600</v>
      </c>
      <c r="E111" s="840">
        <f>'[12]Посещения СМП Пр.19-23  '!E111+'[12]Откл.Пр.1-24-Пр.19-23  '!E111</f>
        <v>0</v>
      </c>
      <c r="F111" s="840">
        <f t="shared" si="5"/>
        <v>4600</v>
      </c>
      <c r="G111" s="840">
        <f>'[12]Посещения СМП Пр.19-23  '!G111+'[12]Откл.Пр.1-24-Пр.19-23  '!G111</f>
        <v>2600</v>
      </c>
      <c r="H111" s="840">
        <f>'[12]Посещения СМП Пр.19-23  '!H111+'[12]Откл.Пр.1-24-Пр.19-23  '!H111</f>
        <v>2000</v>
      </c>
    </row>
    <row r="112" spans="1:8" x14ac:dyDescent="0.25">
      <c r="A112" s="632">
        <v>101</v>
      </c>
      <c r="B112" s="635" t="s">
        <v>215</v>
      </c>
      <c r="C112" s="634" t="s">
        <v>216</v>
      </c>
      <c r="D112" s="840">
        <f t="shared" si="4"/>
        <v>5174</v>
      </c>
      <c r="E112" s="840">
        <f>'[12]Посещения СМП Пр.19-23  '!E112+'[12]Откл.Пр.1-24-Пр.19-23  '!E112</f>
        <v>0</v>
      </c>
      <c r="F112" s="840">
        <f t="shared" si="5"/>
        <v>5174</v>
      </c>
      <c r="G112" s="840">
        <f>'[12]Посещения СМП Пр.19-23  '!G112+'[12]Откл.Пр.1-24-Пр.19-23  '!G112</f>
        <v>1874</v>
      </c>
      <c r="H112" s="840">
        <f>'[12]Посещения СМП Пр.19-23  '!H112+'[12]Откл.Пр.1-24-Пр.19-23  '!H112</f>
        <v>3300</v>
      </c>
    </row>
    <row r="113" spans="1:8" x14ac:dyDescent="0.25">
      <c r="A113" s="632">
        <v>102</v>
      </c>
      <c r="B113" s="633" t="s">
        <v>217</v>
      </c>
      <c r="C113" s="637" t="s">
        <v>218</v>
      </c>
      <c r="D113" s="840">
        <f t="shared" si="4"/>
        <v>0</v>
      </c>
      <c r="E113" s="840">
        <f>'[12]Посещения СМП Пр.19-23  '!E113+'[12]Откл.Пр.1-24-Пр.19-23  '!E113</f>
        <v>0</v>
      </c>
      <c r="F113" s="840">
        <f t="shared" si="5"/>
        <v>0</v>
      </c>
      <c r="G113" s="840">
        <f>'[12]Посещения СМП Пр.19-23  '!G113+'[12]Откл.Пр.1-24-Пр.19-23  '!G113</f>
        <v>0</v>
      </c>
      <c r="H113" s="840">
        <f>'[12]Посещения СМП Пр.19-23  '!H113+'[12]Откл.Пр.1-24-Пр.19-23  '!H113</f>
        <v>0</v>
      </c>
    </row>
    <row r="114" spans="1:8" x14ac:dyDescent="0.25">
      <c r="A114" s="632">
        <v>103</v>
      </c>
      <c r="B114" s="633" t="s">
        <v>219</v>
      </c>
      <c r="C114" s="634" t="s">
        <v>220</v>
      </c>
      <c r="D114" s="840">
        <f t="shared" si="4"/>
        <v>0</v>
      </c>
      <c r="E114" s="840">
        <f>'[12]Посещения СМП Пр.19-23  '!E114+'[12]Откл.Пр.1-24-Пр.19-23  '!E114</f>
        <v>0</v>
      </c>
      <c r="F114" s="840">
        <f t="shared" si="5"/>
        <v>0</v>
      </c>
      <c r="G114" s="840">
        <f>'[12]Посещения СМП Пр.19-23  '!G114+'[12]Откл.Пр.1-24-Пр.19-23  '!G114</f>
        <v>0</v>
      </c>
      <c r="H114" s="840">
        <f>'[12]Посещения СМП Пр.19-23  '!H114+'[12]Откл.Пр.1-24-Пр.19-23  '!H114</f>
        <v>0</v>
      </c>
    </row>
    <row r="115" spans="1:8" x14ac:dyDescent="0.25">
      <c r="A115" s="632">
        <v>104</v>
      </c>
      <c r="B115" s="636" t="s">
        <v>221</v>
      </c>
      <c r="C115" s="637" t="s">
        <v>222</v>
      </c>
      <c r="D115" s="840">
        <f t="shared" si="4"/>
        <v>0</v>
      </c>
      <c r="E115" s="840">
        <f>'[12]Посещения СМП Пр.19-23  '!E115+'[12]Откл.Пр.1-24-Пр.19-23  '!E115</f>
        <v>0</v>
      </c>
      <c r="F115" s="840">
        <f t="shared" si="5"/>
        <v>0</v>
      </c>
      <c r="G115" s="840">
        <f>'[12]Посещения СМП Пр.19-23  '!G115+'[12]Откл.Пр.1-24-Пр.19-23  '!G115</f>
        <v>0</v>
      </c>
      <c r="H115" s="840">
        <f>'[12]Посещения СМП Пр.19-23  '!H115+'[12]Откл.Пр.1-24-Пр.19-23  '!H115</f>
        <v>0</v>
      </c>
    </row>
    <row r="116" spans="1:8" x14ac:dyDescent="0.25">
      <c r="A116" s="632">
        <v>105</v>
      </c>
      <c r="B116" s="636" t="s">
        <v>223</v>
      </c>
      <c r="C116" s="637" t="s">
        <v>224</v>
      </c>
      <c r="D116" s="840">
        <f t="shared" si="4"/>
        <v>0</v>
      </c>
      <c r="E116" s="840">
        <f>'[12]Посещения СМП Пр.19-23  '!E116+'[12]Откл.Пр.1-24-Пр.19-23  '!E116</f>
        <v>0</v>
      </c>
      <c r="F116" s="840">
        <f t="shared" si="5"/>
        <v>0</v>
      </c>
      <c r="G116" s="840">
        <f>'[12]Посещения СМП Пр.19-23  '!G116+'[12]Откл.Пр.1-24-Пр.19-23  '!G116</f>
        <v>0</v>
      </c>
      <c r="H116" s="840">
        <f>'[12]Посещения СМП Пр.19-23  '!H116+'[12]Откл.Пр.1-24-Пр.19-23  '!H116</f>
        <v>0</v>
      </c>
    </row>
    <row r="117" spans="1:8" x14ac:dyDescent="0.25">
      <c r="A117" s="632">
        <v>106</v>
      </c>
      <c r="B117" s="636" t="s">
        <v>225</v>
      </c>
      <c r="C117" s="637" t="s">
        <v>226</v>
      </c>
      <c r="D117" s="840">
        <f t="shared" si="4"/>
        <v>0</v>
      </c>
      <c r="E117" s="840">
        <f>'[12]Посещения СМП Пр.19-23  '!E117+'[12]Откл.Пр.1-24-Пр.19-23  '!E117</f>
        <v>0</v>
      </c>
      <c r="F117" s="840">
        <f t="shared" si="5"/>
        <v>0</v>
      </c>
      <c r="G117" s="840">
        <f>'[12]Посещения СМП Пр.19-23  '!G117+'[12]Откл.Пр.1-24-Пр.19-23  '!G117</f>
        <v>0</v>
      </c>
      <c r="H117" s="840">
        <f>'[12]Посещения СМП Пр.19-23  '!H117+'[12]Откл.Пр.1-24-Пр.19-23  '!H117</f>
        <v>0</v>
      </c>
    </row>
    <row r="118" spans="1:8" x14ac:dyDescent="0.25">
      <c r="A118" s="632">
        <v>107</v>
      </c>
      <c r="B118" s="636" t="s">
        <v>227</v>
      </c>
      <c r="C118" s="637" t="s">
        <v>228</v>
      </c>
      <c r="D118" s="840">
        <f t="shared" si="4"/>
        <v>0</v>
      </c>
      <c r="E118" s="840">
        <f>'[12]Посещения СМП Пр.19-23  '!E118+'[12]Откл.Пр.1-24-Пр.19-23  '!E118</f>
        <v>0</v>
      </c>
      <c r="F118" s="840">
        <f t="shared" si="5"/>
        <v>0</v>
      </c>
      <c r="G118" s="840">
        <f>'[12]Посещения СМП Пр.19-23  '!G118+'[12]Откл.Пр.1-24-Пр.19-23  '!G118</f>
        <v>0</v>
      </c>
      <c r="H118" s="840">
        <f>'[12]Посещения СМП Пр.19-23  '!H118+'[12]Откл.Пр.1-24-Пр.19-23  '!H118</f>
        <v>0</v>
      </c>
    </row>
    <row r="119" spans="1:8" x14ac:dyDescent="0.25">
      <c r="A119" s="632">
        <v>108</v>
      </c>
      <c r="B119" s="636" t="s">
        <v>229</v>
      </c>
      <c r="C119" s="637" t="s">
        <v>230</v>
      </c>
      <c r="D119" s="840">
        <f t="shared" si="4"/>
        <v>0</v>
      </c>
      <c r="E119" s="840">
        <f>'[12]Посещения СМП Пр.19-23  '!E119+'[12]Откл.Пр.1-24-Пр.19-23  '!E119</f>
        <v>0</v>
      </c>
      <c r="F119" s="840">
        <f t="shared" si="5"/>
        <v>0</v>
      </c>
      <c r="G119" s="840">
        <f>'[12]Посещения СМП Пр.19-23  '!G119+'[12]Откл.Пр.1-24-Пр.19-23  '!G119</f>
        <v>0</v>
      </c>
      <c r="H119" s="840">
        <f>'[12]Посещения СМП Пр.19-23  '!H119+'[12]Откл.Пр.1-24-Пр.19-23  '!H119</f>
        <v>0</v>
      </c>
    </row>
    <row r="120" spans="1:8" x14ac:dyDescent="0.25">
      <c r="A120" s="632">
        <v>109</v>
      </c>
      <c r="B120" s="636" t="s">
        <v>231</v>
      </c>
      <c r="C120" s="637" t="s">
        <v>232</v>
      </c>
      <c r="D120" s="840">
        <f t="shared" si="4"/>
        <v>0</v>
      </c>
      <c r="E120" s="840">
        <f>'[12]Посещения СМП Пр.19-23  '!E120+'[12]Откл.Пр.1-24-Пр.19-23  '!E120</f>
        <v>0</v>
      </c>
      <c r="F120" s="840">
        <f t="shared" si="5"/>
        <v>0</v>
      </c>
      <c r="G120" s="840">
        <f>'[12]Посещения СМП Пр.19-23  '!G120+'[12]Откл.Пр.1-24-Пр.19-23  '!G120</f>
        <v>0</v>
      </c>
      <c r="H120" s="840">
        <f>'[12]Посещения СМП Пр.19-23  '!H120+'[12]Откл.Пр.1-24-Пр.19-23  '!H120</f>
        <v>0</v>
      </c>
    </row>
    <row r="121" spans="1:8" x14ac:dyDescent="0.25">
      <c r="A121" s="632">
        <v>110</v>
      </c>
      <c r="B121" s="643" t="s">
        <v>233</v>
      </c>
      <c r="C121" s="644" t="s">
        <v>234</v>
      </c>
      <c r="D121" s="840">
        <f t="shared" si="4"/>
        <v>0</v>
      </c>
      <c r="E121" s="840">
        <f>'[12]Посещения СМП Пр.19-23  '!E121+'[12]Откл.Пр.1-24-Пр.19-23  '!E121</f>
        <v>0</v>
      </c>
      <c r="F121" s="840">
        <f t="shared" si="5"/>
        <v>0</v>
      </c>
      <c r="G121" s="840">
        <f>'[12]Посещения СМП Пр.19-23  '!G121+'[12]Откл.Пр.1-24-Пр.19-23  '!G121</f>
        <v>0</v>
      </c>
      <c r="H121" s="840">
        <f>'[12]Посещения СМП Пр.19-23  '!H121+'[12]Откл.Пр.1-24-Пр.19-23  '!H121</f>
        <v>0</v>
      </c>
    </row>
    <row r="122" spans="1:8" x14ac:dyDescent="0.25">
      <c r="A122" s="632">
        <v>111</v>
      </c>
      <c r="B122" s="643" t="s">
        <v>235</v>
      </c>
      <c r="C122" s="644" t="s">
        <v>236</v>
      </c>
      <c r="D122" s="840">
        <f t="shared" si="4"/>
        <v>0</v>
      </c>
      <c r="E122" s="840">
        <f>'[12]Посещения СМП Пр.19-23  '!E122+'[12]Откл.Пр.1-24-Пр.19-23  '!E122</f>
        <v>0</v>
      </c>
      <c r="F122" s="840">
        <f t="shared" si="5"/>
        <v>0</v>
      </c>
      <c r="G122" s="840">
        <f>'[12]Посещения СМП Пр.19-23  '!G122+'[12]Откл.Пр.1-24-Пр.19-23  '!G122</f>
        <v>0</v>
      </c>
      <c r="H122" s="840">
        <f>'[12]Посещения СМП Пр.19-23  '!H122+'[12]Откл.Пр.1-24-Пр.19-23  '!H122</f>
        <v>0</v>
      </c>
    </row>
    <row r="123" spans="1:8" x14ac:dyDescent="0.25">
      <c r="A123" s="632">
        <v>112</v>
      </c>
      <c r="B123" s="635" t="s">
        <v>237</v>
      </c>
      <c r="C123" s="634" t="s">
        <v>238</v>
      </c>
      <c r="D123" s="840">
        <f t="shared" si="4"/>
        <v>0</v>
      </c>
      <c r="E123" s="840">
        <f>'[12]Посещения СМП Пр.19-23  '!E123+'[12]Откл.Пр.1-24-Пр.19-23  '!E123</f>
        <v>0</v>
      </c>
      <c r="F123" s="840">
        <f t="shared" si="5"/>
        <v>0</v>
      </c>
      <c r="G123" s="840">
        <f>'[12]Посещения СМП Пр.19-23  '!G123+'[12]Откл.Пр.1-24-Пр.19-23  '!G123</f>
        <v>0</v>
      </c>
      <c r="H123" s="840">
        <f>'[12]Посещения СМП Пр.19-23  '!H123+'[12]Откл.Пр.1-24-Пр.19-23  '!H123</f>
        <v>0</v>
      </c>
    </row>
    <row r="124" spans="1:8" x14ac:dyDescent="0.25">
      <c r="A124" s="632">
        <v>113</v>
      </c>
      <c r="B124" s="636" t="s">
        <v>239</v>
      </c>
      <c r="C124" s="637" t="s">
        <v>240</v>
      </c>
      <c r="D124" s="840">
        <f t="shared" si="4"/>
        <v>0</v>
      </c>
      <c r="E124" s="840">
        <f>'[12]Посещения СМП Пр.19-23  '!E124+'[12]Откл.Пр.1-24-Пр.19-23  '!E124</f>
        <v>0</v>
      </c>
      <c r="F124" s="840">
        <f t="shared" si="5"/>
        <v>0</v>
      </c>
      <c r="G124" s="840">
        <f>'[12]Посещения СМП Пр.19-23  '!G124+'[12]Откл.Пр.1-24-Пр.19-23  '!G124</f>
        <v>0</v>
      </c>
      <c r="H124" s="840">
        <f>'[12]Посещения СМП Пр.19-23  '!H124+'[12]Откл.Пр.1-24-Пр.19-23  '!H124</f>
        <v>0</v>
      </c>
    </row>
    <row r="125" spans="1:8" x14ac:dyDescent="0.25">
      <c r="A125" s="632">
        <v>114</v>
      </c>
      <c r="B125" s="633" t="s">
        <v>241</v>
      </c>
      <c r="C125" s="645" t="s">
        <v>242</v>
      </c>
      <c r="D125" s="840">
        <f t="shared" si="4"/>
        <v>0</v>
      </c>
      <c r="E125" s="840">
        <f>'[12]Посещения СМП Пр.19-23  '!E125+'[12]Откл.Пр.1-24-Пр.19-23  '!E125</f>
        <v>0</v>
      </c>
      <c r="F125" s="840">
        <f t="shared" si="5"/>
        <v>0</v>
      </c>
      <c r="G125" s="840">
        <f>'[12]Посещения СМП Пр.19-23  '!G125+'[12]Откл.Пр.1-24-Пр.19-23  '!G125</f>
        <v>0</v>
      </c>
      <c r="H125" s="840">
        <f>'[12]Посещения СМП Пр.19-23  '!H125+'[12]Откл.Пр.1-24-Пр.19-23  '!H125</f>
        <v>0</v>
      </c>
    </row>
    <row r="126" spans="1:8" x14ac:dyDescent="0.25">
      <c r="A126" s="632">
        <v>115</v>
      </c>
      <c r="B126" s="636" t="s">
        <v>243</v>
      </c>
      <c r="C126" s="32" t="s">
        <v>385</v>
      </c>
      <c r="D126" s="840">
        <f t="shared" si="4"/>
        <v>0</v>
      </c>
      <c r="E126" s="840">
        <f>'[12]Посещения СМП Пр.19-23  '!E126+'[12]Откл.Пр.1-24-Пр.19-23  '!E126</f>
        <v>0</v>
      </c>
      <c r="F126" s="840">
        <f t="shared" si="5"/>
        <v>0</v>
      </c>
      <c r="G126" s="840">
        <f>'[12]Посещения СМП Пр.19-23  '!G126+'[12]Откл.Пр.1-24-Пр.19-23  '!G126</f>
        <v>0</v>
      </c>
      <c r="H126" s="840">
        <f>'[12]Посещения СМП Пр.19-23  '!H126+'[12]Откл.Пр.1-24-Пр.19-23  '!H126</f>
        <v>0</v>
      </c>
    </row>
    <row r="127" spans="1:8" x14ac:dyDescent="0.25">
      <c r="A127" s="632">
        <v>116</v>
      </c>
      <c r="B127" s="635" t="s">
        <v>244</v>
      </c>
      <c r="C127" s="637" t="s">
        <v>245</v>
      </c>
      <c r="D127" s="840">
        <f t="shared" si="4"/>
        <v>0</v>
      </c>
      <c r="E127" s="840">
        <f>'[12]Посещения СМП Пр.19-23  '!E127+'[12]Откл.Пр.1-24-Пр.19-23  '!E127</f>
        <v>0</v>
      </c>
      <c r="F127" s="840">
        <f t="shared" si="5"/>
        <v>0</v>
      </c>
      <c r="G127" s="840">
        <f>'[12]Посещения СМП Пр.19-23  '!G127+'[12]Откл.Пр.1-24-Пр.19-23  '!G127</f>
        <v>0</v>
      </c>
      <c r="H127" s="840">
        <f>'[12]Посещения СМП Пр.19-23  '!H127+'[12]Откл.Пр.1-24-Пр.19-23  '!H127</f>
        <v>0</v>
      </c>
    </row>
    <row r="128" spans="1:8" x14ac:dyDescent="0.25">
      <c r="A128" s="632">
        <v>117</v>
      </c>
      <c r="B128" s="635" t="s">
        <v>246</v>
      </c>
      <c r="C128" s="637" t="s">
        <v>247</v>
      </c>
      <c r="D128" s="840">
        <f t="shared" si="4"/>
        <v>0</v>
      </c>
      <c r="E128" s="840">
        <f>'[12]Посещения СМП Пр.19-23  '!E128+'[12]Откл.Пр.1-24-Пр.19-23  '!E128</f>
        <v>0</v>
      </c>
      <c r="F128" s="840">
        <f t="shared" si="5"/>
        <v>0</v>
      </c>
      <c r="G128" s="840">
        <f>'[12]Посещения СМП Пр.19-23  '!G128+'[12]Откл.Пр.1-24-Пр.19-23  '!G128</f>
        <v>0</v>
      </c>
      <c r="H128" s="840">
        <f>'[12]Посещения СМП Пр.19-23  '!H128+'[12]Откл.Пр.1-24-Пр.19-23  '!H128</f>
        <v>0</v>
      </c>
    </row>
    <row r="129" spans="1:8" x14ac:dyDescent="0.25">
      <c r="A129" s="632">
        <v>118</v>
      </c>
      <c r="B129" s="635" t="s">
        <v>248</v>
      </c>
      <c r="C129" s="637" t="s">
        <v>249</v>
      </c>
      <c r="D129" s="840">
        <f t="shared" si="4"/>
        <v>0</v>
      </c>
      <c r="E129" s="840">
        <f>'[12]Посещения СМП Пр.19-23  '!E129+'[12]Откл.Пр.1-24-Пр.19-23  '!E129</f>
        <v>0</v>
      </c>
      <c r="F129" s="840">
        <f t="shared" si="5"/>
        <v>0</v>
      </c>
      <c r="G129" s="840">
        <f>'[12]Посещения СМП Пр.19-23  '!G129+'[12]Откл.Пр.1-24-Пр.19-23  '!G129</f>
        <v>0</v>
      </c>
      <c r="H129" s="840">
        <f>'[12]Посещения СМП Пр.19-23  '!H129+'[12]Откл.Пр.1-24-Пр.19-23  '!H129</f>
        <v>0</v>
      </c>
    </row>
    <row r="130" spans="1:8" x14ac:dyDescent="0.25">
      <c r="A130" s="632">
        <v>119</v>
      </c>
      <c r="B130" s="633" t="s">
        <v>250</v>
      </c>
      <c r="C130" s="634" t="s">
        <v>251</v>
      </c>
      <c r="D130" s="840">
        <f t="shared" si="4"/>
        <v>0</v>
      </c>
      <c r="E130" s="840">
        <f>'[12]Посещения СМП Пр.19-23  '!E130+'[12]Откл.Пр.1-24-Пр.19-23  '!E130</f>
        <v>0</v>
      </c>
      <c r="F130" s="840">
        <f t="shared" si="5"/>
        <v>0</v>
      </c>
      <c r="G130" s="840">
        <f>'[12]Посещения СМП Пр.19-23  '!G130+'[12]Откл.Пр.1-24-Пр.19-23  '!G130</f>
        <v>0</v>
      </c>
      <c r="H130" s="840">
        <f>'[12]Посещения СМП Пр.19-23  '!H130+'[12]Откл.Пр.1-24-Пр.19-23  '!H130</f>
        <v>0</v>
      </c>
    </row>
    <row r="131" spans="1:8" x14ac:dyDescent="0.25">
      <c r="A131" s="632">
        <v>120</v>
      </c>
      <c r="B131" s="635" t="s">
        <v>252</v>
      </c>
      <c r="C131" s="634" t="s">
        <v>253</v>
      </c>
      <c r="D131" s="840">
        <f t="shared" si="4"/>
        <v>0</v>
      </c>
      <c r="E131" s="840">
        <f>'[12]Посещения СМП Пр.19-23  '!E131+'[12]Откл.Пр.1-24-Пр.19-23  '!E131</f>
        <v>0</v>
      </c>
      <c r="F131" s="840">
        <f t="shared" si="5"/>
        <v>0</v>
      </c>
      <c r="G131" s="840">
        <f>'[12]Посещения СМП Пр.19-23  '!G131+'[12]Откл.Пр.1-24-Пр.19-23  '!G131</f>
        <v>0</v>
      </c>
      <c r="H131" s="840">
        <f>'[12]Посещения СМП Пр.19-23  '!H131+'[12]Откл.Пр.1-24-Пр.19-23  '!H131</f>
        <v>0</v>
      </c>
    </row>
    <row r="132" spans="1:8" x14ac:dyDescent="0.25">
      <c r="A132" s="632">
        <v>121</v>
      </c>
      <c r="B132" s="636" t="s">
        <v>254</v>
      </c>
      <c r="C132" s="637" t="s">
        <v>255</v>
      </c>
      <c r="D132" s="840">
        <f t="shared" si="4"/>
        <v>0</v>
      </c>
      <c r="E132" s="840">
        <f>'[12]Посещения СМП Пр.19-23  '!E132+'[12]Откл.Пр.1-24-Пр.19-23  '!E132</f>
        <v>0</v>
      </c>
      <c r="F132" s="840">
        <f t="shared" si="5"/>
        <v>0</v>
      </c>
      <c r="G132" s="840">
        <f>'[12]Посещения СМП Пр.19-23  '!G132+'[12]Откл.Пр.1-24-Пр.19-23  '!G132</f>
        <v>0</v>
      </c>
      <c r="H132" s="840">
        <f>'[12]Посещения СМП Пр.19-23  '!H132+'[12]Откл.Пр.1-24-Пр.19-23  '!H132</f>
        <v>0</v>
      </c>
    </row>
    <row r="133" spans="1:8" x14ac:dyDescent="0.25">
      <c r="A133" s="632">
        <v>122</v>
      </c>
      <c r="B133" s="636" t="s">
        <v>256</v>
      </c>
      <c r="C133" s="637" t="s">
        <v>257</v>
      </c>
      <c r="D133" s="840">
        <f t="shared" si="4"/>
        <v>0</v>
      </c>
      <c r="E133" s="840">
        <f>'[12]Посещения СМП Пр.19-23  '!E133+'[12]Откл.Пр.1-24-Пр.19-23  '!E133</f>
        <v>0</v>
      </c>
      <c r="F133" s="840">
        <f t="shared" si="5"/>
        <v>0</v>
      </c>
      <c r="G133" s="840">
        <f>'[12]Посещения СМП Пр.19-23  '!G133+'[12]Откл.Пр.1-24-Пр.19-23  '!G133</f>
        <v>0</v>
      </c>
      <c r="H133" s="840">
        <f>'[12]Посещения СМП Пр.19-23  '!H133+'[12]Откл.Пр.1-24-Пр.19-23  '!H133</f>
        <v>0</v>
      </c>
    </row>
    <row r="134" spans="1:8" x14ac:dyDescent="0.25">
      <c r="A134" s="632">
        <v>123</v>
      </c>
      <c r="B134" s="636" t="s">
        <v>258</v>
      </c>
      <c r="C134" s="637" t="s">
        <v>259</v>
      </c>
      <c r="D134" s="840">
        <f t="shared" si="4"/>
        <v>0</v>
      </c>
      <c r="E134" s="840">
        <f>'[12]Посещения СМП Пр.19-23  '!E134+'[12]Откл.Пр.1-24-Пр.19-23  '!E134</f>
        <v>0</v>
      </c>
      <c r="F134" s="840">
        <f t="shared" si="5"/>
        <v>0</v>
      </c>
      <c r="G134" s="840">
        <f>'[12]Посещения СМП Пр.19-23  '!G134+'[12]Откл.Пр.1-24-Пр.19-23  '!G134</f>
        <v>0</v>
      </c>
      <c r="H134" s="840">
        <f>'[12]Посещения СМП Пр.19-23  '!H134+'[12]Откл.Пр.1-24-Пр.19-23  '!H134</f>
        <v>0</v>
      </c>
    </row>
    <row r="135" spans="1:8" x14ac:dyDescent="0.25">
      <c r="A135" s="632">
        <v>124</v>
      </c>
      <c r="B135" s="636" t="s">
        <v>260</v>
      </c>
      <c r="C135" s="637" t="s">
        <v>261</v>
      </c>
      <c r="D135" s="840">
        <f t="shared" si="4"/>
        <v>0</v>
      </c>
      <c r="E135" s="840">
        <f>'[12]Посещения СМП Пр.19-23  '!E135+'[12]Откл.Пр.1-24-Пр.19-23  '!E135</f>
        <v>0</v>
      </c>
      <c r="F135" s="840">
        <f t="shared" si="5"/>
        <v>0</v>
      </c>
      <c r="G135" s="840">
        <f>'[12]Посещения СМП Пр.19-23  '!G135+'[12]Откл.Пр.1-24-Пр.19-23  '!G135</f>
        <v>0</v>
      </c>
      <c r="H135" s="840">
        <f>'[12]Посещения СМП Пр.19-23  '!H135+'[12]Откл.Пр.1-24-Пр.19-23  '!H135</f>
        <v>0</v>
      </c>
    </row>
    <row r="136" spans="1:8" x14ac:dyDescent="0.25">
      <c r="A136" s="632">
        <v>125</v>
      </c>
      <c r="B136" s="636" t="s">
        <v>262</v>
      </c>
      <c r="C136" s="637" t="s">
        <v>263</v>
      </c>
      <c r="D136" s="840">
        <f t="shared" si="4"/>
        <v>0</v>
      </c>
      <c r="E136" s="840">
        <f>'[12]Посещения СМП Пр.19-23  '!E136+'[12]Откл.Пр.1-24-Пр.19-23  '!E136</f>
        <v>0</v>
      </c>
      <c r="F136" s="840">
        <f t="shared" si="5"/>
        <v>0</v>
      </c>
      <c r="G136" s="840">
        <f>'[12]Посещения СМП Пр.19-23  '!G136+'[12]Откл.Пр.1-24-Пр.19-23  '!G136</f>
        <v>0</v>
      </c>
      <c r="H136" s="840">
        <f>'[12]Посещения СМП Пр.19-23  '!H136+'[12]Откл.Пр.1-24-Пр.19-23  '!H136</f>
        <v>0</v>
      </c>
    </row>
    <row r="137" spans="1:8" x14ac:dyDescent="0.25">
      <c r="A137" s="632">
        <v>126</v>
      </c>
      <c r="B137" s="633" t="s">
        <v>264</v>
      </c>
      <c r="C137" s="634" t="s">
        <v>265</v>
      </c>
      <c r="D137" s="840">
        <f t="shared" si="4"/>
        <v>0</v>
      </c>
      <c r="E137" s="840">
        <f>'[12]Посещения СМП Пр.19-23  '!E137+'[12]Откл.Пр.1-24-Пр.19-23  '!E137</f>
        <v>0</v>
      </c>
      <c r="F137" s="840">
        <f t="shared" si="5"/>
        <v>0</v>
      </c>
      <c r="G137" s="840">
        <f>'[12]Посещения СМП Пр.19-23  '!G137+'[12]Откл.Пр.1-24-Пр.19-23  '!G137</f>
        <v>0</v>
      </c>
      <c r="H137" s="840">
        <f>'[12]Посещения СМП Пр.19-23  '!H137+'[12]Откл.Пр.1-24-Пр.19-23  '!H137</f>
        <v>0</v>
      </c>
    </row>
    <row r="138" spans="1:8" x14ac:dyDescent="0.25">
      <c r="A138" s="632">
        <v>127</v>
      </c>
      <c r="B138" s="633" t="s">
        <v>266</v>
      </c>
      <c r="C138" s="637" t="s">
        <v>267</v>
      </c>
      <c r="D138" s="840">
        <f t="shared" ref="D138:D151" si="6">E138+F138</f>
        <v>0</v>
      </c>
      <c r="E138" s="840">
        <f>'[12]Посещения СМП Пр.19-23  '!E138+'[12]Откл.Пр.1-24-Пр.19-23  '!E138</f>
        <v>0</v>
      </c>
      <c r="F138" s="840">
        <f t="shared" ref="F138:F151" si="7">SUM(G138:H138)</f>
        <v>0</v>
      </c>
      <c r="G138" s="840">
        <f>'[12]Посещения СМП Пр.19-23  '!G138+'[12]Откл.Пр.1-24-Пр.19-23  '!G138</f>
        <v>0</v>
      </c>
      <c r="H138" s="840">
        <f>'[12]Посещения СМП Пр.19-23  '!H138+'[12]Откл.Пр.1-24-Пр.19-23  '!H138</f>
        <v>0</v>
      </c>
    </row>
    <row r="139" spans="1:8" x14ac:dyDescent="0.25">
      <c r="A139" s="632">
        <v>128</v>
      </c>
      <c r="B139" s="638" t="s">
        <v>268</v>
      </c>
      <c r="C139" s="32" t="s">
        <v>269</v>
      </c>
      <c r="D139" s="840">
        <f t="shared" si="6"/>
        <v>0</v>
      </c>
      <c r="E139" s="840">
        <f>'[12]Посещения СМП Пр.19-23  '!E139+'[12]Откл.Пр.1-24-Пр.19-23  '!E139</f>
        <v>0</v>
      </c>
      <c r="F139" s="840">
        <f t="shared" si="7"/>
        <v>0</v>
      </c>
      <c r="G139" s="840">
        <f>'[12]Посещения СМП Пр.19-23  '!G139+'[12]Откл.Пр.1-24-Пр.19-23  '!G139</f>
        <v>0</v>
      </c>
      <c r="H139" s="840">
        <f>'[12]Посещения СМП Пр.19-23  '!H139+'[12]Откл.Пр.1-24-Пр.19-23  '!H139</f>
        <v>0</v>
      </c>
    </row>
    <row r="140" spans="1:8" x14ac:dyDescent="0.25">
      <c r="A140" s="632">
        <v>129</v>
      </c>
      <c r="B140" s="636" t="s">
        <v>270</v>
      </c>
      <c r="C140" s="637" t="s">
        <v>271</v>
      </c>
      <c r="D140" s="840">
        <f t="shared" si="6"/>
        <v>0</v>
      </c>
      <c r="E140" s="840">
        <f>'[12]Посещения СМП Пр.19-23  '!E140+'[12]Откл.Пр.1-24-Пр.19-23  '!E140</f>
        <v>0</v>
      </c>
      <c r="F140" s="840">
        <f t="shared" si="7"/>
        <v>0</v>
      </c>
      <c r="G140" s="840">
        <f>'[12]Посещения СМП Пр.19-23  '!G140+'[12]Откл.Пр.1-24-Пр.19-23  '!G140</f>
        <v>0</v>
      </c>
      <c r="H140" s="840">
        <f>'[12]Посещения СМП Пр.19-23  '!H140+'[12]Откл.Пр.1-24-Пр.19-23  '!H140</f>
        <v>0</v>
      </c>
    </row>
    <row r="141" spans="1:8" x14ac:dyDescent="0.25">
      <c r="A141" s="632">
        <v>130</v>
      </c>
      <c r="B141" s="636" t="s">
        <v>272</v>
      </c>
      <c r="C141" s="637" t="s">
        <v>273</v>
      </c>
      <c r="D141" s="840">
        <f t="shared" si="6"/>
        <v>0</v>
      </c>
      <c r="E141" s="840">
        <f>'[12]Посещения СМП Пр.19-23  '!E141+'[12]Откл.Пр.1-24-Пр.19-23  '!E141</f>
        <v>0</v>
      </c>
      <c r="F141" s="840">
        <f t="shared" si="7"/>
        <v>0</v>
      </c>
      <c r="G141" s="840">
        <f>'[12]Посещения СМП Пр.19-23  '!G141+'[12]Откл.Пр.1-24-Пр.19-23  '!G141</f>
        <v>0</v>
      </c>
      <c r="H141" s="840">
        <f>'[12]Посещения СМП Пр.19-23  '!H141+'[12]Откл.Пр.1-24-Пр.19-23  '!H141</f>
        <v>0</v>
      </c>
    </row>
    <row r="142" spans="1:8" x14ac:dyDescent="0.25">
      <c r="A142" s="632">
        <v>131</v>
      </c>
      <c r="B142" s="636" t="s">
        <v>274</v>
      </c>
      <c r="C142" s="637" t="s">
        <v>275</v>
      </c>
      <c r="D142" s="840">
        <f t="shared" si="6"/>
        <v>0</v>
      </c>
      <c r="E142" s="840">
        <f>'[12]Посещения СМП Пр.19-23  '!E142+'[12]Откл.Пр.1-24-Пр.19-23  '!E142</f>
        <v>0</v>
      </c>
      <c r="F142" s="840">
        <f t="shared" si="7"/>
        <v>0</v>
      </c>
      <c r="G142" s="840">
        <f>'[12]Посещения СМП Пр.19-23  '!G142+'[12]Откл.Пр.1-24-Пр.19-23  '!G142</f>
        <v>0</v>
      </c>
      <c r="H142" s="840">
        <f>'[12]Посещения СМП Пр.19-23  '!H142+'[12]Откл.Пр.1-24-Пр.19-23  '!H142</f>
        <v>0</v>
      </c>
    </row>
    <row r="143" spans="1:8" x14ac:dyDescent="0.25">
      <c r="A143" s="632">
        <v>132</v>
      </c>
      <c r="B143" s="638" t="s">
        <v>276</v>
      </c>
      <c r="C143" s="32" t="s">
        <v>277</v>
      </c>
      <c r="D143" s="840">
        <f t="shared" si="6"/>
        <v>0</v>
      </c>
      <c r="E143" s="840">
        <f>'[12]Посещения СМП Пр.19-23  '!E143+'[12]Откл.Пр.1-24-Пр.19-23  '!E143</f>
        <v>0</v>
      </c>
      <c r="F143" s="840">
        <f t="shared" si="7"/>
        <v>0</v>
      </c>
      <c r="G143" s="840">
        <f>'[12]Посещения СМП Пр.19-23  '!G143+'[12]Откл.Пр.1-24-Пр.19-23  '!G143</f>
        <v>0</v>
      </c>
      <c r="H143" s="840">
        <f>'[12]Посещения СМП Пр.19-23  '!H143+'[12]Откл.Пр.1-24-Пр.19-23  '!H143</f>
        <v>0</v>
      </c>
    </row>
    <row r="144" spans="1:8" x14ac:dyDescent="0.25">
      <c r="A144" s="632">
        <v>133</v>
      </c>
      <c r="B144" s="635" t="s">
        <v>278</v>
      </c>
      <c r="C144" s="32" t="s">
        <v>279</v>
      </c>
      <c r="D144" s="840">
        <f t="shared" si="6"/>
        <v>2770</v>
      </c>
      <c r="E144" s="840">
        <f>'[12]Посещения СМП Пр.19-23  '!E144+'[12]Откл.Пр.1-24-Пр.19-23  '!E144</f>
        <v>0</v>
      </c>
      <c r="F144" s="840">
        <f t="shared" si="7"/>
        <v>2770</v>
      </c>
      <c r="G144" s="840">
        <f>'[12]Посещения СМП Пр.19-23  '!G144+'[12]Откл.Пр.1-24-Пр.19-23  '!G144</f>
        <v>0</v>
      </c>
      <c r="H144" s="840">
        <f>'[12]Посещения СМП Пр.19-23  '!H144+'[12]Откл.Пр.1-24-Пр.19-23  '!H144</f>
        <v>2770</v>
      </c>
    </row>
    <row r="145" spans="1:8" x14ac:dyDescent="0.25">
      <c r="A145" s="632">
        <v>134</v>
      </c>
      <c r="B145" s="636" t="s">
        <v>280</v>
      </c>
      <c r="C145" s="637" t="s">
        <v>281</v>
      </c>
      <c r="D145" s="840">
        <f t="shared" si="6"/>
        <v>0</v>
      </c>
      <c r="E145" s="840">
        <f>'[12]Посещения СМП Пр.19-23  '!E145+'[12]Откл.Пр.1-24-Пр.19-23  '!E145</f>
        <v>0</v>
      </c>
      <c r="F145" s="840">
        <f t="shared" si="7"/>
        <v>0</v>
      </c>
      <c r="G145" s="840">
        <f>'[12]Посещения СМП Пр.19-23  '!G145+'[12]Откл.Пр.1-24-Пр.19-23  '!G145</f>
        <v>0</v>
      </c>
      <c r="H145" s="840">
        <f>'[12]Посещения СМП Пр.19-23  '!H145+'[12]Откл.Пр.1-24-Пр.19-23  '!H145</f>
        <v>0</v>
      </c>
    </row>
    <row r="146" spans="1:8" x14ac:dyDescent="0.25">
      <c r="A146" s="632">
        <v>135</v>
      </c>
      <c r="B146" s="633" t="s">
        <v>282</v>
      </c>
      <c r="C146" s="634" t="s">
        <v>283</v>
      </c>
      <c r="D146" s="840">
        <f t="shared" si="6"/>
        <v>0</v>
      </c>
      <c r="E146" s="840">
        <f>'[12]Посещения СМП Пр.19-23  '!E146+'[12]Откл.Пр.1-24-Пр.19-23  '!E146</f>
        <v>0</v>
      </c>
      <c r="F146" s="840">
        <f t="shared" si="7"/>
        <v>0</v>
      </c>
      <c r="G146" s="840">
        <f>'[12]Посещения СМП Пр.19-23  '!G146+'[12]Откл.Пр.1-24-Пр.19-23  '!G146</f>
        <v>0</v>
      </c>
      <c r="H146" s="840">
        <f>'[12]Посещения СМП Пр.19-23  '!H146+'[12]Откл.Пр.1-24-Пр.19-23  '!H146</f>
        <v>0</v>
      </c>
    </row>
    <row r="147" spans="1:8" x14ac:dyDescent="0.25">
      <c r="A147" s="632">
        <v>136</v>
      </c>
      <c r="B147" s="646" t="s">
        <v>284</v>
      </c>
      <c r="C147" s="647" t="s">
        <v>285</v>
      </c>
      <c r="D147" s="840">
        <f t="shared" si="6"/>
        <v>0</v>
      </c>
      <c r="E147" s="840">
        <f>'[12]Посещения СМП Пр.19-23  '!E147+'[12]Откл.Пр.1-24-Пр.19-23  '!E147</f>
        <v>0</v>
      </c>
      <c r="F147" s="840">
        <f t="shared" si="7"/>
        <v>0</v>
      </c>
      <c r="G147" s="840">
        <f>'[12]Посещения СМП Пр.19-23  '!G147+'[12]Откл.Пр.1-24-Пр.19-23  '!G147</f>
        <v>0</v>
      </c>
      <c r="H147" s="840">
        <f>'[12]Посещения СМП Пр.19-23  '!H147+'[12]Откл.Пр.1-24-Пр.19-23  '!H147</f>
        <v>0</v>
      </c>
    </row>
    <row r="148" spans="1:8" x14ac:dyDescent="0.25">
      <c r="A148" s="632">
        <v>137</v>
      </c>
      <c r="B148" s="40" t="s">
        <v>387</v>
      </c>
      <c r="C148" s="648" t="s">
        <v>388</v>
      </c>
      <c r="D148" s="840">
        <f t="shared" si="6"/>
        <v>0</v>
      </c>
      <c r="E148" s="840">
        <f>'[12]Посещения СМП Пр.19-23  '!E148+'[12]Откл.Пр.1-24-Пр.19-23  '!E148</f>
        <v>0</v>
      </c>
      <c r="F148" s="840">
        <f t="shared" si="7"/>
        <v>0</v>
      </c>
      <c r="G148" s="840">
        <f>'[12]Посещения СМП Пр.19-23  '!G148+'[12]Откл.Пр.1-24-Пр.19-23  '!G148</f>
        <v>0</v>
      </c>
      <c r="H148" s="840">
        <f>'[12]Посещения СМП Пр.19-23  '!H148+'[12]Откл.Пр.1-24-Пр.19-23  '!H148</f>
        <v>0</v>
      </c>
    </row>
    <row r="149" spans="1:8" x14ac:dyDescent="0.25">
      <c r="A149" s="632">
        <v>138</v>
      </c>
      <c r="B149" s="41" t="s">
        <v>389</v>
      </c>
      <c r="C149" s="649" t="s">
        <v>390</v>
      </c>
      <c r="D149" s="840">
        <f t="shared" si="6"/>
        <v>0</v>
      </c>
      <c r="E149" s="840">
        <f>'[12]Посещения СМП Пр.19-23  '!E149+'[12]Откл.Пр.1-24-Пр.19-23  '!E149</f>
        <v>0</v>
      </c>
      <c r="F149" s="840">
        <f t="shared" si="7"/>
        <v>0</v>
      </c>
      <c r="G149" s="840">
        <f>'[12]Посещения СМП Пр.19-23  '!G149+'[12]Откл.Пр.1-24-Пр.19-23  '!G149</f>
        <v>0</v>
      </c>
      <c r="H149" s="840">
        <f>'[12]Посещения СМП Пр.19-23  '!H149+'[12]Откл.Пр.1-24-Пр.19-23  '!H149</f>
        <v>0</v>
      </c>
    </row>
    <row r="150" spans="1:8" x14ac:dyDescent="0.25">
      <c r="A150" s="632">
        <v>139</v>
      </c>
      <c r="B150" s="42" t="s">
        <v>391</v>
      </c>
      <c r="C150" s="650" t="s">
        <v>392</v>
      </c>
      <c r="D150" s="840">
        <f t="shared" si="6"/>
        <v>0</v>
      </c>
      <c r="E150" s="840">
        <f>'[12]Посещения СМП Пр.19-23  '!E150+'[12]Откл.Пр.1-24-Пр.19-23  '!E150</f>
        <v>0</v>
      </c>
      <c r="F150" s="840">
        <f t="shared" si="7"/>
        <v>0</v>
      </c>
      <c r="G150" s="840">
        <f>'[12]Посещения СМП Пр.19-23  '!G150+'[12]Откл.Пр.1-24-Пр.19-23  '!G150</f>
        <v>0</v>
      </c>
      <c r="H150" s="840">
        <f>'[12]Посещения СМП Пр.19-23  '!H150+'[12]Откл.Пр.1-24-Пр.19-23  '!H150</f>
        <v>0</v>
      </c>
    </row>
    <row r="151" spans="1:8" x14ac:dyDescent="0.25">
      <c r="A151" s="632">
        <v>140</v>
      </c>
      <c r="B151" s="632" t="s">
        <v>393</v>
      </c>
      <c r="C151" s="651" t="s">
        <v>394</v>
      </c>
      <c r="D151" s="840">
        <f t="shared" si="6"/>
        <v>0</v>
      </c>
      <c r="E151" s="840">
        <f>'[12]Посещения СМП Пр.19-23  '!E151+'[12]Откл.Пр.1-24-Пр.19-23  '!E151</f>
        <v>0</v>
      </c>
      <c r="F151" s="840">
        <f t="shared" si="7"/>
        <v>0</v>
      </c>
      <c r="G151" s="840">
        <f>'[12]Посещения СМП Пр.19-23  '!G151+'[12]Откл.Пр.1-24-Пр.19-23  '!G151</f>
        <v>0</v>
      </c>
      <c r="H151" s="840">
        <f>'[12]Посещения СМП Пр.19-23  '!H151+'[12]Откл.Пр.1-24-Пр.19-23  '!H151</f>
        <v>0</v>
      </c>
    </row>
    <row r="155" spans="1:8" x14ac:dyDescent="0.25">
      <c r="D155" s="729"/>
      <c r="E155" s="729"/>
      <c r="F155" s="729"/>
      <c r="G155" s="729"/>
      <c r="H155" s="729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4"/>
    <mergeCell ref="B92:B9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Пр.1-24</vt:lpstr>
      <vt:lpstr>ВМП КС Пр.1-24</vt:lpstr>
      <vt:lpstr>ДС (пр.01-24)</vt:lpstr>
      <vt:lpstr>ВМП ДС (пр.01-24)</vt:lpstr>
      <vt:lpstr>Проф.Свод Пр.1-24</vt:lpstr>
      <vt:lpstr>Дисп. наблюдение Свод Пр.1-24</vt:lpstr>
      <vt:lpstr>Раз.пос.Пр.1-24    </vt:lpstr>
      <vt:lpstr>Пос с др.целями Пр.1-24</vt:lpstr>
      <vt:lpstr>Посещения СМП Пр.1-24  </vt:lpstr>
      <vt:lpstr>ШСД Пр. 19-23 </vt:lpstr>
      <vt:lpstr>Диспан.набл.взрослых Пр.17-23</vt:lpstr>
      <vt:lpstr>Углуб.дисп.Пр. 18-23 </vt:lpstr>
      <vt:lpstr>Центры здоровья  Пр.1-24</vt:lpstr>
      <vt:lpstr>ДВН центр.исслед.Пр.18-23</vt:lpstr>
      <vt:lpstr>Посещения неотл. 1-24</vt:lpstr>
      <vt:lpstr>Обращения 1-24</vt:lpstr>
      <vt:lpstr>Мед.реаб. в АПУ 1-24</vt:lpstr>
      <vt:lpstr>Долечивание, кибер-нож Пр.20-22</vt:lpstr>
      <vt:lpstr>Венерология Пр. 16-23</vt:lpstr>
      <vt:lpstr>Паллиативная МП Пр. 18-23</vt:lpstr>
      <vt:lpstr>Психотерапия Пр. 18-23</vt:lpstr>
      <vt:lpstr>Наркология Пр. 18-23</vt:lpstr>
      <vt:lpstr>Фтизиатрия Пр.18-23</vt:lpstr>
      <vt:lpstr>КТ,МРТ Пр.1-24</vt:lpstr>
      <vt:lpstr>УЗИ ССС Пр. 1-24</vt:lpstr>
      <vt:lpstr>ЭИ, ПАИ, МГИ Пр.1-24</vt:lpstr>
      <vt:lpstr>ПЦР Пр. 1-24 </vt:lpstr>
      <vt:lpstr>РД, ПЭТ, УЗИ 18-23</vt:lpstr>
      <vt:lpstr>гемодиализ (пр.19-23) </vt:lpstr>
      <vt:lpstr>Объемы ОРВИ, Грипп 1-24</vt:lpstr>
      <vt:lpstr>СМП объемы  (1-24)</vt:lpstr>
      <vt:lpstr>'ВМП КС Пр.1-24'!Заголовки_для_печати</vt:lpstr>
      <vt:lpstr>'Дисп. наблюдение Свод Пр.1-24'!Заголовки_для_печати</vt:lpstr>
      <vt:lpstr>'Диспан.набл.взрослых Пр.17-23'!Заголовки_для_печати</vt:lpstr>
      <vt:lpstr>'КС Пр.1-24'!Заголовки_для_печати</vt:lpstr>
      <vt:lpstr>'Пос с др.целями Пр.1-24'!Заголовки_для_печати</vt:lpstr>
      <vt:lpstr>'Проф.Свод Пр.1-24'!Заголовки_для_печати</vt:lpstr>
      <vt:lpstr>'Раз.пос.Пр.1-24    '!Заголовки_для_печати</vt:lpstr>
      <vt:lpstr>'СМП объемы  (1-24)'!Заголовки_для_печати</vt:lpstr>
      <vt:lpstr>'ШСД Пр. 19-23 '!Заголовки_для_печати</vt:lpstr>
      <vt:lpstr>'Центры здоровья  Пр.1-24'!Область_печати</vt:lpstr>
      <vt:lpstr>'ЭИ, ПАИ, МГИ Пр.1-24'!Область_печати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2024-01-18T11:16:16Z</dcterms:modified>
</cp:coreProperties>
</file>