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filterPrivacy="1"/>
  <xr:revisionPtr revIDLastSave="0" documentId="13_ncr:1_{ACC77EF8-5DE0-49E2-ADE3-47F9C3A073A1}" xr6:coauthVersionLast="36" xr6:coauthVersionMax="36" xr10:uidLastSave="{00000000-0000-0000-0000-000000000000}"/>
  <bookViews>
    <workbookView xWindow="0" yWindow="180" windowWidth="19200" windowHeight="11115" tabRatio="733" firstSheet="19" activeTab="23" xr2:uid="{00000000-000D-0000-FFFF-FFFF00000000}"/>
  </bookViews>
  <sheets>
    <sheet name="КС Пр.6-22" sheetId="173" r:id="rId1"/>
    <sheet name="ВМП КС ПР.6-22" sheetId="174" r:id="rId2"/>
    <sheet name="ДС Пр.6-22" sheetId="150" r:id="rId3"/>
    <sheet name="ВМП ДС Пр. 2-22 " sheetId="153" r:id="rId4"/>
    <sheet name="Неотложная МП 4-22 " sheetId="146" r:id="rId5"/>
    <sheet name="Обращения 6-22 " sheetId="168" r:id="rId6"/>
    <sheet name="Объемы МР 6-22" sheetId="169" r:id="rId7"/>
    <sheet name="Профил. СВОД Пр.6-22 " sheetId="164" r:id="rId8"/>
    <sheet name="Диспансер.набл.Пр.6-22" sheetId="165" r:id="rId9"/>
    <sheet name="Разов.пос.по заб.Пр.6-22" sheetId="166" r:id="rId10"/>
    <sheet name="Посещ.с др.целями Пр.6-22" sheetId="167" r:id="rId11"/>
    <sheet name="Центры здоровья Пр.19-21" sheetId="155" r:id="rId12"/>
    <sheet name="ДВН центр.исслед.Пр.3-22" sheetId="156" r:id="rId13"/>
    <sheet name="Углубленная диспан. Пр.3-22" sheetId="157" r:id="rId14"/>
    <sheet name="СМП Пр.4-22" sheetId="134" r:id="rId15"/>
    <sheet name="КТ, МРТ Пр. 6-22" sheetId="145" r:id="rId16"/>
    <sheet name="УЗИ ссс Пр. 6-22" sheetId="144" r:id="rId17"/>
    <sheet name="ЭИ, ПАИ, МГИ Пр. 4-22" sheetId="143" r:id="rId18"/>
    <sheet name="COVID-19 Пр. 3-22" sheetId="162" r:id="rId19"/>
    <sheet name="РД, ПЭТ, УЗИ скрининг Пр. 3-22" sheetId="161" r:id="rId20"/>
    <sheet name="Венерология Пр. 19-21" sheetId="160" r:id="rId21"/>
    <sheet name="Паллиативная помощь Пр.19-21" sheetId="163" r:id="rId22"/>
    <sheet name="Долечивание, Кибер-нож Пр.19-21" sheetId="159" r:id="rId23"/>
    <sheet name="ФАП (услуги связи) Пр.6-22" sheetId="158" r:id="rId24"/>
    <sheet name="Гемодиализ Пр. 4-22" sheetId="1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Пр.6-22'!$B$5:$J$144</definedName>
    <definedName name="_xlnm._FilterDatabase" localSheetId="0" hidden="1">'КС Пр.6-22'!$A$4:$L$134</definedName>
    <definedName name="_xlnm._FilterDatabase" localSheetId="5" hidden="1">'Обращения 6-22 '!$A$7:$L$7</definedName>
    <definedName name="_xlnm._FilterDatabase" localSheetId="14" hidden="1">'СМП Пр.4-22'!$A$7:$F$44</definedName>
    <definedName name="_xlnm._FilterDatabase" localSheetId="13" hidden="1">'Углубленная диспан. Пр.3-22'!$A$6:$I$82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[4]Данные!$B$1:$EF$178</definedName>
    <definedName name="Д" localSheetId="12">[3]Данные!$B$1:$EF$178</definedName>
    <definedName name="Д" localSheetId="8">[5]Данные!$B$1:$EF$178</definedName>
    <definedName name="Д" localSheetId="2">[3]Данные!$B$1:$EF$178</definedName>
    <definedName name="Д" localSheetId="0">[4]Данные!$B$1:$EF$178</definedName>
    <definedName name="Д" localSheetId="4">[6]Данные!$B$1:$EF$178</definedName>
    <definedName name="Д" localSheetId="5">[6]Данные!$B$1:$EF$178</definedName>
    <definedName name="Д" localSheetId="6">[6]Данные!$B$1:$EF$178</definedName>
    <definedName name="Д" localSheetId="10">[5]Данные!$B$1:$EF$178</definedName>
    <definedName name="Д" localSheetId="7">[5]Данные!$B$1:$EF$178</definedName>
    <definedName name="Д" localSheetId="9">[7]Данные!$B$1:$EF$178</definedName>
    <definedName name="Д" localSheetId="13">[3]Данные!$B$1:$EF$178</definedName>
    <definedName name="Д" localSheetId="11">[5]Данные!$B$1:$EF$178</definedName>
    <definedName name="Д">[8]Данные!$B$1:$EF$178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>#REF!</definedName>
    <definedName name="_xlnm.Print_Titles" localSheetId="1">'ВМП КС ПР.6-22'!$A:$B</definedName>
    <definedName name="_xlnm.Print_Titles" localSheetId="8">'Диспансер.набл.Пр.6-22'!$2:$6</definedName>
    <definedName name="_xlnm.Print_Titles" localSheetId="2">'ДС Пр.6-22'!$3:$4</definedName>
    <definedName name="_xlnm.Print_Titles" localSheetId="10">'Посещ.с др.целями Пр.6-22'!$2:$7</definedName>
    <definedName name="_xlnm.Print_Titles" localSheetId="7">'Профил. СВОД Пр.6-22 '!$2:$6</definedName>
    <definedName name="_xlnm.Print_Titles" localSheetId="9">'Разов.пос.по заб.Пр.6-22'!$2:$7</definedName>
    <definedName name="_xlnm.Print_Titles" localSheetId="14">'СМП Пр.4-22'!$4:$7</definedName>
    <definedName name="_xlnm.Print_Titles" localSheetId="13">'Углубленная диспан. Пр.3-22'!$4:$7</definedName>
    <definedName name="ЗД" localSheetId="3">[3]Данные!$BY$3:$DB$3</definedName>
    <definedName name="ЗД" localSheetId="1">[4]Данные!$BY$3:$DB$3</definedName>
    <definedName name="ЗД" localSheetId="12">[3]Данные!$BY$3:$DB$3</definedName>
    <definedName name="ЗД" localSheetId="8">[5]Данные!$BY$3:$DB$3</definedName>
    <definedName name="ЗД" localSheetId="2">[3]Данные!$BY$3:$DB$3</definedName>
    <definedName name="ЗД" localSheetId="0">[4]Данные!$BY$3:$DB$3</definedName>
    <definedName name="ЗД" localSheetId="4">[6]Данные!$BY$3:$DB$3</definedName>
    <definedName name="ЗД" localSheetId="5">[6]Данные!$BY$3:$DB$3</definedName>
    <definedName name="ЗД" localSheetId="6">[6]Данные!$BY$3:$DB$3</definedName>
    <definedName name="ЗД" localSheetId="10">[5]Данные!$BY$3:$DB$3</definedName>
    <definedName name="ЗД" localSheetId="7">[5]Данные!$BY$3:$DB$3</definedName>
    <definedName name="ЗД" localSheetId="9">[7]Данные!$BY$3:$DB$3</definedName>
    <definedName name="ЗД" localSheetId="13">[3]Данные!$BY$3:$DB$3</definedName>
    <definedName name="ЗД" localSheetId="11">[5]Данные!$BY$3:$DB$3</definedName>
    <definedName name="ЗД">[8]Данные!$BY$3:$DB$3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0">'[9]СВОД КП ПРОЕКТА книж'!$A$4:$DS$109</definedName>
    <definedName name="Нефтекамск" localSheetId="10">'[10]СВОД КП ПРОЕКТА книж'!$A$4:$DS$109</definedName>
    <definedName name="Нефтекамск" localSheetId="7">'[10]СВОД КП ПРОЕКТА книж'!$A$4:$DS$109</definedName>
    <definedName name="Нефтекамск" localSheetId="9">'[10]СВОД КП ПРОЕКТА книж'!$A$4:$DS$109</definedName>
    <definedName name="Нефтекамск" localSheetId="14">'[11]СВОД КП ПРОЕКТА книж'!$A$4:$DS$109</definedName>
    <definedName name="Нефтекамск">'[12]СВОД КП ПРОЕКТА книж'!$A$4:$DS$109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>#REF!</definedName>
    <definedName name="ФЗ" localSheetId="3">[3]Данные!$DC$3:$EF$3</definedName>
    <definedName name="ФЗ" localSheetId="1">[4]Данные!$DC$3:$EF$3</definedName>
    <definedName name="ФЗ" localSheetId="12">[3]Данные!$DC$3:$EF$3</definedName>
    <definedName name="ФЗ" localSheetId="8">[5]Данные!$DC$3:$EF$3</definedName>
    <definedName name="ФЗ" localSheetId="2">[3]Данные!$DC$3:$EF$3</definedName>
    <definedName name="ФЗ" localSheetId="0">[4]Данные!$DC$3:$EF$3</definedName>
    <definedName name="ФЗ" localSheetId="4">[6]Данные!$DC$3:$EF$3</definedName>
    <definedName name="ФЗ" localSheetId="5">[6]Данные!$DC$3:$EF$3</definedName>
    <definedName name="ФЗ" localSheetId="6">[6]Данные!$DC$3:$EF$3</definedName>
    <definedName name="ФЗ" localSheetId="10">[5]Данные!$DC$3:$EF$3</definedName>
    <definedName name="ФЗ" localSheetId="7">[5]Данные!$DC$3:$EF$3</definedName>
    <definedName name="ФЗ" localSheetId="9">[7]Данные!$DC$3:$EF$3</definedName>
    <definedName name="ФЗ" localSheetId="13">[3]Данные!$DC$3:$EF$3</definedName>
    <definedName name="ФЗ" localSheetId="11">[5]Данные!$DC$3:$EF$3</definedName>
    <definedName name="ФЗ">[8]Данные!$DC$3:$EF$3</definedName>
    <definedName name="Шт" localSheetId="3">[3]Данные!$AU$3:$BX$3</definedName>
    <definedName name="Шт" localSheetId="1">[4]Данные!$AU$3:$BX$3</definedName>
    <definedName name="Шт" localSheetId="12">[3]Данные!$AU$3:$BX$3</definedName>
    <definedName name="Шт" localSheetId="8">[5]Данные!$AU$3:$BX$3</definedName>
    <definedName name="Шт" localSheetId="2">[3]Данные!$AU$3:$BX$3</definedName>
    <definedName name="Шт" localSheetId="0">[4]Данные!$AU$3:$BX$3</definedName>
    <definedName name="Шт" localSheetId="4">[6]Данные!$AU$3:$BX$3</definedName>
    <definedName name="Шт" localSheetId="5">[6]Данные!$AU$3:$BX$3</definedName>
    <definedName name="Шт" localSheetId="6">[6]Данные!$AU$3:$BX$3</definedName>
    <definedName name="Шт" localSheetId="10">[5]Данные!$AU$3:$BX$3</definedName>
    <definedName name="Шт" localSheetId="7">[5]Данные!$AU$3:$BX$3</definedName>
    <definedName name="Шт" localSheetId="9">[7]Данные!$AU$3:$BX$3</definedName>
    <definedName name="Шт" localSheetId="13">[3]Данные!$AU$3:$BX$3</definedName>
    <definedName name="Шт" localSheetId="11">[5]Данные!$AU$3:$BX$3</definedName>
    <definedName name="Шт">[8]Данные!$AU$3:$BX$3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85" i="174" l="1"/>
  <c r="AE83" i="174" s="1"/>
  <c r="AC85" i="174"/>
  <c r="B85" i="174"/>
  <c r="AG84" i="174"/>
  <c r="AE84" i="174"/>
  <c r="B84" i="174"/>
  <c r="AC84" i="174" s="1"/>
  <c r="AC83" i="174" s="1"/>
  <c r="AF83" i="174"/>
  <c r="AD83" i="174"/>
  <c r="AB83" i="174"/>
  <c r="AA83" i="174"/>
  <c r="Z83" i="174"/>
  <c r="Y83" i="174"/>
  <c r="X83" i="174"/>
  <c r="W83" i="174"/>
  <c r="V83" i="174"/>
  <c r="U83" i="174"/>
  <c r="T83" i="174"/>
  <c r="S83" i="174"/>
  <c r="R83" i="174"/>
  <c r="Q83" i="174"/>
  <c r="P83" i="174"/>
  <c r="O83" i="174"/>
  <c r="N83" i="174"/>
  <c r="M83" i="174"/>
  <c r="L83" i="174"/>
  <c r="K83" i="174"/>
  <c r="J83" i="174"/>
  <c r="I83" i="174"/>
  <c r="H83" i="174"/>
  <c r="G83" i="174"/>
  <c r="F83" i="174"/>
  <c r="E83" i="174"/>
  <c r="D83" i="174"/>
  <c r="C83" i="174"/>
  <c r="AG82" i="174"/>
  <c r="AG81" i="174" s="1"/>
  <c r="AE82" i="174"/>
  <c r="AE81" i="174" s="1"/>
  <c r="AC82" i="174"/>
  <c r="AC81" i="174" s="1"/>
  <c r="B82" i="174"/>
  <c r="AF81" i="174"/>
  <c r="AD81" i="174"/>
  <c r="AB81" i="174"/>
  <c r="AA81" i="174"/>
  <c r="Z81" i="174"/>
  <c r="Y81" i="174"/>
  <c r="X81" i="174"/>
  <c r="W81" i="174"/>
  <c r="V81" i="174"/>
  <c r="U81" i="174"/>
  <c r="T81" i="174"/>
  <c r="S81" i="174"/>
  <c r="R81" i="174"/>
  <c r="Q81" i="174"/>
  <c r="P81" i="174"/>
  <c r="O81" i="174"/>
  <c r="N81" i="174"/>
  <c r="M81" i="174"/>
  <c r="L81" i="174"/>
  <c r="K81" i="174"/>
  <c r="J81" i="174"/>
  <c r="I81" i="174"/>
  <c r="H81" i="174"/>
  <c r="G81" i="174"/>
  <c r="F81" i="174"/>
  <c r="E81" i="174"/>
  <c r="D81" i="174"/>
  <c r="C81" i="174"/>
  <c r="AG80" i="174"/>
  <c r="AE80" i="174"/>
  <c r="AC80" i="174"/>
  <c r="B80" i="174"/>
  <c r="AE79" i="174"/>
  <c r="AE78" i="174" s="1"/>
  <c r="B79" i="174"/>
  <c r="AC79" i="174" s="1"/>
  <c r="AC78" i="174" s="1"/>
  <c r="AF78" i="174"/>
  <c r="AD78" i="174"/>
  <c r="AB78" i="174"/>
  <c r="AA78" i="174"/>
  <c r="Z78" i="174"/>
  <c r="Y78" i="174"/>
  <c r="X78" i="174"/>
  <c r="W78" i="174"/>
  <c r="V78" i="174"/>
  <c r="U78" i="174"/>
  <c r="T78" i="174"/>
  <c r="S78" i="174"/>
  <c r="R78" i="174"/>
  <c r="Q78" i="174"/>
  <c r="P78" i="174"/>
  <c r="O78" i="174"/>
  <c r="N78" i="174"/>
  <c r="M78" i="174"/>
  <c r="L78" i="174"/>
  <c r="K78" i="174"/>
  <c r="J78" i="174"/>
  <c r="I78" i="174"/>
  <c r="H78" i="174"/>
  <c r="G78" i="174"/>
  <c r="F78" i="174"/>
  <c r="E78" i="174"/>
  <c r="D78" i="174"/>
  <c r="C78" i="174"/>
  <c r="AG77" i="174"/>
  <c r="AE77" i="174"/>
  <c r="B77" i="174"/>
  <c r="AC77" i="174" s="1"/>
  <c r="AE76" i="174"/>
  <c r="AG76" i="174" s="1"/>
  <c r="AC76" i="174"/>
  <c r="B76" i="174"/>
  <c r="AG75" i="174"/>
  <c r="AE75" i="174"/>
  <c r="R75" i="174"/>
  <c r="R72" i="174" s="1"/>
  <c r="B75" i="174"/>
  <c r="AC75" i="174" s="1"/>
  <c r="AE74" i="174"/>
  <c r="AG74" i="174" s="1"/>
  <c r="B74" i="174"/>
  <c r="AC74" i="174" s="1"/>
  <c r="AC72" i="174" s="1"/>
  <c r="AG73" i="174"/>
  <c r="AG72" i="174" s="1"/>
  <c r="AE73" i="174"/>
  <c r="AC73" i="174"/>
  <c r="B73" i="174"/>
  <c r="AF72" i="174"/>
  <c r="AD72" i="174"/>
  <c r="AB72" i="174"/>
  <c r="AA72" i="174"/>
  <c r="Z72" i="174"/>
  <c r="Y72" i="174"/>
  <c r="X72" i="174"/>
  <c r="W72" i="174"/>
  <c r="V72" i="174"/>
  <c r="U72" i="174"/>
  <c r="T72" i="174"/>
  <c r="S72" i="174"/>
  <c r="Q72" i="174"/>
  <c r="P72" i="174"/>
  <c r="O72" i="174"/>
  <c r="N72" i="174"/>
  <c r="M72" i="174"/>
  <c r="L72" i="174"/>
  <c r="K72" i="174"/>
  <c r="J72" i="174"/>
  <c r="I72" i="174"/>
  <c r="H72" i="174"/>
  <c r="G72" i="174"/>
  <c r="F72" i="174"/>
  <c r="E72" i="174"/>
  <c r="D72" i="174"/>
  <c r="C72" i="174"/>
  <c r="AE71" i="174"/>
  <c r="AG71" i="174" s="1"/>
  <c r="AC71" i="174"/>
  <c r="B71" i="174"/>
  <c r="AG70" i="174"/>
  <c r="AG69" i="174" s="1"/>
  <c r="AE70" i="174"/>
  <c r="AE69" i="174" s="1"/>
  <c r="B70" i="174"/>
  <c r="AC70" i="174" s="1"/>
  <c r="AC69" i="174" s="1"/>
  <c r="AF69" i="174"/>
  <c r="AD69" i="174"/>
  <c r="AB69" i="174"/>
  <c r="AA69" i="174"/>
  <c r="Z69" i="174"/>
  <c r="Y69" i="174"/>
  <c r="X69" i="174"/>
  <c r="W69" i="174"/>
  <c r="V69" i="174"/>
  <c r="U69" i="174"/>
  <c r="T69" i="174"/>
  <c r="S69" i="174"/>
  <c r="R69" i="174"/>
  <c r="Q69" i="174"/>
  <c r="P69" i="174"/>
  <c r="O69" i="174"/>
  <c r="N69" i="174"/>
  <c r="M69" i="174"/>
  <c r="L69" i="174"/>
  <c r="K69" i="174"/>
  <c r="J69" i="174"/>
  <c r="I69" i="174"/>
  <c r="H69" i="174"/>
  <c r="G69" i="174"/>
  <c r="F69" i="174"/>
  <c r="E69" i="174"/>
  <c r="D69" i="174"/>
  <c r="C69" i="174"/>
  <c r="AG68" i="174"/>
  <c r="AE68" i="174"/>
  <c r="B68" i="174"/>
  <c r="AC68" i="174" s="1"/>
  <c r="AE67" i="174"/>
  <c r="AG67" i="174" s="1"/>
  <c r="AC67" i="174"/>
  <c r="J67" i="174"/>
  <c r="B67" i="174"/>
  <c r="AD66" i="174"/>
  <c r="AE66" i="174" s="1"/>
  <c r="AG66" i="174" s="1"/>
  <c r="B66" i="174"/>
  <c r="AC66" i="174" s="1"/>
  <c r="AG65" i="174"/>
  <c r="AE65" i="174"/>
  <c r="AC65" i="174"/>
  <c r="B65" i="174"/>
  <c r="AE64" i="174"/>
  <c r="AG64" i="174" s="1"/>
  <c r="B64" i="174"/>
  <c r="AC64" i="174" s="1"/>
  <c r="AG63" i="174"/>
  <c r="AE63" i="174"/>
  <c r="AC63" i="174"/>
  <c r="B63" i="174"/>
  <c r="AE62" i="174"/>
  <c r="AG62" i="174" s="1"/>
  <c r="AD62" i="174"/>
  <c r="AC62" i="174"/>
  <c r="B62" i="174"/>
  <c r="AD61" i="174"/>
  <c r="K61" i="174"/>
  <c r="AE61" i="174" s="1"/>
  <c r="AG61" i="174" s="1"/>
  <c r="B61" i="174"/>
  <c r="AC61" i="174" s="1"/>
  <c r="AG60" i="174"/>
  <c r="AE60" i="174"/>
  <c r="AD60" i="174"/>
  <c r="AC60" i="174"/>
  <c r="B60" i="174"/>
  <c r="AD59" i="174"/>
  <c r="AC59" i="174"/>
  <c r="Y59" i="174"/>
  <c r="AE59" i="174" s="1"/>
  <c r="AG59" i="174" s="1"/>
  <c r="U59" i="174"/>
  <c r="B59" i="174"/>
  <c r="AD58" i="174"/>
  <c r="AD55" i="174" s="1"/>
  <c r="Y58" i="174"/>
  <c r="AE58" i="174" s="1"/>
  <c r="AG58" i="174" s="1"/>
  <c r="B58" i="174"/>
  <c r="AC58" i="174" s="1"/>
  <c r="AD57" i="174"/>
  <c r="Y57" i="174"/>
  <c r="U57" i="174"/>
  <c r="K57" i="174"/>
  <c r="AE57" i="174" s="1"/>
  <c r="AG57" i="174" s="1"/>
  <c r="B57" i="174"/>
  <c r="AC57" i="174" s="1"/>
  <c r="AD56" i="174"/>
  <c r="Y56" i="174"/>
  <c r="Y55" i="174" s="1"/>
  <c r="U56" i="174"/>
  <c r="K56" i="174"/>
  <c r="AE56" i="174" s="1"/>
  <c r="B56" i="174"/>
  <c r="AC56" i="174" s="1"/>
  <c r="AC55" i="174" s="1"/>
  <c r="AF55" i="174"/>
  <c r="AB55" i="174"/>
  <c r="AA55" i="174"/>
  <c r="Z55" i="174"/>
  <c r="X55" i="174"/>
  <c r="W55" i="174"/>
  <c r="V55" i="174"/>
  <c r="U55" i="174"/>
  <c r="T55" i="174"/>
  <c r="S55" i="174"/>
  <c r="R55" i="174"/>
  <c r="Q55" i="174"/>
  <c r="P55" i="174"/>
  <c r="O55" i="174"/>
  <c r="N55" i="174"/>
  <c r="M55" i="174"/>
  <c r="L55" i="174"/>
  <c r="J55" i="174"/>
  <c r="I55" i="174"/>
  <c r="H55" i="174"/>
  <c r="G55" i="174"/>
  <c r="F55" i="174"/>
  <c r="E55" i="174"/>
  <c r="D55" i="174"/>
  <c r="C55" i="174"/>
  <c r="AG54" i="174"/>
  <c r="AG53" i="174" s="1"/>
  <c r="AE54" i="174"/>
  <c r="AC54" i="174"/>
  <c r="B54" i="174"/>
  <c r="AF53" i="174"/>
  <c r="AE53" i="174"/>
  <c r="AD53" i="174"/>
  <c r="AC53" i="174"/>
  <c r="AB53" i="174"/>
  <c r="AA53" i="174"/>
  <c r="Z53" i="174"/>
  <c r="Y53" i="174"/>
  <c r="X53" i="174"/>
  <c r="W53" i="174"/>
  <c r="V53" i="174"/>
  <c r="U53" i="174"/>
  <c r="T53" i="174"/>
  <c r="S53" i="174"/>
  <c r="R53" i="174"/>
  <c r="Q53" i="174"/>
  <c r="P53" i="174"/>
  <c r="O53" i="174"/>
  <c r="N53" i="174"/>
  <c r="M53" i="174"/>
  <c r="L53" i="174"/>
  <c r="K53" i="174"/>
  <c r="J53" i="174"/>
  <c r="I53" i="174"/>
  <c r="H53" i="174"/>
  <c r="G53" i="174"/>
  <c r="F53" i="174"/>
  <c r="E53" i="174"/>
  <c r="D53" i="174"/>
  <c r="C53" i="174"/>
  <c r="AG52" i="174"/>
  <c r="AE52" i="174"/>
  <c r="AC52" i="174"/>
  <c r="B52" i="174"/>
  <c r="AG51" i="174"/>
  <c r="AE51" i="174"/>
  <c r="B51" i="174"/>
  <c r="AC51" i="174" s="1"/>
  <c r="AE50" i="174"/>
  <c r="AG50" i="174" s="1"/>
  <c r="AC50" i="174"/>
  <c r="B50" i="174"/>
  <c r="AG49" i="174"/>
  <c r="AE49" i="174"/>
  <c r="AE48" i="174" s="1"/>
  <c r="B49" i="174"/>
  <c r="AC49" i="174" s="1"/>
  <c r="AC48" i="174" s="1"/>
  <c r="AF48" i="174"/>
  <c r="AD48" i="174"/>
  <c r="AB48" i="174"/>
  <c r="AA48" i="174"/>
  <c r="Z48" i="174"/>
  <c r="Y48" i="174"/>
  <c r="X48" i="174"/>
  <c r="W48" i="174"/>
  <c r="V48" i="174"/>
  <c r="U48" i="174"/>
  <c r="T48" i="174"/>
  <c r="S48" i="174"/>
  <c r="R48" i="174"/>
  <c r="Q48" i="174"/>
  <c r="P48" i="174"/>
  <c r="O48" i="174"/>
  <c r="N48" i="174"/>
  <c r="M48" i="174"/>
  <c r="L48" i="174"/>
  <c r="K48" i="174"/>
  <c r="J48" i="174"/>
  <c r="I48" i="174"/>
  <c r="H48" i="174"/>
  <c r="G48" i="174"/>
  <c r="F48" i="174"/>
  <c r="E48" i="174"/>
  <c r="D48" i="174"/>
  <c r="C48" i="174"/>
  <c r="AG47" i="174"/>
  <c r="AE47" i="174"/>
  <c r="B47" i="174"/>
  <c r="AC47" i="174" s="1"/>
  <c r="AE46" i="174"/>
  <c r="AE45" i="174" s="1"/>
  <c r="AC46" i="174"/>
  <c r="AC45" i="174" s="1"/>
  <c r="B46" i="174"/>
  <c r="AF45" i="174"/>
  <c r="AD45" i="174"/>
  <c r="AB45" i="174"/>
  <c r="AA45" i="174"/>
  <c r="Z45" i="174"/>
  <c r="Y45" i="174"/>
  <c r="X45" i="174"/>
  <c r="W45" i="174"/>
  <c r="V45" i="174"/>
  <c r="U45" i="174"/>
  <c r="T45" i="174"/>
  <c r="S45" i="174"/>
  <c r="R45" i="174"/>
  <c r="Q45" i="174"/>
  <c r="P45" i="174"/>
  <c r="O45" i="174"/>
  <c r="N45" i="174"/>
  <c r="M45" i="174"/>
  <c r="L45" i="174"/>
  <c r="K45" i="174"/>
  <c r="J45" i="174"/>
  <c r="I45" i="174"/>
  <c r="H45" i="174"/>
  <c r="G45" i="174"/>
  <c r="F45" i="174"/>
  <c r="E45" i="174"/>
  <c r="D45" i="174"/>
  <c r="C45" i="174"/>
  <c r="AE44" i="174"/>
  <c r="AG44" i="174" s="1"/>
  <c r="B44" i="174"/>
  <c r="AC44" i="174" s="1"/>
  <c r="AG43" i="174"/>
  <c r="AE43" i="174"/>
  <c r="AC43" i="174"/>
  <c r="B43" i="174"/>
  <c r="AE42" i="174"/>
  <c r="AG42" i="174" s="1"/>
  <c r="C42" i="174"/>
  <c r="B42" i="174"/>
  <c r="AC42" i="174" s="1"/>
  <c r="AF41" i="174"/>
  <c r="AE41" i="174"/>
  <c r="AD41" i="174"/>
  <c r="AB41" i="174"/>
  <c r="AA41" i="174"/>
  <c r="Z41" i="174"/>
  <c r="Y41" i="174"/>
  <c r="X41" i="174"/>
  <c r="W41" i="174"/>
  <c r="V41" i="174"/>
  <c r="U41" i="174"/>
  <c r="T41" i="174"/>
  <c r="S41" i="174"/>
  <c r="R41" i="174"/>
  <c r="Q41" i="174"/>
  <c r="P41" i="174"/>
  <c r="O41" i="174"/>
  <c r="N41" i="174"/>
  <c r="M41" i="174"/>
  <c r="L41" i="174"/>
  <c r="K41" i="174"/>
  <c r="J41" i="174"/>
  <c r="I41" i="174"/>
  <c r="H41" i="174"/>
  <c r="G41" i="174"/>
  <c r="F41" i="174"/>
  <c r="E41" i="174"/>
  <c r="D41" i="174"/>
  <c r="C41" i="174"/>
  <c r="AG40" i="174"/>
  <c r="AE40" i="174"/>
  <c r="AC40" i="174"/>
  <c r="B40" i="174"/>
  <c r="AE39" i="174"/>
  <c r="AG39" i="174" s="1"/>
  <c r="B39" i="174"/>
  <c r="AC39" i="174" s="1"/>
  <c r="AG38" i="174"/>
  <c r="AE38" i="174"/>
  <c r="AC38" i="174"/>
  <c r="B38" i="174"/>
  <c r="AE37" i="174"/>
  <c r="AG37" i="174" s="1"/>
  <c r="B37" i="174"/>
  <c r="AC37" i="174" s="1"/>
  <c r="AG36" i="174"/>
  <c r="AE36" i="174"/>
  <c r="AC36" i="174"/>
  <c r="B36" i="174"/>
  <c r="AE35" i="174"/>
  <c r="AG35" i="174" s="1"/>
  <c r="D35" i="174"/>
  <c r="B35" i="174"/>
  <c r="AC35" i="174" s="1"/>
  <c r="AF34" i="174"/>
  <c r="AE34" i="174"/>
  <c r="AD34" i="174"/>
  <c r="AB34" i="174"/>
  <c r="AA34" i="174"/>
  <c r="Z34" i="174"/>
  <c r="Y34" i="174"/>
  <c r="X34" i="174"/>
  <c r="W34" i="174"/>
  <c r="V34" i="174"/>
  <c r="U34" i="174"/>
  <c r="T34" i="174"/>
  <c r="S34" i="174"/>
  <c r="R34" i="174"/>
  <c r="Q34" i="174"/>
  <c r="P34" i="174"/>
  <c r="O34" i="174"/>
  <c r="N34" i="174"/>
  <c r="M34" i="174"/>
  <c r="L34" i="174"/>
  <c r="K34" i="174"/>
  <c r="J34" i="174"/>
  <c r="I34" i="174"/>
  <c r="H34" i="174"/>
  <c r="G34" i="174"/>
  <c r="F34" i="174"/>
  <c r="E34" i="174"/>
  <c r="D34" i="174"/>
  <c r="C34" i="174"/>
  <c r="AG33" i="174"/>
  <c r="AE33" i="174"/>
  <c r="AC33" i="174"/>
  <c r="AC31" i="174" s="1"/>
  <c r="B33" i="174"/>
  <c r="AE32" i="174"/>
  <c r="AG32" i="174" s="1"/>
  <c r="AG31" i="174" s="1"/>
  <c r="AC32" i="174"/>
  <c r="B32" i="174"/>
  <c r="AF31" i="174"/>
  <c r="AE31" i="174"/>
  <c r="AD31" i="174"/>
  <c r="AB31" i="174"/>
  <c r="AA31" i="174"/>
  <c r="Z31" i="174"/>
  <c r="Y31" i="174"/>
  <c r="X31" i="174"/>
  <c r="W31" i="174"/>
  <c r="V31" i="174"/>
  <c r="U31" i="174"/>
  <c r="T31" i="174"/>
  <c r="S31" i="174"/>
  <c r="R31" i="174"/>
  <c r="Q31" i="174"/>
  <c r="P31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AE30" i="174"/>
  <c r="AG30" i="174" s="1"/>
  <c r="B30" i="174"/>
  <c r="AC30" i="174" s="1"/>
  <c r="AG29" i="174"/>
  <c r="AE29" i="174"/>
  <c r="B29" i="174"/>
  <c r="AC29" i="174" s="1"/>
  <c r="AE28" i="174"/>
  <c r="AG28" i="174" s="1"/>
  <c r="B28" i="174"/>
  <c r="AC28" i="174" s="1"/>
  <c r="AG27" i="174"/>
  <c r="AE27" i="174"/>
  <c r="B27" i="174"/>
  <c r="AC27" i="174" s="1"/>
  <c r="AE26" i="174"/>
  <c r="AG26" i="174" s="1"/>
  <c r="B26" i="174"/>
  <c r="AC26" i="174" s="1"/>
  <c r="AG25" i="174"/>
  <c r="AE25" i="174"/>
  <c r="J25" i="174"/>
  <c r="B25" i="174"/>
  <c r="AC25" i="174" s="1"/>
  <c r="AC24" i="174" s="1"/>
  <c r="AF24" i="174"/>
  <c r="AE24" i="174"/>
  <c r="AD24" i="174"/>
  <c r="AB24" i="174"/>
  <c r="AA24" i="174"/>
  <c r="Z24" i="174"/>
  <c r="Y24" i="174"/>
  <c r="X24" i="174"/>
  <c r="W24" i="174"/>
  <c r="V24" i="174"/>
  <c r="U24" i="174"/>
  <c r="T24" i="174"/>
  <c r="S24" i="174"/>
  <c r="R24" i="174"/>
  <c r="Q24" i="174"/>
  <c r="P24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AE23" i="174"/>
  <c r="AG23" i="174" s="1"/>
  <c r="B23" i="174"/>
  <c r="AC23" i="174" s="1"/>
  <c r="AG22" i="174"/>
  <c r="AG21" i="174" s="1"/>
  <c r="AE22" i="174"/>
  <c r="AE21" i="174" s="1"/>
  <c r="B22" i="174"/>
  <c r="AC22" i="174" s="1"/>
  <c r="AF21" i="174"/>
  <c r="AD21" i="174"/>
  <c r="AB21" i="174"/>
  <c r="AA21" i="174"/>
  <c r="Z21" i="174"/>
  <c r="Y21" i="174"/>
  <c r="X21" i="174"/>
  <c r="W21" i="174"/>
  <c r="V21" i="174"/>
  <c r="U21" i="174"/>
  <c r="T21" i="174"/>
  <c r="S21" i="174"/>
  <c r="R21" i="174"/>
  <c r="Q21" i="174"/>
  <c r="P21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AE20" i="174"/>
  <c r="AE19" i="174" s="1"/>
  <c r="AC20" i="174"/>
  <c r="AC19" i="174" s="1"/>
  <c r="B20" i="174"/>
  <c r="AF19" i="174"/>
  <c r="AD19" i="174"/>
  <c r="AB19" i="174"/>
  <c r="AA19" i="174"/>
  <c r="Z19" i="174"/>
  <c r="Y19" i="174"/>
  <c r="Y86" i="174" s="1"/>
  <c r="X19" i="174"/>
  <c r="W19" i="174"/>
  <c r="V19" i="174"/>
  <c r="U19" i="174"/>
  <c r="T19" i="174"/>
  <c r="S19" i="174"/>
  <c r="R19" i="174"/>
  <c r="Q19" i="174"/>
  <c r="Q86" i="174" s="1"/>
  <c r="P19" i="174"/>
  <c r="O19" i="174"/>
  <c r="N19" i="174"/>
  <c r="M19" i="174"/>
  <c r="L19" i="174"/>
  <c r="K19" i="174"/>
  <c r="J19" i="174"/>
  <c r="I19" i="174"/>
  <c r="I86" i="174" s="1"/>
  <c r="H19" i="174"/>
  <c r="G19" i="174"/>
  <c r="F19" i="174"/>
  <c r="E19" i="174"/>
  <c r="D19" i="174"/>
  <c r="C19" i="174"/>
  <c r="AE18" i="174"/>
  <c r="AE17" i="174" s="1"/>
  <c r="AC18" i="174"/>
  <c r="AC17" i="174" s="1"/>
  <c r="B18" i="174"/>
  <c r="AF17" i="174"/>
  <c r="AD17" i="174"/>
  <c r="AB17" i="174"/>
  <c r="AA17" i="174"/>
  <c r="Z17" i="174"/>
  <c r="Y17" i="174"/>
  <c r="W17" i="174"/>
  <c r="V17" i="174"/>
  <c r="U17" i="174"/>
  <c r="T17" i="174"/>
  <c r="S17" i="174"/>
  <c r="R17" i="174"/>
  <c r="Q17" i="174"/>
  <c r="P17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AG16" i="174"/>
  <c r="AE16" i="174"/>
  <c r="B16" i="174"/>
  <c r="AC16" i="174" s="1"/>
  <c r="AE15" i="174"/>
  <c r="AE14" i="174" s="1"/>
  <c r="B15" i="174"/>
  <c r="AC15" i="174" s="1"/>
  <c r="AC14" i="174" s="1"/>
  <c r="AF14" i="174"/>
  <c r="AD14" i="174"/>
  <c r="AB14" i="174"/>
  <c r="AA14" i="174"/>
  <c r="Z14" i="174"/>
  <c r="Y14" i="174"/>
  <c r="X14" i="174"/>
  <c r="W14" i="174"/>
  <c r="V14" i="174"/>
  <c r="U14" i="174"/>
  <c r="T14" i="174"/>
  <c r="S14" i="174"/>
  <c r="R14" i="174"/>
  <c r="Q14" i="174"/>
  <c r="P14" i="174"/>
  <c r="O14" i="174"/>
  <c r="N14" i="174"/>
  <c r="M14" i="174"/>
  <c r="L14" i="174"/>
  <c r="K14" i="174"/>
  <c r="J14" i="174"/>
  <c r="I14" i="174"/>
  <c r="H14" i="174"/>
  <c r="G14" i="174"/>
  <c r="F14" i="174"/>
  <c r="E14" i="174"/>
  <c r="D14" i="174"/>
  <c r="C14" i="174"/>
  <c r="AG13" i="174"/>
  <c r="AG12" i="174" s="1"/>
  <c r="AE13" i="174"/>
  <c r="AE12" i="174" s="1"/>
  <c r="B13" i="174"/>
  <c r="AC13" i="174" s="1"/>
  <c r="AC12" i="174" s="1"/>
  <c r="AF12" i="174"/>
  <c r="AD12" i="174"/>
  <c r="AB12" i="174"/>
  <c r="AA12" i="174"/>
  <c r="Z12" i="174"/>
  <c r="Y12" i="174"/>
  <c r="X12" i="174"/>
  <c r="W12" i="174"/>
  <c r="V12" i="174"/>
  <c r="U12" i="174"/>
  <c r="T12" i="174"/>
  <c r="S12" i="174"/>
  <c r="R12" i="174"/>
  <c r="Q12" i="174"/>
  <c r="P12" i="174"/>
  <c r="O12" i="174"/>
  <c r="N12" i="174"/>
  <c r="M12" i="174"/>
  <c r="L12" i="174"/>
  <c r="K12" i="174"/>
  <c r="J12" i="174"/>
  <c r="I12" i="174"/>
  <c r="H12" i="174"/>
  <c r="G12" i="174"/>
  <c r="F12" i="174"/>
  <c r="E12" i="174"/>
  <c r="D12" i="174"/>
  <c r="C12" i="174"/>
  <c r="AE11" i="174"/>
  <c r="AG11" i="174" s="1"/>
  <c r="B11" i="174"/>
  <c r="AC11" i="174" s="1"/>
  <c r="AE10" i="174"/>
  <c r="AE9" i="174" s="1"/>
  <c r="AC10" i="174"/>
  <c r="AC9" i="174" s="1"/>
  <c r="B10" i="174"/>
  <c r="AF9" i="174"/>
  <c r="AD9" i="174"/>
  <c r="AB9" i="174"/>
  <c r="AA9" i="174"/>
  <c r="Z9" i="174"/>
  <c r="Y9" i="174"/>
  <c r="X9" i="174"/>
  <c r="W9" i="174"/>
  <c r="V9" i="174"/>
  <c r="U9" i="174"/>
  <c r="T9" i="174"/>
  <c r="S9" i="174"/>
  <c r="R9" i="174"/>
  <c r="Q9" i="174"/>
  <c r="P9" i="174"/>
  <c r="O9" i="174"/>
  <c r="N9" i="174"/>
  <c r="M9" i="174"/>
  <c r="L9" i="174"/>
  <c r="K9" i="174"/>
  <c r="J9" i="174"/>
  <c r="I9" i="174"/>
  <c r="H9" i="174"/>
  <c r="G9" i="174"/>
  <c r="F9" i="174"/>
  <c r="E9" i="174"/>
  <c r="D9" i="174"/>
  <c r="C9" i="174"/>
  <c r="AE8" i="174"/>
  <c r="AG8" i="174" s="1"/>
  <c r="B8" i="174"/>
  <c r="AC8" i="174" s="1"/>
  <c r="AC7" i="174"/>
  <c r="AC6" i="174" s="1"/>
  <c r="K7" i="174"/>
  <c r="C7" i="174"/>
  <c r="AE7" i="174" s="1"/>
  <c r="B7" i="174"/>
  <c r="AF6" i="174"/>
  <c r="AF86" i="174" s="1"/>
  <c r="AD6" i="174"/>
  <c r="AD86" i="174" s="1"/>
  <c r="AB6" i="174"/>
  <c r="AB86" i="174" s="1"/>
  <c r="AA6" i="174"/>
  <c r="AA86" i="174" s="1"/>
  <c r="Z6" i="174"/>
  <c r="Z86" i="174" s="1"/>
  <c r="Y6" i="174"/>
  <c r="X6" i="174"/>
  <c r="X86" i="174" s="1"/>
  <c r="W6" i="174"/>
  <c r="W86" i="174" s="1"/>
  <c r="V6" i="174"/>
  <c r="V86" i="174" s="1"/>
  <c r="U6" i="174"/>
  <c r="U86" i="174" s="1"/>
  <c r="T6" i="174"/>
  <c r="T86" i="174" s="1"/>
  <c r="S6" i="174"/>
  <c r="S86" i="174" s="1"/>
  <c r="R6" i="174"/>
  <c r="R86" i="174" s="1"/>
  <c r="Q6" i="174"/>
  <c r="P6" i="174"/>
  <c r="P86" i="174" s="1"/>
  <c r="O6" i="174"/>
  <c r="O86" i="174" s="1"/>
  <c r="N6" i="174"/>
  <c r="N86" i="174" s="1"/>
  <c r="M6" i="174"/>
  <c r="M86" i="174" s="1"/>
  <c r="L6" i="174"/>
  <c r="L86" i="174" s="1"/>
  <c r="K6" i="174"/>
  <c r="J6" i="174"/>
  <c r="J86" i="174" s="1"/>
  <c r="I6" i="174"/>
  <c r="H6" i="174"/>
  <c r="H86" i="174" s="1"/>
  <c r="G6" i="174"/>
  <c r="G86" i="174" s="1"/>
  <c r="F6" i="174"/>
  <c r="F86" i="174" s="1"/>
  <c r="E6" i="174"/>
  <c r="E86" i="174" s="1"/>
  <c r="D6" i="174"/>
  <c r="D86" i="174" s="1"/>
  <c r="C6" i="174"/>
  <c r="C86" i="174" s="1"/>
  <c r="AG48" i="174" l="1"/>
  <c r="AG24" i="174"/>
  <c r="AG34" i="174"/>
  <c r="AG41" i="174"/>
  <c r="AC21" i="174"/>
  <c r="AG7" i="174"/>
  <c r="AG6" i="174" s="1"/>
  <c r="AE6" i="174"/>
  <c r="AC34" i="174"/>
  <c r="AC86" i="174" s="1"/>
  <c r="AC41" i="174"/>
  <c r="AG56" i="174"/>
  <c r="AG55" i="174" s="1"/>
  <c r="AE55" i="174"/>
  <c r="AG10" i="174"/>
  <c r="AG9" i="174" s="1"/>
  <c r="AG18" i="174"/>
  <c r="AG17" i="174" s="1"/>
  <c r="AG46" i="174"/>
  <c r="AG45" i="174" s="1"/>
  <c r="AE72" i="174"/>
  <c r="AG85" i="174"/>
  <c r="AG83" i="174" s="1"/>
  <c r="AG15" i="174"/>
  <c r="AG14" i="174" s="1"/>
  <c r="AG79" i="174"/>
  <c r="AG78" i="174" s="1"/>
  <c r="K55" i="174"/>
  <c r="K86" i="174" s="1"/>
  <c r="AG20" i="174"/>
  <c r="AG19" i="174" s="1"/>
  <c r="AG86" i="174" l="1"/>
  <c r="AE86" i="174"/>
  <c r="E131" i="173" l="1"/>
  <c r="E129" i="173"/>
  <c r="K130" i="173"/>
  <c r="K132" i="173" s="1"/>
  <c r="L131" i="173" l="1"/>
  <c r="E130" i="173"/>
  <c r="E132" i="173" s="1"/>
  <c r="G130" i="173"/>
  <c r="G132" i="173" s="1"/>
  <c r="J130" i="173"/>
  <c r="J132" i="173" s="1"/>
  <c r="H130" i="173"/>
  <c r="H132" i="173" s="1"/>
  <c r="I131" i="173"/>
  <c r="L130" i="173" l="1"/>
  <c r="L132" i="173" s="1"/>
  <c r="F130" i="173" l="1"/>
  <c r="I130" i="173"/>
  <c r="I132" i="173" s="1"/>
  <c r="F132" i="173" l="1"/>
  <c r="I9" i="169" l="1"/>
  <c r="H9" i="169"/>
  <c r="G9" i="169"/>
  <c r="G7" i="169" s="1"/>
  <c r="F9" i="169"/>
  <c r="E9" i="169"/>
  <c r="D9" i="169"/>
  <c r="D7" i="169" s="1"/>
  <c r="D8" i="169"/>
  <c r="I7" i="169"/>
  <c r="H7" i="169"/>
  <c r="F7" i="169"/>
  <c r="E7" i="169"/>
  <c r="L123" i="168"/>
  <c r="K123" i="168"/>
  <c r="J123" i="168"/>
  <c r="I123" i="168" s="1"/>
  <c r="H123" i="168"/>
  <c r="G123" i="168"/>
  <c r="F123" i="168"/>
  <c r="E123" i="168"/>
  <c r="L122" i="168"/>
  <c r="K122" i="168"/>
  <c r="I122" i="168" s="1"/>
  <c r="J122" i="168"/>
  <c r="H122" i="168"/>
  <c r="G122" i="168"/>
  <c r="F122" i="168"/>
  <c r="E122" i="168"/>
  <c r="L121" i="168"/>
  <c r="K121" i="168"/>
  <c r="J121" i="168"/>
  <c r="I121" i="168"/>
  <c r="H121" i="168"/>
  <c r="G121" i="168"/>
  <c r="F121" i="168"/>
  <c r="E121" i="168"/>
  <c r="D121" i="168" s="1"/>
  <c r="L120" i="168"/>
  <c r="K120" i="168"/>
  <c r="J120" i="168"/>
  <c r="I120" i="168" s="1"/>
  <c r="H120" i="168"/>
  <c r="G120" i="168"/>
  <c r="F120" i="168"/>
  <c r="E120" i="168"/>
  <c r="L119" i="168"/>
  <c r="K119" i="168"/>
  <c r="J119" i="168"/>
  <c r="I119" i="168" s="1"/>
  <c r="H119" i="168"/>
  <c r="G119" i="168"/>
  <c r="F119" i="168"/>
  <c r="D119" i="168" s="1"/>
  <c r="E119" i="168"/>
  <c r="L118" i="168"/>
  <c r="K118" i="168"/>
  <c r="J118" i="168"/>
  <c r="I118" i="168"/>
  <c r="H118" i="168"/>
  <c r="G118" i="168"/>
  <c r="F118" i="168"/>
  <c r="E118" i="168"/>
  <c r="D118" i="168"/>
  <c r="L117" i="168"/>
  <c r="K117" i="168"/>
  <c r="J117" i="168"/>
  <c r="I117" i="168" s="1"/>
  <c r="H117" i="168"/>
  <c r="G117" i="168"/>
  <c r="F117" i="168"/>
  <c r="E117" i="168"/>
  <c r="L116" i="168"/>
  <c r="K116" i="168"/>
  <c r="J116" i="168"/>
  <c r="I116" i="168" s="1"/>
  <c r="H116" i="168"/>
  <c r="G116" i="168"/>
  <c r="F116" i="168"/>
  <c r="D116" i="168" s="1"/>
  <c r="E116" i="168"/>
  <c r="L115" i="168"/>
  <c r="K115" i="168"/>
  <c r="J115" i="168"/>
  <c r="I115" i="168" s="1"/>
  <c r="H115" i="168"/>
  <c r="G115" i="168"/>
  <c r="D115" i="168" s="1"/>
  <c r="F115" i="168"/>
  <c r="E115" i="168"/>
  <c r="L114" i="168"/>
  <c r="K114" i="168"/>
  <c r="I114" i="168" s="1"/>
  <c r="J114" i="168"/>
  <c r="H114" i="168"/>
  <c r="G114" i="168"/>
  <c r="F114" i="168"/>
  <c r="E114" i="168"/>
  <c r="D114" i="168" s="1"/>
  <c r="L113" i="168"/>
  <c r="K113" i="168"/>
  <c r="J113" i="168"/>
  <c r="I113" i="168"/>
  <c r="H113" i="168"/>
  <c r="G113" i="168"/>
  <c r="F113" i="168"/>
  <c r="E113" i="168"/>
  <c r="D113" i="168" s="1"/>
  <c r="L112" i="168"/>
  <c r="K112" i="168"/>
  <c r="J112" i="168"/>
  <c r="I112" i="168" s="1"/>
  <c r="D112" i="168" s="1"/>
  <c r="H112" i="168"/>
  <c r="G112" i="168"/>
  <c r="F112" i="168"/>
  <c r="E112" i="168"/>
  <c r="L111" i="168"/>
  <c r="K111" i="168"/>
  <c r="I111" i="168" s="1"/>
  <c r="J111" i="168"/>
  <c r="H111" i="168"/>
  <c r="G111" i="168"/>
  <c r="F111" i="168"/>
  <c r="E111" i="168"/>
  <c r="L110" i="168"/>
  <c r="K110" i="168"/>
  <c r="J110" i="168"/>
  <c r="I110" i="168" s="1"/>
  <c r="D110" i="168" s="1"/>
  <c r="H110" i="168"/>
  <c r="G110" i="168"/>
  <c r="F110" i="168"/>
  <c r="E110" i="168"/>
  <c r="L109" i="168"/>
  <c r="K109" i="168"/>
  <c r="J109" i="168"/>
  <c r="I109" i="168"/>
  <c r="H109" i="168"/>
  <c r="G109" i="168"/>
  <c r="F109" i="168"/>
  <c r="E109" i="168"/>
  <c r="D109" i="168" s="1"/>
  <c r="L108" i="168"/>
  <c r="K108" i="168"/>
  <c r="J108" i="168"/>
  <c r="I108" i="168" s="1"/>
  <c r="H108" i="168"/>
  <c r="G108" i="168"/>
  <c r="F108" i="168"/>
  <c r="E108" i="168"/>
  <c r="L107" i="168"/>
  <c r="K107" i="168"/>
  <c r="J107" i="168"/>
  <c r="I107" i="168" s="1"/>
  <c r="H107" i="168"/>
  <c r="G107" i="168"/>
  <c r="F107" i="168"/>
  <c r="E107" i="168"/>
  <c r="L106" i="168"/>
  <c r="K106" i="168"/>
  <c r="J106" i="168"/>
  <c r="I106" i="168" s="1"/>
  <c r="H106" i="168"/>
  <c r="G106" i="168"/>
  <c r="F106" i="168"/>
  <c r="E106" i="168"/>
  <c r="D106" i="168" s="1"/>
  <c r="L105" i="168"/>
  <c r="K105" i="168"/>
  <c r="J105" i="168"/>
  <c r="I105" i="168"/>
  <c r="H105" i="168"/>
  <c r="G105" i="168"/>
  <c r="F105" i="168"/>
  <c r="D105" i="168" s="1"/>
  <c r="E105" i="168"/>
  <c r="L104" i="168"/>
  <c r="K104" i="168"/>
  <c r="J104" i="168"/>
  <c r="I104" i="168" s="1"/>
  <c r="H104" i="168"/>
  <c r="G104" i="168"/>
  <c r="F104" i="168"/>
  <c r="E104" i="168"/>
  <c r="D104" i="168" s="1"/>
  <c r="L103" i="168"/>
  <c r="K103" i="168"/>
  <c r="J103" i="168"/>
  <c r="I103" i="168" s="1"/>
  <c r="D103" i="168" s="1"/>
  <c r="H103" i="168"/>
  <c r="G103" i="168"/>
  <c r="F103" i="168"/>
  <c r="E103" i="168"/>
  <c r="L102" i="168"/>
  <c r="K102" i="168"/>
  <c r="J102" i="168"/>
  <c r="I102" i="168" s="1"/>
  <c r="D102" i="168" s="1"/>
  <c r="H102" i="168"/>
  <c r="G102" i="168"/>
  <c r="F102" i="168"/>
  <c r="E102" i="168"/>
  <c r="L101" i="168"/>
  <c r="K101" i="168"/>
  <c r="J101" i="168"/>
  <c r="I101" i="168" s="1"/>
  <c r="H101" i="168"/>
  <c r="G101" i="168"/>
  <c r="F101" i="168"/>
  <c r="E101" i="168"/>
  <c r="L100" i="168"/>
  <c r="K100" i="168"/>
  <c r="J100" i="168"/>
  <c r="I100" i="168"/>
  <c r="H100" i="168"/>
  <c r="G100" i="168"/>
  <c r="F100" i="168"/>
  <c r="E100" i="168"/>
  <c r="D100" i="168" s="1"/>
  <c r="L99" i="168"/>
  <c r="K99" i="168"/>
  <c r="J99" i="168"/>
  <c r="I99" i="168" s="1"/>
  <c r="H99" i="168"/>
  <c r="G99" i="168"/>
  <c r="F99" i="168"/>
  <c r="E99" i="168"/>
  <c r="L98" i="168"/>
  <c r="K98" i="168"/>
  <c r="J98" i="168"/>
  <c r="I98" i="168" s="1"/>
  <c r="H98" i="168"/>
  <c r="D98" i="168" s="1"/>
  <c r="G98" i="168"/>
  <c r="F98" i="168"/>
  <c r="E98" i="168"/>
  <c r="L97" i="168"/>
  <c r="K97" i="168"/>
  <c r="J97" i="168"/>
  <c r="I97" i="168"/>
  <c r="D97" i="168" s="1"/>
  <c r="H97" i="168"/>
  <c r="G97" i="168"/>
  <c r="F97" i="168"/>
  <c r="E97" i="168"/>
  <c r="L96" i="168"/>
  <c r="K96" i="168"/>
  <c r="J96" i="168"/>
  <c r="I96" i="168" s="1"/>
  <c r="D96" i="168" s="1"/>
  <c r="H96" i="168"/>
  <c r="G96" i="168"/>
  <c r="F96" i="168"/>
  <c r="E96" i="168"/>
  <c r="L95" i="168"/>
  <c r="K95" i="168"/>
  <c r="I95" i="168" s="1"/>
  <c r="J95" i="168"/>
  <c r="H95" i="168"/>
  <c r="G95" i="168"/>
  <c r="F95" i="168"/>
  <c r="E95" i="168"/>
  <c r="D95" i="168" s="1"/>
  <c r="L94" i="168"/>
  <c r="K94" i="168"/>
  <c r="J94" i="168"/>
  <c r="I94" i="168" s="1"/>
  <c r="D94" i="168" s="1"/>
  <c r="H94" i="168"/>
  <c r="G94" i="168"/>
  <c r="F94" i="168"/>
  <c r="E94" i="168"/>
  <c r="L93" i="168"/>
  <c r="K93" i="168"/>
  <c r="J93" i="168"/>
  <c r="I93" i="168" s="1"/>
  <c r="H93" i="168"/>
  <c r="G93" i="168"/>
  <c r="F93" i="168"/>
  <c r="E93" i="168"/>
  <c r="D93" i="168" s="1"/>
  <c r="L92" i="168"/>
  <c r="K92" i="168"/>
  <c r="J92" i="168"/>
  <c r="I92" i="168"/>
  <c r="H92" i="168"/>
  <c r="G92" i="168"/>
  <c r="F92" i="168"/>
  <c r="E92" i="168"/>
  <c r="D92" i="168" s="1"/>
  <c r="L91" i="168"/>
  <c r="K91" i="168"/>
  <c r="J91" i="168"/>
  <c r="I91" i="168"/>
  <c r="H91" i="168"/>
  <c r="G91" i="168"/>
  <c r="F91" i="168"/>
  <c r="E91" i="168"/>
  <c r="D91" i="168" s="1"/>
  <c r="L90" i="168"/>
  <c r="K90" i="168"/>
  <c r="J90" i="168"/>
  <c r="I90" i="168" s="1"/>
  <c r="H90" i="168"/>
  <c r="G90" i="168"/>
  <c r="F90" i="168"/>
  <c r="E90" i="168"/>
  <c r="L89" i="168"/>
  <c r="K89" i="168"/>
  <c r="J89" i="168"/>
  <c r="I89" i="168"/>
  <c r="D89" i="168" s="1"/>
  <c r="H89" i="168"/>
  <c r="G89" i="168"/>
  <c r="F89" i="168"/>
  <c r="E89" i="168"/>
  <c r="L88" i="168"/>
  <c r="K88" i="168"/>
  <c r="J88" i="168"/>
  <c r="I88" i="168" s="1"/>
  <c r="D88" i="168" s="1"/>
  <c r="H88" i="168"/>
  <c r="F88" i="168"/>
  <c r="E88" i="168"/>
  <c r="L87" i="168"/>
  <c r="K87" i="168"/>
  <c r="J87" i="168"/>
  <c r="I87" i="168" s="1"/>
  <c r="H87" i="168"/>
  <c r="G87" i="168"/>
  <c r="F87" i="168"/>
  <c r="E87" i="168"/>
  <c r="L86" i="168"/>
  <c r="K86" i="168"/>
  <c r="J86" i="168"/>
  <c r="I86" i="168" s="1"/>
  <c r="H86" i="168"/>
  <c r="G86" i="168"/>
  <c r="F86" i="168"/>
  <c r="D86" i="168" s="1"/>
  <c r="E86" i="168"/>
  <c r="L85" i="168"/>
  <c r="K85" i="168"/>
  <c r="J85" i="168"/>
  <c r="I85" i="168"/>
  <c r="H85" i="168"/>
  <c r="G85" i="168"/>
  <c r="F85" i="168"/>
  <c r="E85" i="168"/>
  <c r="D85" i="168"/>
  <c r="L84" i="168"/>
  <c r="K84" i="168"/>
  <c r="J84" i="168"/>
  <c r="I84" i="168" s="1"/>
  <c r="H84" i="168"/>
  <c r="G84" i="168"/>
  <c r="F84" i="168"/>
  <c r="E84" i="168"/>
  <c r="L83" i="168"/>
  <c r="K83" i="168"/>
  <c r="J83" i="168"/>
  <c r="I83" i="168"/>
  <c r="H83" i="168"/>
  <c r="G83" i="168"/>
  <c r="F83" i="168"/>
  <c r="D83" i="168" s="1"/>
  <c r="E83" i="168"/>
  <c r="L82" i="168"/>
  <c r="K82" i="168"/>
  <c r="J82" i="168"/>
  <c r="I82" i="168"/>
  <c r="H82" i="168"/>
  <c r="G82" i="168"/>
  <c r="F82" i="168"/>
  <c r="E82" i="168"/>
  <c r="D82" i="168" s="1"/>
  <c r="L81" i="168"/>
  <c r="K81" i="168"/>
  <c r="J81" i="168"/>
  <c r="I81" i="168" s="1"/>
  <c r="H81" i="168"/>
  <c r="G81" i="168"/>
  <c r="F81" i="168"/>
  <c r="E81" i="168"/>
  <c r="D81" i="168" s="1"/>
  <c r="L80" i="168"/>
  <c r="K80" i="168"/>
  <c r="J80" i="168"/>
  <c r="I80" i="168"/>
  <c r="D80" i="168" s="1"/>
  <c r="H80" i="168"/>
  <c r="G80" i="168"/>
  <c r="F80" i="168"/>
  <c r="E80" i="168"/>
  <c r="L79" i="168"/>
  <c r="K79" i="168"/>
  <c r="J79" i="168"/>
  <c r="I79" i="168" s="1"/>
  <c r="H79" i="168"/>
  <c r="G79" i="168"/>
  <c r="F79" i="168"/>
  <c r="E79" i="168"/>
  <c r="D79" i="168" s="1"/>
  <c r="L78" i="168"/>
  <c r="K78" i="168"/>
  <c r="J78" i="168"/>
  <c r="I78" i="168" s="1"/>
  <c r="H78" i="168"/>
  <c r="G78" i="168"/>
  <c r="F78" i="168"/>
  <c r="E78" i="168"/>
  <c r="D78" i="168" s="1"/>
  <c r="L77" i="168"/>
  <c r="K77" i="168"/>
  <c r="J77" i="168"/>
  <c r="I77" i="168" s="1"/>
  <c r="D77" i="168" s="1"/>
  <c r="H77" i="168"/>
  <c r="G77" i="168"/>
  <c r="F77" i="168"/>
  <c r="E77" i="168"/>
  <c r="L76" i="168"/>
  <c r="K76" i="168"/>
  <c r="J76" i="168"/>
  <c r="I76" i="168" s="1"/>
  <c r="H76" i="168"/>
  <c r="G76" i="168"/>
  <c r="F76" i="168"/>
  <c r="E76" i="168"/>
  <c r="L75" i="168"/>
  <c r="K75" i="168"/>
  <c r="J75" i="168"/>
  <c r="I75" i="168"/>
  <c r="H75" i="168"/>
  <c r="G75" i="168"/>
  <c r="F75" i="168"/>
  <c r="D75" i="168" s="1"/>
  <c r="E75" i="168"/>
  <c r="L74" i="168"/>
  <c r="K74" i="168"/>
  <c r="J74" i="168"/>
  <c r="I74" i="168" s="1"/>
  <c r="H74" i="168"/>
  <c r="G74" i="168"/>
  <c r="F74" i="168"/>
  <c r="E74" i="168"/>
  <c r="L73" i="168"/>
  <c r="K73" i="168"/>
  <c r="J73" i="168"/>
  <c r="I73" i="168" s="1"/>
  <c r="H73" i="168"/>
  <c r="G73" i="168"/>
  <c r="F73" i="168"/>
  <c r="E73" i="168"/>
  <c r="L72" i="168"/>
  <c r="K72" i="168"/>
  <c r="J72" i="168"/>
  <c r="I72" i="168"/>
  <c r="D72" i="168" s="1"/>
  <c r="H72" i="168"/>
  <c r="G72" i="168"/>
  <c r="F72" i="168"/>
  <c r="E72" i="168"/>
  <c r="L71" i="168"/>
  <c r="K71" i="168"/>
  <c r="J71" i="168"/>
  <c r="I71" i="168" s="1"/>
  <c r="H71" i="168"/>
  <c r="G71" i="168"/>
  <c r="F71" i="168"/>
  <c r="E71" i="168"/>
  <c r="L70" i="168"/>
  <c r="K70" i="168"/>
  <c r="J70" i="168"/>
  <c r="I70" i="168" s="1"/>
  <c r="H70" i="168"/>
  <c r="G70" i="168"/>
  <c r="F70" i="168"/>
  <c r="E70" i="168"/>
  <c r="D70" i="168" s="1"/>
  <c r="L69" i="168"/>
  <c r="K69" i="168"/>
  <c r="J69" i="168"/>
  <c r="I69" i="168" s="1"/>
  <c r="D69" i="168" s="1"/>
  <c r="H69" i="168"/>
  <c r="G69" i="168"/>
  <c r="F69" i="168"/>
  <c r="E69" i="168"/>
  <c r="L68" i="168"/>
  <c r="K68" i="168"/>
  <c r="J68" i="168"/>
  <c r="I68" i="168" s="1"/>
  <c r="H68" i="168"/>
  <c r="G68" i="168"/>
  <c r="F68" i="168"/>
  <c r="E68" i="168"/>
  <c r="D68" i="168" s="1"/>
  <c r="L67" i="168"/>
  <c r="K67" i="168"/>
  <c r="J67" i="168"/>
  <c r="I67" i="168"/>
  <c r="H67" i="168"/>
  <c r="G67" i="168"/>
  <c r="F67" i="168"/>
  <c r="E67" i="168"/>
  <c r="D67" i="168" s="1"/>
  <c r="L66" i="168"/>
  <c r="K66" i="168"/>
  <c r="J66" i="168"/>
  <c r="I66" i="168" s="1"/>
  <c r="H66" i="168"/>
  <c r="G66" i="168"/>
  <c r="F66" i="168"/>
  <c r="E66" i="168"/>
  <c r="L65" i="168"/>
  <c r="K65" i="168"/>
  <c r="J65" i="168"/>
  <c r="I65" i="168" s="1"/>
  <c r="H65" i="168"/>
  <c r="G65" i="168"/>
  <c r="F65" i="168"/>
  <c r="E65" i="168"/>
  <c r="L64" i="168"/>
  <c r="K64" i="168"/>
  <c r="J64" i="168"/>
  <c r="I64" i="168"/>
  <c r="D64" i="168" s="1"/>
  <c r="H64" i="168"/>
  <c r="G64" i="168"/>
  <c r="F64" i="168"/>
  <c r="E64" i="168"/>
  <c r="L63" i="168"/>
  <c r="K63" i="168"/>
  <c r="J63" i="168"/>
  <c r="I63" i="168" s="1"/>
  <c r="H63" i="168"/>
  <c r="G63" i="168"/>
  <c r="F63" i="168"/>
  <c r="E63" i="168"/>
  <c r="L62" i="168"/>
  <c r="K62" i="168"/>
  <c r="I62" i="168" s="1"/>
  <c r="J62" i="168"/>
  <c r="H62" i="168"/>
  <c r="G62" i="168"/>
  <c r="F62" i="168"/>
  <c r="E62" i="168"/>
  <c r="L61" i="168"/>
  <c r="K61" i="168"/>
  <c r="J61" i="168"/>
  <c r="I61" i="168"/>
  <c r="H61" i="168"/>
  <c r="G61" i="168"/>
  <c r="F61" i="168"/>
  <c r="E61" i="168"/>
  <c r="D61" i="168"/>
  <c r="L60" i="168"/>
  <c r="K60" i="168"/>
  <c r="J60" i="168"/>
  <c r="I60" i="168" s="1"/>
  <c r="H60" i="168"/>
  <c r="G60" i="168"/>
  <c r="F60" i="168"/>
  <c r="E60" i="168"/>
  <c r="L59" i="168"/>
  <c r="K59" i="168"/>
  <c r="I59" i="168" s="1"/>
  <c r="J59" i="168"/>
  <c r="H59" i="168"/>
  <c r="G59" i="168"/>
  <c r="F59" i="168"/>
  <c r="D59" i="168" s="1"/>
  <c r="E59" i="168"/>
  <c r="L58" i="168"/>
  <c r="K58" i="168"/>
  <c r="J58" i="168"/>
  <c r="I58" i="168" s="1"/>
  <c r="H58" i="168"/>
  <c r="G58" i="168"/>
  <c r="F58" i="168"/>
  <c r="E58" i="168"/>
  <c r="D58" i="168" s="1"/>
  <c r="L57" i="168"/>
  <c r="K57" i="168"/>
  <c r="I57" i="168" s="1"/>
  <c r="J57" i="168"/>
  <c r="H57" i="168"/>
  <c r="G57" i="168"/>
  <c r="F57" i="168"/>
  <c r="E57" i="168"/>
  <c r="D57" i="168" s="1"/>
  <c r="L56" i="168"/>
  <c r="K56" i="168"/>
  <c r="J56" i="168"/>
  <c r="I56" i="168"/>
  <c r="H56" i="168"/>
  <c r="G56" i="168"/>
  <c r="F56" i="168"/>
  <c r="E56" i="168"/>
  <c r="D56" i="168" s="1"/>
  <c r="L55" i="168"/>
  <c r="K55" i="168"/>
  <c r="J55" i="168"/>
  <c r="I55" i="168" s="1"/>
  <c r="H55" i="168"/>
  <c r="G55" i="168"/>
  <c r="F55" i="168"/>
  <c r="E55" i="168"/>
  <c r="D55" i="168" s="1"/>
  <c r="L54" i="168"/>
  <c r="K54" i="168"/>
  <c r="I54" i="168" s="1"/>
  <c r="J54" i="168"/>
  <c r="H54" i="168"/>
  <c r="G54" i="168"/>
  <c r="F54" i="168"/>
  <c r="E54" i="168"/>
  <c r="L53" i="168"/>
  <c r="K53" i="168"/>
  <c r="J53" i="168"/>
  <c r="I53" i="168" s="1"/>
  <c r="D53" i="168" s="1"/>
  <c r="H53" i="168"/>
  <c r="G53" i="168"/>
  <c r="F53" i="168"/>
  <c r="E53" i="168"/>
  <c r="L52" i="168"/>
  <c r="K52" i="168"/>
  <c r="J52" i="168"/>
  <c r="I52" i="168"/>
  <c r="H52" i="168"/>
  <c r="G52" i="168"/>
  <c r="F52" i="168"/>
  <c r="E52" i="168"/>
  <c r="D52" i="168" s="1"/>
  <c r="L51" i="168"/>
  <c r="K51" i="168"/>
  <c r="J51" i="168"/>
  <c r="I51" i="168" s="1"/>
  <c r="H51" i="168"/>
  <c r="G51" i="168"/>
  <c r="F51" i="168"/>
  <c r="E51" i="168"/>
  <c r="L50" i="168"/>
  <c r="K50" i="168"/>
  <c r="J50" i="168"/>
  <c r="I50" i="168" s="1"/>
  <c r="H50" i="168"/>
  <c r="G50" i="168"/>
  <c r="D50" i="168" s="1"/>
  <c r="F50" i="168"/>
  <c r="E50" i="168"/>
  <c r="L49" i="168"/>
  <c r="K49" i="168"/>
  <c r="J49" i="168"/>
  <c r="I49" i="168" s="1"/>
  <c r="H49" i="168"/>
  <c r="G49" i="168"/>
  <c r="F49" i="168"/>
  <c r="E49" i="168"/>
  <c r="L48" i="168"/>
  <c r="K48" i="168"/>
  <c r="J48" i="168"/>
  <c r="I48" i="168"/>
  <c r="D48" i="168" s="1"/>
  <c r="H48" i="168"/>
  <c r="G48" i="168"/>
  <c r="F48" i="168"/>
  <c r="E48" i="168"/>
  <c r="L47" i="168"/>
  <c r="K47" i="168"/>
  <c r="J47" i="168"/>
  <c r="I47" i="168" s="1"/>
  <c r="H47" i="168"/>
  <c r="G47" i="168"/>
  <c r="F47" i="168"/>
  <c r="E47" i="168"/>
  <c r="D47" i="168" s="1"/>
  <c r="L46" i="168"/>
  <c r="K46" i="168"/>
  <c r="J46" i="168"/>
  <c r="I46" i="168" s="1"/>
  <c r="H46" i="168"/>
  <c r="G46" i="168"/>
  <c r="F46" i="168"/>
  <c r="E46" i="168"/>
  <c r="D46" i="168" s="1"/>
  <c r="L45" i="168"/>
  <c r="K45" i="168"/>
  <c r="J45" i="168"/>
  <c r="I45" i="168" s="1"/>
  <c r="D45" i="168" s="1"/>
  <c r="H45" i="168"/>
  <c r="G45" i="168"/>
  <c r="F45" i="168"/>
  <c r="E45" i="168"/>
  <c r="L44" i="168"/>
  <c r="K44" i="168"/>
  <c r="J44" i="168"/>
  <c r="I44" i="168"/>
  <c r="H44" i="168"/>
  <c r="G44" i="168"/>
  <c r="F44" i="168"/>
  <c r="E44" i="168"/>
  <c r="D44" i="168" s="1"/>
  <c r="L43" i="168"/>
  <c r="K43" i="168"/>
  <c r="J43" i="168"/>
  <c r="I43" i="168" s="1"/>
  <c r="H43" i="168"/>
  <c r="G43" i="168"/>
  <c r="F43" i="168"/>
  <c r="E43" i="168"/>
  <c r="D43" i="168" s="1"/>
  <c r="L42" i="168"/>
  <c r="K42" i="168"/>
  <c r="J42" i="168"/>
  <c r="I42" i="168" s="1"/>
  <c r="H42" i="168"/>
  <c r="G42" i="168"/>
  <c r="F42" i="168"/>
  <c r="E42" i="168"/>
  <c r="L41" i="168"/>
  <c r="K41" i="168"/>
  <c r="J41" i="168"/>
  <c r="I41" i="168" s="1"/>
  <c r="H41" i="168"/>
  <c r="G41" i="168"/>
  <c r="F41" i="168"/>
  <c r="E41" i="168"/>
  <c r="L40" i="168"/>
  <c r="K40" i="168"/>
  <c r="J40" i="168"/>
  <c r="I40" i="168"/>
  <c r="H40" i="168"/>
  <c r="G40" i="168"/>
  <c r="F40" i="168"/>
  <c r="E40" i="168"/>
  <c r="D40" i="168" s="1"/>
  <c r="L39" i="168"/>
  <c r="K39" i="168"/>
  <c r="J39" i="168"/>
  <c r="I39" i="168" s="1"/>
  <c r="H39" i="168"/>
  <c r="G39" i="168"/>
  <c r="F39" i="168"/>
  <c r="E39" i="168"/>
  <c r="L38" i="168"/>
  <c r="K38" i="168"/>
  <c r="J38" i="168"/>
  <c r="I38" i="168" s="1"/>
  <c r="D38" i="168" s="1"/>
  <c r="H38" i="168"/>
  <c r="G38" i="168"/>
  <c r="F38" i="168"/>
  <c r="E38" i="168"/>
  <c r="L37" i="168"/>
  <c r="K37" i="168"/>
  <c r="J37" i="168"/>
  <c r="I37" i="168" s="1"/>
  <c r="D37" i="168" s="1"/>
  <c r="H37" i="168"/>
  <c r="G37" i="168"/>
  <c r="F37" i="168"/>
  <c r="E37" i="168"/>
  <c r="L36" i="168"/>
  <c r="K36" i="168"/>
  <c r="J36" i="168"/>
  <c r="I36" i="168" s="1"/>
  <c r="H36" i="168"/>
  <c r="G36" i="168"/>
  <c r="F36" i="168"/>
  <c r="E36" i="168"/>
  <c r="D36" i="168" s="1"/>
  <c r="L35" i="168"/>
  <c r="K35" i="168"/>
  <c r="J35" i="168"/>
  <c r="I35" i="168" s="1"/>
  <c r="H35" i="168"/>
  <c r="G35" i="168"/>
  <c r="F35" i="168"/>
  <c r="D35" i="168" s="1"/>
  <c r="E35" i="168"/>
  <c r="L34" i="168"/>
  <c r="K34" i="168"/>
  <c r="J34" i="168"/>
  <c r="I34" i="168" s="1"/>
  <c r="H34" i="168"/>
  <c r="G34" i="168"/>
  <c r="F34" i="168"/>
  <c r="E34" i="168"/>
  <c r="L33" i="168"/>
  <c r="K33" i="168"/>
  <c r="I33" i="168" s="1"/>
  <c r="J33" i="168"/>
  <c r="H33" i="168"/>
  <c r="G33" i="168"/>
  <c r="F33" i="168"/>
  <c r="E33" i="168"/>
  <c r="L32" i="168"/>
  <c r="K32" i="168"/>
  <c r="J32" i="168"/>
  <c r="I32" i="168"/>
  <c r="D32" i="168" s="1"/>
  <c r="H32" i="168"/>
  <c r="G32" i="168"/>
  <c r="F32" i="168"/>
  <c r="E32" i="168"/>
  <c r="L31" i="168"/>
  <c r="K31" i="168"/>
  <c r="J31" i="168"/>
  <c r="I31" i="168" s="1"/>
  <c r="H31" i="168"/>
  <c r="G31" i="168"/>
  <c r="F31" i="168"/>
  <c r="E31" i="168"/>
  <c r="L30" i="168"/>
  <c r="K30" i="168"/>
  <c r="J30" i="168"/>
  <c r="I30" i="168" s="1"/>
  <c r="H30" i="168"/>
  <c r="G30" i="168"/>
  <c r="F30" i="168"/>
  <c r="E30" i="168"/>
  <c r="L29" i="168"/>
  <c r="K29" i="168"/>
  <c r="J29" i="168"/>
  <c r="I29" i="168" s="1"/>
  <c r="D29" i="168" s="1"/>
  <c r="H29" i="168"/>
  <c r="G29" i="168"/>
  <c r="F29" i="168"/>
  <c r="E29" i="168"/>
  <c r="L28" i="168"/>
  <c r="K28" i="168"/>
  <c r="J28" i="168"/>
  <c r="I28" i="168"/>
  <c r="H28" i="168"/>
  <c r="G28" i="168"/>
  <c r="F28" i="168"/>
  <c r="E28" i="168"/>
  <c r="D28" i="168" s="1"/>
  <c r="L27" i="168"/>
  <c r="K27" i="168"/>
  <c r="J27" i="168"/>
  <c r="I27" i="168"/>
  <c r="H27" i="168"/>
  <c r="G27" i="168"/>
  <c r="F27" i="168"/>
  <c r="E27" i="168"/>
  <c r="D27" i="168" s="1"/>
  <c r="L26" i="168"/>
  <c r="K26" i="168"/>
  <c r="J26" i="168"/>
  <c r="I26" i="168" s="1"/>
  <c r="H26" i="168"/>
  <c r="G26" i="168"/>
  <c r="D26" i="168" s="1"/>
  <c r="F26" i="168"/>
  <c r="E26" i="168"/>
  <c r="L25" i="168"/>
  <c r="K25" i="168"/>
  <c r="J25" i="168"/>
  <c r="I25" i="168" s="1"/>
  <c r="H25" i="168"/>
  <c r="G25" i="168"/>
  <c r="F25" i="168"/>
  <c r="E25" i="168"/>
  <c r="D25" i="168" s="1"/>
  <c r="L24" i="168"/>
  <c r="K24" i="168"/>
  <c r="J24" i="168"/>
  <c r="I24" i="168"/>
  <c r="D24" i="168" s="1"/>
  <c r="H24" i="168"/>
  <c r="G24" i="168"/>
  <c r="F24" i="168"/>
  <c r="E24" i="168"/>
  <c r="L23" i="168"/>
  <c r="K23" i="168"/>
  <c r="J23" i="168"/>
  <c r="I23" i="168" s="1"/>
  <c r="H23" i="168"/>
  <c r="G23" i="168"/>
  <c r="F23" i="168"/>
  <c r="E23" i="168"/>
  <c r="D23" i="168" s="1"/>
  <c r="L22" i="168"/>
  <c r="K22" i="168"/>
  <c r="J22" i="168"/>
  <c r="I22" i="168" s="1"/>
  <c r="H22" i="168"/>
  <c r="G22" i="168"/>
  <c r="F22" i="168"/>
  <c r="E22" i="168"/>
  <c r="D22" i="168" s="1"/>
  <c r="L21" i="168"/>
  <c r="K21" i="168"/>
  <c r="J21" i="168"/>
  <c r="I21" i="168" s="1"/>
  <c r="D21" i="168" s="1"/>
  <c r="H21" i="168"/>
  <c r="G21" i="168"/>
  <c r="F21" i="168"/>
  <c r="E21" i="168"/>
  <c r="L20" i="168"/>
  <c r="K20" i="168"/>
  <c r="J20" i="168"/>
  <c r="I20" i="168" s="1"/>
  <c r="H20" i="168"/>
  <c r="G20" i="168"/>
  <c r="F20" i="168"/>
  <c r="E20" i="168"/>
  <c r="L19" i="168"/>
  <c r="K19" i="168"/>
  <c r="J19" i="168"/>
  <c r="I19" i="168"/>
  <c r="H19" i="168"/>
  <c r="G19" i="168"/>
  <c r="F19" i="168"/>
  <c r="D19" i="168" s="1"/>
  <c r="E19" i="168"/>
  <c r="L18" i="168"/>
  <c r="K18" i="168"/>
  <c r="J18" i="168"/>
  <c r="I18" i="168" s="1"/>
  <c r="H18" i="168"/>
  <c r="G18" i="168"/>
  <c r="D18" i="168" s="1"/>
  <c r="F18" i="168"/>
  <c r="E18" i="168"/>
  <c r="L17" i="168"/>
  <c r="K17" i="168"/>
  <c r="J17" i="168"/>
  <c r="I17" i="168" s="1"/>
  <c r="H17" i="168"/>
  <c r="H11" i="168" s="1"/>
  <c r="H8" i="168" s="1"/>
  <c r="G17" i="168"/>
  <c r="F17" i="168"/>
  <c r="E17" i="168"/>
  <c r="L16" i="168"/>
  <c r="K16" i="168"/>
  <c r="J16" i="168"/>
  <c r="I16" i="168"/>
  <c r="D16" i="168" s="1"/>
  <c r="H16" i="168"/>
  <c r="G16" i="168"/>
  <c r="F16" i="168"/>
  <c r="E16" i="168"/>
  <c r="L15" i="168"/>
  <c r="K15" i="168"/>
  <c r="J15" i="168"/>
  <c r="I15" i="168" s="1"/>
  <c r="H15" i="168"/>
  <c r="G15" i="168"/>
  <c r="F15" i="168"/>
  <c r="E15" i="168"/>
  <c r="D15" i="168" s="1"/>
  <c r="L14" i="168"/>
  <c r="K14" i="168"/>
  <c r="K11" i="168" s="1"/>
  <c r="K8" i="168" s="1"/>
  <c r="J14" i="168"/>
  <c r="I14" i="168" s="1"/>
  <c r="D14" i="168" s="1"/>
  <c r="H14" i="168"/>
  <c r="G14" i="168"/>
  <c r="F14" i="168"/>
  <c r="E14" i="168"/>
  <c r="L13" i="168"/>
  <c r="L11" i="168" s="1"/>
  <c r="L8" i="168" s="1"/>
  <c r="K13" i="168"/>
  <c r="J13" i="168"/>
  <c r="I13" i="168" s="1"/>
  <c r="H13" i="168"/>
  <c r="G13" i="168"/>
  <c r="F13" i="168"/>
  <c r="E13" i="168"/>
  <c r="L12" i="168"/>
  <c r="K12" i="168"/>
  <c r="J12" i="168"/>
  <c r="I12" i="168"/>
  <c r="H12" i="168"/>
  <c r="G12" i="168"/>
  <c r="F12" i="168"/>
  <c r="E12" i="168"/>
  <c r="D12" i="168" s="1"/>
  <c r="F11" i="168"/>
  <c r="F8" i="168" s="1"/>
  <c r="L10" i="168"/>
  <c r="K10" i="168"/>
  <c r="J10" i="168"/>
  <c r="I10" i="168"/>
  <c r="H10" i="168"/>
  <c r="G10" i="168"/>
  <c r="D10" i="168" s="1"/>
  <c r="F10" i="168"/>
  <c r="E10" i="168"/>
  <c r="L9" i="168"/>
  <c r="K9" i="168"/>
  <c r="J9" i="168"/>
  <c r="I9" i="168"/>
  <c r="H9" i="168"/>
  <c r="D9" i="168" s="1"/>
  <c r="G9" i="168"/>
  <c r="F9" i="168"/>
  <c r="E9" i="168"/>
  <c r="D33" i="168" l="1"/>
  <c r="D76" i="168"/>
  <c r="D101" i="168"/>
  <c r="D20" i="168"/>
  <c r="D31" i="168"/>
  <c r="D34" i="168"/>
  <c r="D41" i="168"/>
  <c r="D51" i="168"/>
  <c r="D63" i="168"/>
  <c r="D66" i="168"/>
  <c r="D74" i="168"/>
  <c r="D90" i="168"/>
  <c r="D99" i="168"/>
  <c r="D122" i="168"/>
  <c r="D54" i="168"/>
  <c r="D42" i="168"/>
  <c r="D65" i="168"/>
  <c r="D111" i="168"/>
  <c r="D13" i="168"/>
  <c r="D11" i="168" s="1"/>
  <c r="D8" i="168" s="1"/>
  <c r="I11" i="168"/>
  <c r="I8" i="168" s="1"/>
  <c r="D30" i="168"/>
  <c r="D39" i="168"/>
  <c r="D60" i="168"/>
  <c r="D73" i="168"/>
  <c r="D87" i="168"/>
  <c r="D120" i="168"/>
  <c r="D123" i="168"/>
  <c r="D17" i="168"/>
  <c r="D49" i="168"/>
  <c r="D62" i="168"/>
  <c r="D71" i="168"/>
  <c r="D84" i="168"/>
  <c r="D107" i="168"/>
  <c r="D108" i="168"/>
  <c r="D117" i="168"/>
  <c r="G11" i="168"/>
  <c r="G8" i="168" s="1"/>
  <c r="J11" i="168"/>
  <c r="J8" i="168" s="1"/>
  <c r="E11" i="168"/>
  <c r="E8" i="168" s="1"/>
  <c r="D143" i="162"/>
  <c r="D142" i="162"/>
  <c r="D141" i="162"/>
  <c r="D138" i="162"/>
  <c r="D136" i="162"/>
  <c r="D132" i="162"/>
  <c r="D131" i="162"/>
  <c r="D90" i="162"/>
  <c r="D85" i="162"/>
  <c r="D51" i="162"/>
  <c r="D50" i="162"/>
  <c r="D41" i="162"/>
  <c r="D35" i="162"/>
  <c r="D30" i="162"/>
  <c r="D26" i="162"/>
  <c r="D15" i="162"/>
  <c r="D14" i="162"/>
  <c r="D8" i="162" l="1"/>
  <c r="D3" i="162" s="1"/>
  <c r="G147" i="144"/>
  <c r="G146" i="144"/>
  <c r="G145" i="144"/>
  <c r="G144" i="144"/>
  <c r="F143" i="144"/>
  <c r="E143" i="144"/>
  <c r="D143" i="144"/>
  <c r="G142" i="144"/>
  <c r="G141" i="144"/>
  <c r="G140" i="144"/>
  <c r="G139" i="144"/>
  <c r="G138" i="144"/>
  <c r="G137" i="144"/>
  <c r="G136" i="144"/>
  <c r="F135" i="144"/>
  <c r="E135" i="144"/>
  <c r="D135" i="144"/>
  <c r="G134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G109" i="144"/>
  <c r="G108" i="144"/>
  <c r="G107" i="144"/>
  <c r="G106" i="144"/>
  <c r="F106" i="144"/>
  <c r="E106" i="144"/>
  <c r="D106" i="144"/>
  <c r="G105" i="144"/>
  <c r="G104" i="144"/>
  <c r="G103" i="144"/>
  <c r="G102" i="144"/>
  <c r="G101" i="144"/>
  <c r="G100" i="144"/>
  <c r="G99" i="144"/>
  <c r="F98" i="144"/>
  <c r="G98" i="144" s="1"/>
  <c r="G97" i="144"/>
  <c r="G96" i="144"/>
  <c r="F95" i="144"/>
  <c r="E95" i="144"/>
  <c r="D95" i="144"/>
  <c r="G94" i="144"/>
  <c r="G93" i="144"/>
  <c r="G92" i="144"/>
  <c r="G91" i="144"/>
  <c r="G90" i="144"/>
  <c r="G89" i="144"/>
  <c r="G88" i="144"/>
  <c r="G87" i="144"/>
  <c r="G86" i="144"/>
  <c r="G85" i="144"/>
  <c r="G84" i="144"/>
  <c r="G83" i="144"/>
  <c r="G82" i="144"/>
  <c r="G81" i="144"/>
  <c r="G80" i="144"/>
  <c r="G79" i="144"/>
  <c r="G78" i="144"/>
  <c r="G77" i="144"/>
  <c r="G76" i="144"/>
  <c r="G75" i="144"/>
  <c r="G74" i="144"/>
  <c r="G73" i="144"/>
  <c r="G72" i="144"/>
  <c r="G71" i="144"/>
  <c r="G70" i="144"/>
  <c r="G69" i="144"/>
  <c r="G68" i="144"/>
  <c r="G67" i="144"/>
  <c r="G66" i="144"/>
  <c r="G65" i="144"/>
  <c r="G64" i="144"/>
  <c r="G63" i="144"/>
  <c r="F62" i="144"/>
  <c r="E62" i="144"/>
  <c r="D62" i="144"/>
  <c r="G61" i="144"/>
  <c r="G60" i="144"/>
  <c r="G59" i="144"/>
  <c r="G58" i="144"/>
  <c r="G57" i="144"/>
  <c r="G56" i="144"/>
  <c r="G55" i="144"/>
  <c r="G54" i="144"/>
  <c r="G53" i="144"/>
  <c r="G52" i="144"/>
  <c r="G51" i="144"/>
  <c r="G50" i="144"/>
  <c r="E49" i="144"/>
  <c r="D49" i="144"/>
  <c r="G48" i="144"/>
  <c r="G47" i="144"/>
  <c r="F46" i="144"/>
  <c r="G46" i="144" s="1"/>
  <c r="G45" i="144"/>
  <c r="D44" i="144"/>
  <c r="G44" i="144" s="1"/>
  <c r="G43" i="144"/>
  <c r="F42" i="144"/>
  <c r="G42" i="144" s="1"/>
  <c r="G41" i="144"/>
  <c r="G40" i="144"/>
  <c r="G39" i="144"/>
  <c r="G38" i="144"/>
  <c r="D37" i="144"/>
  <c r="G37" i="144" s="1"/>
  <c r="E36" i="144"/>
  <c r="G36" i="144" s="1"/>
  <c r="G35" i="144"/>
  <c r="G34" i="144"/>
  <c r="G33" i="144"/>
  <c r="D32" i="144"/>
  <c r="G32" i="144" s="1"/>
  <c r="G31" i="144"/>
  <c r="G30" i="144"/>
  <c r="G29" i="144"/>
  <c r="G28" i="144"/>
  <c r="G27" i="144"/>
  <c r="G26" i="144"/>
  <c r="D25" i="144"/>
  <c r="G25" i="144" s="1"/>
  <c r="G24" i="144"/>
  <c r="G23" i="144"/>
  <c r="G22" i="144"/>
  <c r="G21" i="144"/>
  <c r="G20" i="144"/>
  <c r="G19" i="144"/>
  <c r="G18" i="144"/>
  <c r="G17" i="144"/>
  <c r="F16" i="144"/>
  <c r="E16" i="144"/>
  <c r="D16" i="144"/>
  <c r="G16" i="144" s="1"/>
  <c r="D15" i="144"/>
  <c r="G15" i="144" s="1"/>
  <c r="E14" i="144"/>
  <c r="G14" i="144" s="1"/>
  <c r="F13" i="144"/>
  <c r="E13" i="144"/>
  <c r="G12" i="144"/>
  <c r="G11" i="144"/>
  <c r="G133" i="144" l="1"/>
  <c r="G13" i="144"/>
  <c r="G143" i="144"/>
  <c r="G95" i="144"/>
  <c r="E10" i="144"/>
  <c r="E5" i="144" s="1"/>
  <c r="F10" i="144"/>
  <c r="F5" i="144" s="1"/>
  <c r="G62" i="144"/>
  <c r="G49" i="144"/>
  <c r="G10" i="144" s="1"/>
  <c r="G5" i="144" s="1"/>
  <c r="G135" i="144"/>
  <c r="D10" i="144"/>
  <c r="D5" i="144" s="1"/>
  <c r="L145" i="145" l="1"/>
  <c r="H145" i="145"/>
  <c r="L144" i="145"/>
  <c r="H144" i="145"/>
  <c r="M144" i="145" s="1"/>
  <c r="K143" i="145"/>
  <c r="J143" i="145"/>
  <c r="I143" i="145"/>
  <c r="L143" i="145" s="1"/>
  <c r="H143" i="145"/>
  <c r="G143" i="145"/>
  <c r="E143" i="145"/>
  <c r="L142" i="145"/>
  <c r="H142" i="145"/>
  <c r="M142" i="145" s="1"/>
  <c r="L139" i="145"/>
  <c r="H139" i="145"/>
  <c r="M139" i="145" s="1"/>
  <c r="L136" i="145"/>
  <c r="H136" i="145"/>
  <c r="L135" i="145"/>
  <c r="H135" i="145"/>
  <c r="M135" i="145" s="1"/>
  <c r="L134" i="145"/>
  <c r="H134" i="145"/>
  <c r="I133" i="145"/>
  <c r="L133" i="145" s="1"/>
  <c r="G133" i="145"/>
  <c r="F133" i="145"/>
  <c r="E133" i="145"/>
  <c r="D133" i="145"/>
  <c r="L126" i="145"/>
  <c r="F126" i="145"/>
  <c r="E126" i="145"/>
  <c r="H126" i="145" s="1"/>
  <c r="M126" i="145" s="1"/>
  <c r="L125" i="145"/>
  <c r="H125" i="145"/>
  <c r="J121" i="145"/>
  <c r="I121" i="145"/>
  <c r="L121" i="145" s="1"/>
  <c r="H121" i="145"/>
  <c r="K119" i="145"/>
  <c r="J119" i="145"/>
  <c r="J10" i="145" s="1"/>
  <c r="J5" i="145" s="1"/>
  <c r="I119" i="145"/>
  <c r="L119" i="145" s="1"/>
  <c r="G119" i="145"/>
  <c r="F119" i="145"/>
  <c r="E119" i="145"/>
  <c r="L117" i="145"/>
  <c r="I117" i="145"/>
  <c r="H117" i="145"/>
  <c r="L109" i="145"/>
  <c r="H109" i="145"/>
  <c r="M109" i="145" s="1"/>
  <c r="L106" i="145"/>
  <c r="H106" i="145"/>
  <c r="L99" i="145"/>
  <c r="H99" i="145"/>
  <c r="L98" i="145"/>
  <c r="H98" i="145"/>
  <c r="L95" i="145"/>
  <c r="F95" i="145"/>
  <c r="E95" i="145"/>
  <c r="H95" i="145" s="1"/>
  <c r="L92" i="145"/>
  <c r="G92" i="145"/>
  <c r="H92" i="145" s="1"/>
  <c r="L89" i="145"/>
  <c r="H89" i="145"/>
  <c r="M89" i="145" s="1"/>
  <c r="L88" i="145"/>
  <c r="H88" i="145"/>
  <c r="M88" i="145" s="1"/>
  <c r="L87" i="145"/>
  <c r="G87" i="145"/>
  <c r="F87" i="145"/>
  <c r="E87" i="145"/>
  <c r="D87" i="145"/>
  <c r="H87" i="145" s="1"/>
  <c r="M87" i="145" s="1"/>
  <c r="L85" i="145"/>
  <c r="G85" i="145"/>
  <c r="F85" i="145"/>
  <c r="E85" i="145"/>
  <c r="F83" i="145"/>
  <c r="E83" i="145"/>
  <c r="L74" i="145"/>
  <c r="G74" i="145"/>
  <c r="F74" i="145"/>
  <c r="E74" i="145"/>
  <c r="L62" i="145"/>
  <c r="E62" i="145"/>
  <c r="H62" i="145" s="1"/>
  <c r="L55" i="145"/>
  <c r="H55" i="145"/>
  <c r="I53" i="145"/>
  <c r="L53" i="145" s="1"/>
  <c r="H53" i="145"/>
  <c r="I52" i="145"/>
  <c r="H52" i="145"/>
  <c r="L47" i="145"/>
  <c r="H47" i="145"/>
  <c r="E47" i="145"/>
  <c r="L45" i="145"/>
  <c r="F45" i="145"/>
  <c r="E45" i="145"/>
  <c r="L43" i="145"/>
  <c r="H43" i="145"/>
  <c r="M43" i="145" s="1"/>
  <c r="L42" i="145"/>
  <c r="H42" i="145"/>
  <c r="E42" i="145"/>
  <c r="L37" i="145"/>
  <c r="H37" i="145"/>
  <c r="M37" i="145" s="1"/>
  <c r="L36" i="145"/>
  <c r="G36" i="145"/>
  <c r="F36" i="145"/>
  <c r="E36" i="145"/>
  <c r="H36" i="145" s="1"/>
  <c r="M36" i="145" s="1"/>
  <c r="L34" i="145"/>
  <c r="H34" i="145"/>
  <c r="L32" i="145"/>
  <c r="H32" i="145"/>
  <c r="M32" i="145" s="1"/>
  <c r="L31" i="145"/>
  <c r="H31" i="145"/>
  <c r="M31" i="145" s="1"/>
  <c r="L28" i="145"/>
  <c r="M28" i="145" s="1"/>
  <c r="H28" i="145"/>
  <c r="L27" i="145"/>
  <c r="H27" i="145"/>
  <c r="M27" i="145" s="1"/>
  <c r="L17" i="145"/>
  <c r="H17" i="145"/>
  <c r="I16" i="145"/>
  <c r="L16" i="145" s="1"/>
  <c r="G16" i="145"/>
  <c r="H16" i="145" s="1"/>
  <c r="L13" i="145"/>
  <c r="H13" i="145"/>
  <c r="K10" i="145"/>
  <c r="K5" i="145" s="1"/>
  <c r="D10" i="145"/>
  <c r="L9" i="145"/>
  <c r="G9" i="145"/>
  <c r="D9" i="145"/>
  <c r="H9" i="145" s="1"/>
  <c r="M9" i="145" s="1"/>
  <c r="L8" i="145"/>
  <c r="G8" i="145"/>
  <c r="H8" i="145" s="1"/>
  <c r="L7" i="145"/>
  <c r="G7" i="145"/>
  <c r="H7" i="145" s="1"/>
  <c r="M7" i="145" s="1"/>
  <c r="L6" i="145"/>
  <c r="G6" i="145"/>
  <c r="H6" i="145" s="1"/>
  <c r="D5" i="145" l="1"/>
  <c r="M98" i="145"/>
  <c r="M134" i="145"/>
  <c r="H45" i="145"/>
  <c r="M45" i="145" s="1"/>
  <c r="F10" i="145"/>
  <c r="F5" i="145" s="1"/>
  <c r="M13" i="145"/>
  <c r="M143" i="145"/>
  <c r="M47" i="145"/>
  <c r="M62" i="145"/>
  <c r="H85" i="145"/>
  <c r="M85" i="145" s="1"/>
  <c r="M106" i="145"/>
  <c r="M125" i="145"/>
  <c r="M17" i="145"/>
  <c r="M34" i="145"/>
  <c r="M55" i="145"/>
  <c r="M95" i="145"/>
  <c r="H119" i="145"/>
  <c r="M8" i="145"/>
  <c r="G10" i="145"/>
  <c r="G5" i="145" s="1"/>
  <c r="M42" i="145"/>
  <c r="I10" i="145"/>
  <c r="I5" i="145" s="1"/>
  <c r="H74" i="145"/>
  <c r="M74" i="145" s="1"/>
  <c r="E10" i="145"/>
  <c r="E5" i="145" s="1"/>
  <c r="M99" i="145"/>
  <c r="M117" i="145"/>
  <c r="H133" i="145"/>
  <c r="M133" i="145" s="1"/>
  <c r="M136" i="145"/>
  <c r="M145" i="145"/>
  <c r="M92" i="145"/>
  <c r="M121" i="145"/>
  <c r="M6" i="145"/>
  <c r="M119" i="145"/>
  <c r="M16" i="145"/>
  <c r="M53" i="145"/>
  <c r="L52" i="145"/>
  <c r="L10" i="145" s="1"/>
  <c r="L5" i="145" s="1"/>
  <c r="H83" i="145"/>
  <c r="M83" i="145" s="1"/>
  <c r="M52" i="145" l="1"/>
  <c r="M10" i="145" s="1"/>
  <c r="M5" i="145" s="1"/>
  <c r="H10" i="145"/>
  <c r="H5" i="145" s="1"/>
  <c r="D1758" i="158" l="1"/>
  <c r="G148" i="167" l="1"/>
  <c r="F148" i="167"/>
  <c r="E148" i="167"/>
  <c r="G147" i="167"/>
  <c r="F147" i="167"/>
  <c r="E147" i="167"/>
  <c r="G146" i="167"/>
  <c r="F146" i="167"/>
  <c r="E146" i="167"/>
  <c r="G145" i="167"/>
  <c r="F145" i="167"/>
  <c r="E145" i="167"/>
  <c r="G144" i="167"/>
  <c r="F144" i="167"/>
  <c r="E144" i="167"/>
  <c r="G143" i="167"/>
  <c r="F143" i="167"/>
  <c r="E143" i="167"/>
  <c r="G142" i="167"/>
  <c r="F142" i="167"/>
  <c r="E142" i="167"/>
  <c r="G141" i="167"/>
  <c r="F141" i="167"/>
  <c r="E141" i="167"/>
  <c r="G140" i="167"/>
  <c r="F140" i="167"/>
  <c r="E140" i="167"/>
  <c r="G139" i="167"/>
  <c r="F139" i="167"/>
  <c r="E139" i="167"/>
  <c r="G138" i="167"/>
  <c r="F138" i="167"/>
  <c r="E138" i="167"/>
  <c r="G137" i="167"/>
  <c r="F137" i="167"/>
  <c r="E137" i="167"/>
  <c r="G136" i="167"/>
  <c r="F136" i="167"/>
  <c r="E136" i="167"/>
  <c r="G135" i="167"/>
  <c r="F135" i="167"/>
  <c r="E135" i="167"/>
  <c r="G134" i="167"/>
  <c r="F134" i="167"/>
  <c r="E134" i="167"/>
  <c r="G133" i="167"/>
  <c r="F133" i="167"/>
  <c r="E133" i="167"/>
  <c r="G132" i="167"/>
  <c r="F132" i="167"/>
  <c r="E132" i="167"/>
  <c r="G131" i="167"/>
  <c r="F131" i="167"/>
  <c r="E131" i="167"/>
  <c r="G130" i="167"/>
  <c r="F130" i="167"/>
  <c r="E130" i="167"/>
  <c r="G129" i="167"/>
  <c r="F129" i="167"/>
  <c r="E129" i="167"/>
  <c r="G128" i="167"/>
  <c r="F128" i="167"/>
  <c r="E128" i="167"/>
  <c r="G127" i="167"/>
  <c r="F127" i="167"/>
  <c r="E127" i="167"/>
  <c r="G126" i="167"/>
  <c r="F126" i="167"/>
  <c r="E126" i="167"/>
  <c r="G125" i="167"/>
  <c r="F125" i="167"/>
  <c r="E125" i="167"/>
  <c r="G124" i="167"/>
  <c r="F124" i="167"/>
  <c r="E124" i="167"/>
  <c r="G123" i="167"/>
  <c r="F123" i="167"/>
  <c r="E123" i="167"/>
  <c r="G122" i="167"/>
  <c r="F122" i="167"/>
  <c r="E122" i="167"/>
  <c r="G121" i="167"/>
  <c r="F121" i="167"/>
  <c r="E121" i="167"/>
  <c r="G120" i="167"/>
  <c r="F120" i="167"/>
  <c r="E120" i="167"/>
  <c r="G119" i="167"/>
  <c r="F119" i="167"/>
  <c r="E119" i="167"/>
  <c r="G118" i="167"/>
  <c r="F118" i="167"/>
  <c r="E118" i="167"/>
  <c r="G117" i="167"/>
  <c r="F117" i="167"/>
  <c r="E117" i="167"/>
  <c r="G116" i="167"/>
  <c r="F116" i="167"/>
  <c r="E116" i="167"/>
  <c r="G115" i="167"/>
  <c r="F115" i="167"/>
  <c r="E115" i="167"/>
  <c r="G114" i="167"/>
  <c r="F114" i="167"/>
  <c r="E114" i="167"/>
  <c r="G113" i="167"/>
  <c r="F113" i="167"/>
  <c r="E113" i="167"/>
  <c r="G112" i="167"/>
  <c r="F112" i="167"/>
  <c r="E112" i="167"/>
  <c r="G111" i="167"/>
  <c r="F111" i="167"/>
  <c r="E111" i="167"/>
  <c r="G110" i="167"/>
  <c r="F110" i="167"/>
  <c r="E110" i="167"/>
  <c r="G109" i="167"/>
  <c r="F109" i="167"/>
  <c r="E109" i="167"/>
  <c r="G108" i="167"/>
  <c r="F108" i="167"/>
  <c r="E108" i="167"/>
  <c r="G107" i="167"/>
  <c r="F107" i="167"/>
  <c r="E107" i="167"/>
  <c r="G106" i="167"/>
  <c r="F106" i="167"/>
  <c r="E106" i="167"/>
  <c r="G105" i="167"/>
  <c r="F105" i="167"/>
  <c r="E105" i="167"/>
  <c r="G104" i="167"/>
  <c r="F104" i="167"/>
  <c r="E104" i="167"/>
  <c r="G103" i="167"/>
  <c r="F103" i="167"/>
  <c r="E103" i="167"/>
  <c r="G102" i="167"/>
  <c r="F102" i="167"/>
  <c r="E102" i="167"/>
  <c r="G101" i="167"/>
  <c r="F101" i="167"/>
  <c r="E101" i="167"/>
  <c r="G100" i="167"/>
  <c r="F100" i="167"/>
  <c r="E100" i="167"/>
  <c r="G99" i="167"/>
  <c r="F99" i="167"/>
  <c r="E99" i="167"/>
  <c r="G98" i="167"/>
  <c r="F98" i="167"/>
  <c r="E98" i="167"/>
  <c r="G97" i="167"/>
  <c r="F97" i="167"/>
  <c r="E97" i="167"/>
  <c r="G96" i="167"/>
  <c r="F96" i="167"/>
  <c r="E96" i="167"/>
  <c r="G95" i="167"/>
  <c r="F95" i="167"/>
  <c r="E95" i="167"/>
  <c r="G94" i="167"/>
  <c r="F94" i="167"/>
  <c r="E94" i="167"/>
  <c r="G93" i="167"/>
  <c r="F93" i="167"/>
  <c r="E93" i="167"/>
  <c r="G92" i="167"/>
  <c r="F92" i="167"/>
  <c r="E92" i="167"/>
  <c r="G91" i="167"/>
  <c r="F91" i="167"/>
  <c r="E91" i="167"/>
  <c r="G90" i="167"/>
  <c r="F90" i="167"/>
  <c r="E90" i="167"/>
  <c r="G89" i="167"/>
  <c r="F89" i="167"/>
  <c r="E89" i="167"/>
  <c r="G88" i="167"/>
  <c r="F88" i="167"/>
  <c r="E88" i="167"/>
  <c r="G87" i="167"/>
  <c r="F87" i="167"/>
  <c r="E87" i="167"/>
  <c r="G86" i="167"/>
  <c r="F86" i="167"/>
  <c r="E86" i="167"/>
  <c r="G85" i="167"/>
  <c r="F85" i="167"/>
  <c r="E85" i="167"/>
  <c r="G84" i="167"/>
  <c r="F84" i="167"/>
  <c r="E84" i="167"/>
  <c r="G83" i="167"/>
  <c r="F83" i="167"/>
  <c r="E83" i="167"/>
  <c r="G82" i="167"/>
  <c r="F82" i="167"/>
  <c r="E82" i="167"/>
  <c r="G81" i="167"/>
  <c r="F81" i="167"/>
  <c r="E81" i="167"/>
  <c r="G80" i="167"/>
  <c r="F80" i="167"/>
  <c r="E80" i="167"/>
  <c r="G79" i="167"/>
  <c r="F79" i="167"/>
  <c r="E79" i="167"/>
  <c r="G78" i="167"/>
  <c r="F78" i="167"/>
  <c r="E78" i="167"/>
  <c r="G77" i="167"/>
  <c r="F77" i="167"/>
  <c r="E77" i="167"/>
  <c r="G76" i="167"/>
  <c r="F76" i="167"/>
  <c r="E76" i="167"/>
  <c r="G75" i="167"/>
  <c r="F75" i="167"/>
  <c r="E75" i="167"/>
  <c r="G74" i="167"/>
  <c r="F74" i="167"/>
  <c r="E74" i="167"/>
  <c r="G73" i="167"/>
  <c r="F73" i="167"/>
  <c r="E73" i="167"/>
  <c r="G72" i="167"/>
  <c r="F72" i="167"/>
  <c r="E72" i="167"/>
  <c r="G71" i="167"/>
  <c r="F71" i="167"/>
  <c r="E71" i="167"/>
  <c r="G70" i="167"/>
  <c r="F70" i="167"/>
  <c r="E70" i="167"/>
  <c r="G69" i="167"/>
  <c r="F69" i="167"/>
  <c r="E69" i="167"/>
  <c r="G68" i="167"/>
  <c r="F68" i="167"/>
  <c r="E68" i="167"/>
  <c r="G67" i="167"/>
  <c r="F67" i="167"/>
  <c r="E67" i="167"/>
  <c r="G66" i="167"/>
  <c r="F66" i="167"/>
  <c r="E66" i="167"/>
  <c r="G65" i="167"/>
  <c r="F65" i="167"/>
  <c r="E65" i="167"/>
  <c r="G64" i="167"/>
  <c r="F64" i="167"/>
  <c r="E64" i="167"/>
  <c r="G63" i="167"/>
  <c r="F63" i="167"/>
  <c r="E63" i="167"/>
  <c r="G62" i="167"/>
  <c r="F62" i="167"/>
  <c r="E62" i="167"/>
  <c r="G61" i="167"/>
  <c r="F61" i="167"/>
  <c r="E61" i="167"/>
  <c r="G60" i="167"/>
  <c r="F60" i="167"/>
  <c r="E60" i="167"/>
  <c r="G59" i="167"/>
  <c r="F59" i="167"/>
  <c r="E59" i="167"/>
  <c r="G58" i="167"/>
  <c r="F58" i="167"/>
  <c r="E58" i="167"/>
  <c r="G57" i="167"/>
  <c r="F57" i="167"/>
  <c r="E57" i="167"/>
  <c r="G56" i="167"/>
  <c r="F56" i="167"/>
  <c r="E56" i="167"/>
  <c r="G55" i="167"/>
  <c r="F55" i="167"/>
  <c r="E55" i="167"/>
  <c r="G54" i="167"/>
  <c r="F54" i="167"/>
  <c r="E54" i="167"/>
  <c r="G53" i="167"/>
  <c r="F53" i="167"/>
  <c r="E53" i="167"/>
  <c r="G52" i="167"/>
  <c r="F52" i="167"/>
  <c r="E52" i="167"/>
  <c r="G51" i="167"/>
  <c r="F51" i="167"/>
  <c r="E51" i="167"/>
  <c r="G50" i="167"/>
  <c r="F50" i="167"/>
  <c r="E50" i="167"/>
  <c r="G49" i="167"/>
  <c r="F49" i="167"/>
  <c r="E49" i="167"/>
  <c r="G48" i="167"/>
  <c r="F48" i="167"/>
  <c r="E48" i="167"/>
  <c r="G47" i="167"/>
  <c r="F47" i="167"/>
  <c r="E47" i="167"/>
  <c r="G46" i="167"/>
  <c r="F46" i="167"/>
  <c r="E46" i="167"/>
  <c r="G45" i="167"/>
  <c r="F45" i="167"/>
  <c r="E45" i="167"/>
  <c r="G44" i="167"/>
  <c r="F44" i="167"/>
  <c r="E44" i="167"/>
  <c r="G43" i="167"/>
  <c r="F43" i="167"/>
  <c r="E43" i="167"/>
  <c r="G42" i="167"/>
  <c r="F42" i="167"/>
  <c r="E42" i="167"/>
  <c r="G41" i="167"/>
  <c r="F41" i="167"/>
  <c r="E41" i="167"/>
  <c r="G40" i="167"/>
  <c r="F40" i="167"/>
  <c r="E40" i="167"/>
  <c r="G39" i="167"/>
  <c r="F39" i="167"/>
  <c r="E39" i="167"/>
  <c r="G38" i="167"/>
  <c r="F38" i="167"/>
  <c r="E38" i="167"/>
  <c r="G37" i="167"/>
  <c r="F37" i="167"/>
  <c r="E37" i="167"/>
  <c r="G36" i="167"/>
  <c r="F36" i="167"/>
  <c r="E36" i="167"/>
  <c r="G35" i="167"/>
  <c r="F35" i="167"/>
  <c r="E35" i="167"/>
  <c r="G34" i="167"/>
  <c r="F34" i="167"/>
  <c r="E34" i="167"/>
  <c r="G33" i="167"/>
  <c r="F33" i="167"/>
  <c r="E33" i="167"/>
  <c r="G32" i="167"/>
  <c r="F32" i="167"/>
  <c r="E32" i="167"/>
  <c r="G31" i="167"/>
  <c r="F31" i="167"/>
  <c r="E31" i="167"/>
  <c r="G30" i="167"/>
  <c r="F30" i="167"/>
  <c r="E30" i="167"/>
  <c r="G29" i="167"/>
  <c r="F29" i="167"/>
  <c r="E29" i="167"/>
  <c r="G28" i="167"/>
  <c r="F28" i="167"/>
  <c r="E28" i="167"/>
  <c r="G27" i="167"/>
  <c r="F27" i="167"/>
  <c r="E27" i="167"/>
  <c r="G26" i="167"/>
  <c r="F26" i="167"/>
  <c r="E26" i="167"/>
  <c r="G25" i="167"/>
  <c r="F25" i="167"/>
  <c r="E25" i="167"/>
  <c r="G24" i="167"/>
  <c r="F24" i="167"/>
  <c r="E24" i="167"/>
  <c r="G23" i="167"/>
  <c r="F23" i="167"/>
  <c r="E23" i="167"/>
  <c r="G22" i="167"/>
  <c r="F22" i="167"/>
  <c r="E22" i="167"/>
  <c r="G21" i="167"/>
  <c r="F21" i="167"/>
  <c r="E21" i="167"/>
  <c r="G20" i="167"/>
  <c r="F20" i="167"/>
  <c r="E20" i="167"/>
  <c r="G19" i="167"/>
  <c r="F19" i="167"/>
  <c r="E19" i="167"/>
  <c r="G18" i="167"/>
  <c r="F18" i="167"/>
  <c r="E18" i="167"/>
  <c r="G17" i="167"/>
  <c r="F17" i="167"/>
  <c r="E17" i="167"/>
  <c r="G16" i="167"/>
  <c r="F16" i="167"/>
  <c r="E16" i="167"/>
  <c r="G15" i="167"/>
  <c r="F15" i="167"/>
  <c r="E15" i="167"/>
  <c r="G14" i="167"/>
  <c r="F14" i="167"/>
  <c r="E14" i="167"/>
  <c r="G13" i="167"/>
  <c r="F13" i="167"/>
  <c r="E13" i="167"/>
  <c r="G12" i="167"/>
  <c r="F12" i="167"/>
  <c r="E12" i="167"/>
  <c r="G11" i="167"/>
  <c r="F11" i="167"/>
  <c r="E11" i="167"/>
  <c r="K10" i="167"/>
  <c r="K8" i="167" s="1"/>
  <c r="J10" i="167"/>
  <c r="J8" i="167" s="1"/>
  <c r="I10" i="167"/>
  <c r="I8" i="167" s="1"/>
  <c r="H10" i="167"/>
  <c r="H8" i="167" s="1"/>
  <c r="G9" i="167"/>
  <c r="F9" i="167"/>
  <c r="E9" i="167"/>
  <c r="D54" i="167" l="1"/>
  <c r="D102" i="167"/>
  <c r="D106" i="167"/>
  <c r="D52" i="167"/>
  <c r="D86" i="167"/>
  <c r="D20" i="167"/>
  <c r="D36" i="167"/>
  <c r="D44" i="167"/>
  <c r="D48" i="167"/>
  <c r="D53" i="167"/>
  <c r="D57" i="167"/>
  <c r="D81" i="167"/>
  <c r="D85" i="167"/>
  <c r="D94" i="167"/>
  <c r="D98" i="167"/>
  <c r="D118" i="167"/>
  <c r="D134" i="167"/>
  <c r="D142" i="167"/>
  <c r="D146" i="167"/>
  <c r="D31" i="167"/>
  <c r="D35" i="167"/>
  <c r="D47" i="167"/>
  <c r="D51" i="167"/>
  <c r="D60" i="167"/>
  <c r="D64" i="167"/>
  <c r="D68" i="167"/>
  <c r="D72" i="167"/>
  <c r="D76" i="167"/>
  <c r="D129" i="167"/>
  <c r="D145" i="167"/>
  <c r="D80" i="167"/>
  <c r="D82" i="167"/>
  <c r="D87" i="167"/>
  <c r="D88" i="167"/>
  <c r="D91" i="167"/>
  <c r="D103" i="167"/>
  <c r="D107" i="167"/>
  <c r="D24" i="167"/>
  <c r="D104" i="167"/>
  <c r="D122" i="167"/>
  <c r="D12" i="167"/>
  <c r="D16" i="167"/>
  <c r="D21" i="167"/>
  <c r="D22" i="167"/>
  <c r="D25" i="167"/>
  <c r="D40" i="167"/>
  <c r="D63" i="167"/>
  <c r="D67" i="167"/>
  <c r="D71" i="167"/>
  <c r="D75" i="167"/>
  <c r="D79" i="167"/>
  <c r="D97" i="167"/>
  <c r="D110" i="167"/>
  <c r="D114" i="167"/>
  <c r="D119" i="167"/>
  <c r="D120" i="167"/>
  <c r="D123" i="167"/>
  <c r="D138" i="167"/>
  <c r="G10" i="167"/>
  <c r="G8" i="167" s="1"/>
  <c r="F10" i="167"/>
  <c r="F8" i="167" s="1"/>
  <c r="D15" i="167"/>
  <c r="D19" i="167"/>
  <c r="D28" i="167"/>
  <c r="D32" i="167"/>
  <c r="D37" i="167"/>
  <c r="D38" i="167"/>
  <c r="D41" i="167"/>
  <c r="D56" i="167"/>
  <c r="D90" i="167"/>
  <c r="D113" i="167"/>
  <c r="D126" i="167"/>
  <c r="D130" i="167"/>
  <c r="D135" i="167"/>
  <c r="D136" i="167"/>
  <c r="D139" i="167"/>
  <c r="D26" i="167"/>
  <c r="D108" i="167"/>
  <c r="D140" i="167"/>
  <c r="E10" i="167"/>
  <c r="D14" i="167"/>
  <c r="D23" i="167"/>
  <c r="D29" i="167"/>
  <c r="D30" i="167"/>
  <c r="D39" i="167"/>
  <c r="D45" i="167"/>
  <c r="D46" i="167"/>
  <c r="D55" i="167"/>
  <c r="D61" i="167"/>
  <c r="D62" i="167"/>
  <c r="D89" i="167"/>
  <c r="D95" i="167"/>
  <c r="D96" i="167"/>
  <c r="D105" i="167"/>
  <c r="D111" i="167"/>
  <c r="D112" i="167"/>
  <c r="D121" i="167"/>
  <c r="D127" i="167"/>
  <c r="D128" i="167"/>
  <c r="D137" i="167"/>
  <c r="D143" i="167"/>
  <c r="D144" i="167"/>
  <c r="D42" i="167"/>
  <c r="D58" i="167"/>
  <c r="D92" i="167"/>
  <c r="D124" i="167"/>
  <c r="D11" i="167"/>
  <c r="D17" i="167"/>
  <c r="D18" i="167"/>
  <c r="D27" i="167"/>
  <c r="D33" i="167"/>
  <c r="D34" i="167"/>
  <c r="D43" i="167"/>
  <c r="D49" i="167"/>
  <c r="D50" i="167"/>
  <c r="D59" i="167"/>
  <c r="D65" i="167"/>
  <c r="D69" i="167"/>
  <c r="D73" i="167"/>
  <c r="D77" i="167"/>
  <c r="D84" i="167"/>
  <c r="D99" i="167"/>
  <c r="D100" i="167"/>
  <c r="D115" i="167"/>
  <c r="D116" i="167"/>
  <c r="D131" i="167"/>
  <c r="D132" i="167"/>
  <c r="D147" i="167"/>
  <c r="D148" i="167"/>
  <c r="D9" i="167"/>
  <c r="D13" i="167"/>
  <c r="D66" i="167"/>
  <c r="D70" i="167"/>
  <c r="D74" i="167"/>
  <c r="D78" i="167"/>
  <c r="D83" i="167"/>
  <c r="D93" i="167"/>
  <c r="D101" i="167"/>
  <c r="D109" i="167"/>
  <c r="D117" i="167"/>
  <c r="D125" i="167"/>
  <c r="D133" i="167"/>
  <c r="D141" i="167"/>
  <c r="D10" i="167" l="1"/>
  <c r="D8" i="167" s="1"/>
  <c r="E8" i="167"/>
  <c r="M11" i="166" l="1"/>
  <c r="M148" i="166"/>
  <c r="L148" i="166"/>
  <c r="J148" i="166"/>
  <c r="I148" i="166"/>
  <c r="H148" i="166"/>
  <c r="G148" i="166"/>
  <c r="F148" i="166"/>
  <c r="E148" i="166"/>
  <c r="M147" i="166"/>
  <c r="L147" i="166"/>
  <c r="J147" i="166"/>
  <c r="I147" i="166"/>
  <c r="H147" i="166"/>
  <c r="G147" i="166"/>
  <c r="F147" i="166"/>
  <c r="E147" i="166"/>
  <c r="M146" i="166"/>
  <c r="L146" i="166"/>
  <c r="J146" i="166"/>
  <c r="I146" i="166"/>
  <c r="H146" i="166"/>
  <c r="G146" i="166"/>
  <c r="F146" i="166"/>
  <c r="E146" i="166"/>
  <c r="M145" i="166"/>
  <c r="L145" i="166"/>
  <c r="J145" i="166"/>
  <c r="I145" i="166"/>
  <c r="H145" i="166"/>
  <c r="G145" i="166"/>
  <c r="F145" i="166"/>
  <c r="E145" i="166"/>
  <c r="M144" i="166"/>
  <c r="L144" i="166"/>
  <c r="J144" i="166"/>
  <c r="I144" i="166"/>
  <c r="H144" i="166"/>
  <c r="G144" i="166"/>
  <c r="F144" i="166"/>
  <c r="E144" i="166"/>
  <c r="M143" i="166"/>
  <c r="L143" i="166"/>
  <c r="J143" i="166"/>
  <c r="I143" i="166"/>
  <c r="H143" i="166"/>
  <c r="G143" i="166"/>
  <c r="F143" i="166"/>
  <c r="E143" i="166"/>
  <c r="M142" i="166"/>
  <c r="L142" i="166"/>
  <c r="J142" i="166"/>
  <c r="I142" i="166"/>
  <c r="H142" i="166"/>
  <c r="G142" i="166"/>
  <c r="F142" i="166"/>
  <c r="E142" i="166"/>
  <c r="M141" i="166"/>
  <c r="L141" i="166"/>
  <c r="J141" i="166"/>
  <c r="I141" i="166"/>
  <c r="H141" i="166"/>
  <c r="G141" i="166"/>
  <c r="F141" i="166"/>
  <c r="E141" i="166"/>
  <c r="M140" i="166"/>
  <c r="L140" i="166"/>
  <c r="J140" i="166"/>
  <c r="I140" i="166"/>
  <c r="H140" i="166"/>
  <c r="G140" i="166"/>
  <c r="F140" i="166"/>
  <c r="E140" i="166"/>
  <c r="M139" i="166"/>
  <c r="L139" i="166"/>
  <c r="J139" i="166"/>
  <c r="I139" i="166"/>
  <c r="H139" i="166"/>
  <c r="G139" i="166"/>
  <c r="F139" i="166"/>
  <c r="E139" i="166"/>
  <c r="M138" i="166"/>
  <c r="L138" i="166"/>
  <c r="J138" i="166"/>
  <c r="I138" i="166"/>
  <c r="H138" i="166"/>
  <c r="G138" i="166"/>
  <c r="F138" i="166"/>
  <c r="E138" i="166"/>
  <c r="M137" i="166"/>
  <c r="L137" i="166"/>
  <c r="J137" i="166"/>
  <c r="I137" i="166"/>
  <c r="H137" i="166"/>
  <c r="G137" i="166"/>
  <c r="F137" i="166"/>
  <c r="E137" i="166"/>
  <c r="M136" i="166"/>
  <c r="L136" i="166"/>
  <c r="J136" i="166"/>
  <c r="I136" i="166"/>
  <c r="H136" i="166"/>
  <c r="G136" i="166"/>
  <c r="F136" i="166"/>
  <c r="E136" i="166"/>
  <c r="M135" i="166"/>
  <c r="L135" i="166"/>
  <c r="J135" i="166"/>
  <c r="I135" i="166"/>
  <c r="H135" i="166"/>
  <c r="G135" i="166"/>
  <c r="F135" i="166"/>
  <c r="E135" i="166"/>
  <c r="M134" i="166"/>
  <c r="L134" i="166"/>
  <c r="J134" i="166"/>
  <c r="I134" i="166"/>
  <c r="H134" i="166"/>
  <c r="G134" i="166"/>
  <c r="F134" i="166"/>
  <c r="E134" i="166"/>
  <c r="M133" i="166"/>
  <c r="L133" i="166"/>
  <c r="J133" i="166"/>
  <c r="I133" i="166"/>
  <c r="H133" i="166"/>
  <c r="G133" i="166"/>
  <c r="F133" i="166"/>
  <c r="E133" i="166"/>
  <c r="M132" i="166"/>
  <c r="L132" i="166"/>
  <c r="J132" i="166"/>
  <c r="I132" i="166"/>
  <c r="H132" i="166"/>
  <c r="G132" i="166"/>
  <c r="F132" i="166"/>
  <c r="E132" i="166"/>
  <c r="M131" i="166"/>
  <c r="L131" i="166"/>
  <c r="J131" i="166"/>
  <c r="I131" i="166"/>
  <c r="H131" i="166"/>
  <c r="G131" i="166"/>
  <c r="F131" i="166"/>
  <c r="E131" i="166"/>
  <c r="M130" i="166"/>
  <c r="L130" i="166"/>
  <c r="J130" i="166"/>
  <c r="I130" i="166"/>
  <c r="H130" i="166"/>
  <c r="G130" i="166"/>
  <c r="F130" i="166"/>
  <c r="E130" i="166"/>
  <c r="M129" i="166"/>
  <c r="L129" i="166"/>
  <c r="J129" i="166"/>
  <c r="I129" i="166"/>
  <c r="H129" i="166"/>
  <c r="G129" i="166"/>
  <c r="F129" i="166"/>
  <c r="E129" i="166"/>
  <c r="M128" i="166"/>
  <c r="L128" i="166"/>
  <c r="J128" i="166"/>
  <c r="I128" i="166"/>
  <c r="H128" i="166"/>
  <c r="G128" i="166"/>
  <c r="F128" i="166"/>
  <c r="E128" i="166"/>
  <c r="M127" i="166"/>
  <c r="L127" i="166"/>
  <c r="J127" i="166"/>
  <c r="I127" i="166"/>
  <c r="H127" i="166"/>
  <c r="G127" i="166"/>
  <c r="F127" i="166"/>
  <c r="E127" i="166"/>
  <c r="M126" i="166"/>
  <c r="L126" i="166"/>
  <c r="J126" i="166"/>
  <c r="I126" i="166"/>
  <c r="H126" i="166"/>
  <c r="G126" i="166"/>
  <c r="F126" i="166"/>
  <c r="E126" i="166"/>
  <c r="M125" i="166"/>
  <c r="L125" i="166"/>
  <c r="J125" i="166"/>
  <c r="I125" i="166"/>
  <c r="H125" i="166"/>
  <c r="G125" i="166"/>
  <c r="F125" i="166"/>
  <c r="E125" i="166"/>
  <c r="M124" i="166"/>
  <c r="L124" i="166"/>
  <c r="J124" i="166"/>
  <c r="I124" i="166"/>
  <c r="H124" i="166"/>
  <c r="G124" i="166"/>
  <c r="F124" i="166"/>
  <c r="E124" i="166"/>
  <c r="M123" i="166"/>
  <c r="L123" i="166"/>
  <c r="J123" i="166"/>
  <c r="I123" i="166"/>
  <c r="H123" i="166"/>
  <c r="G123" i="166"/>
  <c r="F123" i="166"/>
  <c r="E123" i="166"/>
  <c r="M122" i="166"/>
  <c r="L122" i="166"/>
  <c r="J122" i="166"/>
  <c r="I122" i="166"/>
  <c r="H122" i="166"/>
  <c r="G122" i="166"/>
  <c r="F122" i="166"/>
  <c r="E122" i="166"/>
  <c r="M121" i="166"/>
  <c r="L121" i="166"/>
  <c r="J121" i="166"/>
  <c r="I121" i="166"/>
  <c r="H121" i="166"/>
  <c r="G121" i="166"/>
  <c r="F121" i="166"/>
  <c r="E121" i="166"/>
  <c r="M120" i="166"/>
  <c r="L120" i="166"/>
  <c r="J120" i="166"/>
  <c r="I120" i="166"/>
  <c r="H120" i="166"/>
  <c r="G120" i="166"/>
  <c r="F120" i="166"/>
  <c r="E120" i="166"/>
  <c r="M119" i="166"/>
  <c r="L119" i="166"/>
  <c r="J119" i="166"/>
  <c r="I119" i="166"/>
  <c r="H119" i="166"/>
  <c r="G119" i="166"/>
  <c r="F119" i="166"/>
  <c r="E119" i="166"/>
  <c r="M118" i="166"/>
  <c r="L118" i="166"/>
  <c r="J118" i="166"/>
  <c r="I118" i="166"/>
  <c r="H118" i="166"/>
  <c r="G118" i="166"/>
  <c r="F118" i="166"/>
  <c r="E118" i="166"/>
  <c r="M117" i="166"/>
  <c r="L117" i="166"/>
  <c r="J117" i="166"/>
  <c r="I117" i="166"/>
  <c r="H117" i="166"/>
  <c r="G117" i="166"/>
  <c r="F117" i="166"/>
  <c r="E117" i="166"/>
  <c r="M116" i="166"/>
  <c r="L116" i="166"/>
  <c r="J116" i="166"/>
  <c r="I116" i="166"/>
  <c r="H116" i="166"/>
  <c r="G116" i="166"/>
  <c r="F116" i="166"/>
  <c r="E116" i="166"/>
  <c r="M115" i="166"/>
  <c r="L115" i="166"/>
  <c r="J115" i="166"/>
  <c r="I115" i="166"/>
  <c r="H115" i="166"/>
  <c r="G115" i="166"/>
  <c r="F115" i="166"/>
  <c r="E115" i="166"/>
  <c r="M114" i="166"/>
  <c r="L114" i="166"/>
  <c r="J114" i="166"/>
  <c r="I114" i="166"/>
  <c r="H114" i="166"/>
  <c r="G114" i="166"/>
  <c r="F114" i="166"/>
  <c r="E114" i="166"/>
  <c r="M113" i="166"/>
  <c r="L113" i="166"/>
  <c r="J113" i="166"/>
  <c r="I113" i="166"/>
  <c r="H113" i="166"/>
  <c r="G113" i="166"/>
  <c r="F113" i="166"/>
  <c r="E113" i="166"/>
  <c r="M112" i="166"/>
  <c r="L112" i="166"/>
  <c r="J112" i="166"/>
  <c r="I112" i="166"/>
  <c r="H112" i="166"/>
  <c r="G112" i="166"/>
  <c r="F112" i="166"/>
  <c r="E112" i="166"/>
  <c r="M111" i="166"/>
  <c r="L111" i="166"/>
  <c r="J111" i="166"/>
  <c r="I111" i="166"/>
  <c r="H111" i="166"/>
  <c r="G111" i="166"/>
  <c r="F111" i="166"/>
  <c r="E111" i="166"/>
  <c r="M110" i="166"/>
  <c r="L110" i="166"/>
  <c r="J110" i="166"/>
  <c r="I110" i="166"/>
  <c r="H110" i="166"/>
  <c r="G110" i="166"/>
  <c r="F110" i="166"/>
  <c r="E110" i="166"/>
  <c r="M109" i="166"/>
  <c r="L109" i="166"/>
  <c r="J109" i="166"/>
  <c r="I109" i="166"/>
  <c r="H109" i="166"/>
  <c r="G109" i="166"/>
  <c r="F109" i="166"/>
  <c r="E109" i="166"/>
  <c r="M108" i="166"/>
  <c r="L108" i="166"/>
  <c r="J108" i="166"/>
  <c r="I108" i="166"/>
  <c r="H108" i="166"/>
  <c r="G108" i="166"/>
  <c r="F108" i="166"/>
  <c r="E108" i="166"/>
  <c r="M107" i="166"/>
  <c r="L107" i="166"/>
  <c r="J107" i="166"/>
  <c r="I107" i="166"/>
  <c r="H107" i="166"/>
  <c r="G107" i="166"/>
  <c r="F107" i="166"/>
  <c r="E107" i="166"/>
  <c r="M106" i="166"/>
  <c r="L106" i="166"/>
  <c r="J106" i="166"/>
  <c r="I106" i="166"/>
  <c r="H106" i="166"/>
  <c r="G106" i="166"/>
  <c r="F106" i="166"/>
  <c r="E106" i="166"/>
  <c r="M105" i="166"/>
  <c r="L105" i="166"/>
  <c r="J105" i="166"/>
  <c r="I105" i="166"/>
  <c r="H105" i="166"/>
  <c r="G105" i="166"/>
  <c r="F105" i="166"/>
  <c r="E105" i="166"/>
  <c r="M104" i="166"/>
  <c r="L104" i="166"/>
  <c r="J104" i="166"/>
  <c r="I104" i="166"/>
  <c r="H104" i="166"/>
  <c r="G104" i="166"/>
  <c r="F104" i="166"/>
  <c r="E104" i="166"/>
  <c r="M103" i="166"/>
  <c r="L103" i="166"/>
  <c r="J103" i="166"/>
  <c r="I103" i="166"/>
  <c r="H103" i="166"/>
  <c r="G103" i="166"/>
  <c r="F103" i="166"/>
  <c r="E103" i="166"/>
  <c r="M102" i="166"/>
  <c r="L102" i="166"/>
  <c r="J102" i="166"/>
  <c r="I102" i="166"/>
  <c r="H102" i="166"/>
  <c r="G102" i="166"/>
  <c r="F102" i="166"/>
  <c r="E102" i="166"/>
  <c r="M101" i="166"/>
  <c r="L101" i="166"/>
  <c r="J101" i="166"/>
  <c r="I101" i="166"/>
  <c r="H101" i="166"/>
  <c r="G101" i="166"/>
  <c r="F101" i="166"/>
  <c r="E101" i="166"/>
  <c r="M100" i="166"/>
  <c r="L100" i="166"/>
  <c r="J100" i="166"/>
  <c r="I100" i="166"/>
  <c r="H100" i="166"/>
  <c r="G100" i="166"/>
  <c r="F100" i="166"/>
  <c r="E100" i="166"/>
  <c r="M99" i="166"/>
  <c r="L99" i="166"/>
  <c r="J99" i="166"/>
  <c r="I99" i="166"/>
  <c r="H99" i="166"/>
  <c r="G99" i="166"/>
  <c r="F99" i="166"/>
  <c r="E99" i="166"/>
  <c r="M98" i="166"/>
  <c r="L98" i="166"/>
  <c r="J98" i="166"/>
  <c r="I98" i="166"/>
  <c r="H98" i="166"/>
  <c r="G98" i="166"/>
  <c r="F98" i="166"/>
  <c r="E98" i="166"/>
  <c r="M97" i="166"/>
  <c r="L97" i="166"/>
  <c r="J97" i="166"/>
  <c r="I97" i="166"/>
  <c r="H97" i="166"/>
  <c r="G97" i="166"/>
  <c r="F97" i="166"/>
  <c r="E97" i="166"/>
  <c r="M96" i="166"/>
  <c r="L96" i="166"/>
  <c r="J96" i="166"/>
  <c r="I96" i="166"/>
  <c r="H96" i="166"/>
  <c r="G96" i="166"/>
  <c r="F96" i="166"/>
  <c r="E96" i="166"/>
  <c r="M95" i="166"/>
  <c r="L95" i="166"/>
  <c r="J95" i="166"/>
  <c r="I95" i="166"/>
  <c r="H95" i="166"/>
  <c r="G95" i="166"/>
  <c r="F95" i="166"/>
  <c r="E95" i="166"/>
  <c r="M94" i="166"/>
  <c r="L94" i="166"/>
  <c r="J94" i="166"/>
  <c r="I94" i="166"/>
  <c r="H94" i="166"/>
  <c r="G94" i="166"/>
  <c r="F94" i="166"/>
  <c r="E94" i="166"/>
  <c r="M93" i="166"/>
  <c r="L93" i="166"/>
  <c r="J93" i="166"/>
  <c r="I93" i="166"/>
  <c r="H93" i="166"/>
  <c r="F93" i="166"/>
  <c r="E93" i="166"/>
  <c r="M92" i="166"/>
  <c r="L92" i="166"/>
  <c r="J92" i="166"/>
  <c r="I92" i="166"/>
  <c r="H92" i="166"/>
  <c r="G92" i="166"/>
  <c r="F92" i="166"/>
  <c r="E92" i="166"/>
  <c r="M91" i="166"/>
  <c r="L91" i="166"/>
  <c r="J91" i="166"/>
  <c r="I91" i="166"/>
  <c r="H91" i="166"/>
  <c r="G91" i="166"/>
  <c r="F91" i="166"/>
  <c r="E91" i="166"/>
  <c r="M90" i="166"/>
  <c r="L90" i="166"/>
  <c r="J90" i="166"/>
  <c r="I90" i="166"/>
  <c r="H90" i="166"/>
  <c r="G90" i="166"/>
  <c r="F90" i="166"/>
  <c r="E90" i="166"/>
  <c r="M89" i="166"/>
  <c r="L89" i="166"/>
  <c r="J89" i="166"/>
  <c r="I89" i="166"/>
  <c r="H89" i="166"/>
  <c r="G89" i="166"/>
  <c r="F89" i="166"/>
  <c r="E89" i="166"/>
  <c r="M88" i="166"/>
  <c r="L88" i="166"/>
  <c r="J88" i="166"/>
  <c r="I88" i="166"/>
  <c r="H88" i="166"/>
  <c r="G88" i="166"/>
  <c r="F88" i="166"/>
  <c r="E88" i="166"/>
  <c r="M87" i="166"/>
  <c r="L87" i="166"/>
  <c r="J87" i="166"/>
  <c r="I87" i="166"/>
  <c r="H87" i="166"/>
  <c r="G87" i="166"/>
  <c r="F87" i="166"/>
  <c r="E87" i="166"/>
  <c r="M86" i="166"/>
  <c r="L86" i="166"/>
  <c r="J86" i="166"/>
  <c r="I86" i="166"/>
  <c r="H86" i="166"/>
  <c r="G86" i="166"/>
  <c r="F86" i="166"/>
  <c r="E86" i="166"/>
  <c r="M85" i="166"/>
  <c r="L85" i="166"/>
  <c r="J85" i="166"/>
  <c r="I85" i="166"/>
  <c r="H85" i="166"/>
  <c r="G85" i="166"/>
  <c r="F85" i="166"/>
  <c r="E85" i="166"/>
  <c r="M84" i="166"/>
  <c r="L84" i="166"/>
  <c r="J84" i="166"/>
  <c r="I84" i="166"/>
  <c r="H84" i="166"/>
  <c r="G84" i="166"/>
  <c r="F84" i="166"/>
  <c r="E84" i="166"/>
  <c r="M83" i="166"/>
  <c r="L83" i="166"/>
  <c r="J83" i="166"/>
  <c r="I83" i="166"/>
  <c r="H83" i="166"/>
  <c r="G83" i="166"/>
  <c r="F83" i="166"/>
  <c r="E83" i="166"/>
  <c r="M82" i="166"/>
  <c r="L82" i="166"/>
  <c r="J82" i="166"/>
  <c r="I82" i="166"/>
  <c r="H82" i="166"/>
  <c r="G82" i="166"/>
  <c r="F82" i="166"/>
  <c r="E82" i="166"/>
  <c r="M81" i="166"/>
  <c r="L81" i="166"/>
  <c r="J81" i="166"/>
  <c r="I81" i="166"/>
  <c r="H81" i="166"/>
  <c r="G81" i="166"/>
  <c r="F81" i="166"/>
  <c r="E81" i="166"/>
  <c r="M80" i="166"/>
  <c r="L80" i="166"/>
  <c r="J80" i="166"/>
  <c r="I80" i="166"/>
  <c r="H80" i="166"/>
  <c r="G80" i="166"/>
  <c r="F80" i="166"/>
  <c r="E80" i="166"/>
  <c r="M79" i="166"/>
  <c r="L79" i="166"/>
  <c r="J79" i="166"/>
  <c r="I79" i="166"/>
  <c r="H79" i="166"/>
  <c r="G79" i="166"/>
  <c r="F79" i="166"/>
  <c r="E79" i="166"/>
  <c r="M78" i="166"/>
  <c r="L78" i="166"/>
  <c r="J78" i="166"/>
  <c r="I78" i="166"/>
  <c r="H78" i="166"/>
  <c r="G78" i="166"/>
  <c r="F78" i="166"/>
  <c r="E78" i="166"/>
  <c r="M77" i="166"/>
  <c r="L77" i="166"/>
  <c r="J77" i="166"/>
  <c r="I77" i="166"/>
  <c r="H77" i="166"/>
  <c r="G77" i="166"/>
  <c r="F77" i="166"/>
  <c r="E77" i="166"/>
  <c r="M76" i="166"/>
  <c r="L76" i="166"/>
  <c r="J76" i="166"/>
  <c r="I76" i="166"/>
  <c r="H76" i="166"/>
  <c r="G76" i="166"/>
  <c r="F76" i="166"/>
  <c r="E76" i="166"/>
  <c r="M75" i="166"/>
  <c r="L75" i="166"/>
  <c r="J75" i="166"/>
  <c r="I75" i="166"/>
  <c r="H75" i="166"/>
  <c r="G75" i="166"/>
  <c r="F75" i="166"/>
  <c r="E75" i="166"/>
  <c r="M74" i="166"/>
  <c r="L74" i="166"/>
  <c r="J74" i="166"/>
  <c r="I74" i="166"/>
  <c r="H74" i="166"/>
  <c r="G74" i="166"/>
  <c r="F74" i="166"/>
  <c r="E74" i="166"/>
  <c r="M73" i="166"/>
  <c r="L73" i="166"/>
  <c r="J73" i="166"/>
  <c r="I73" i="166"/>
  <c r="H73" i="166"/>
  <c r="G73" i="166"/>
  <c r="F73" i="166"/>
  <c r="E73" i="166"/>
  <c r="M72" i="166"/>
  <c r="L72" i="166"/>
  <c r="J72" i="166"/>
  <c r="I72" i="166"/>
  <c r="H72" i="166"/>
  <c r="G72" i="166"/>
  <c r="F72" i="166"/>
  <c r="E72" i="166"/>
  <c r="M71" i="166"/>
  <c r="L71" i="166"/>
  <c r="J71" i="166"/>
  <c r="I71" i="166"/>
  <c r="H71" i="166"/>
  <c r="G71" i="166"/>
  <c r="F71" i="166"/>
  <c r="E71" i="166"/>
  <c r="M70" i="166"/>
  <c r="L70" i="166"/>
  <c r="J70" i="166"/>
  <c r="I70" i="166"/>
  <c r="H70" i="166"/>
  <c r="G70" i="166"/>
  <c r="F70" i="166"/>
  <c r="E70" i="166"/>
  <c r="M69" i="166"/>
  <c r="L69" i="166"/>
  <c r="J69" i="166"/>
  <c r="I69" i="166"/>
  <c r="H69" i="166"/>
  <c r="G69" i="166"/>
  <c r="F69" i="166"/>
  <c r="E69" i="166"/>
  <c r="M68" i="166"/>
  <c r="L68" i="166"/>
  <c r="J68" i="166"/>
  <c r="I68" i="166"/>
  <c r="H68" i="166"/>
  <c r="G68" i="166"/>
  <c r="F68" i="166"/>
  <c r="E68" i="166"/>
  <c r="M67" i="166"/>
  <c r="L67" i="166"/>
  <c r="J67" i="166"/>
  <c r="I67" i="166"/>
  <c r="H67" i="166"/>
  <c r="G67" i="166"/>
  <c r="F67" i="166"/>
  <c r="E67" i="166"/>
  <c r="M66" i="166"/>
  <c r="L66" i="166"/>
  <c r="J66" i="166"/>
  <c r="I66" i="166"/>
  <c r="H66" i="166"/>
  <c r="G66" i="166"/>
  <c r="F66" i="166"/>
  <c r="E66" i="166"/>
  <c r="M65" i="166"/>
  <c r="L65" i="166"/>
  <c r="J65" i="166"/>
  <c r="I65" i="166"/>
  <c r="H65" i="166"/>
  <c r="G65" i="166"/>
  <c r="F65" i="166"/>
  <c r="E65" i="166"/>
  <c r="M64" i="166"/>
  <c r="L64" i="166"/>
  <c r="J64" i="166"/>
  <c r="I64" i="166"/>
  <c r="H64" i="166"/>
  <c r="G64" i="166"/>
  <c r="F64" i="166"/>
  <c r="E64" i="166"/>
  <c r="M63" i="166"/>
  <c r="L63" i="166"/>
  <c r="J63" i="166"/>
  <c r="I63" i="166"/>
  <c r="H63" i="166"/>
  <c r="G63" i="166"/>
  <c r="F63" i="166"/>
  <c r="E63" i="166"/>
  <c r="M62" i="166"/>
  <c r="L62" i="166"/>
  <c r="J62" i="166"/>
  <c r="I62" i="166"/>
  <c r="H62" i="166"/>
  <c r="G62" i="166"/>
  <c r="F62" i="166"/>
  <c r="E62" i="166"/>
  <c r="M61" i="166"/>
  <c r="L61" i="166"/>
  <c r="J61" i="166"/>
  <c r="I61" i="166"/>
  <c r="H61" i="166"/>
  <c r="G61" i="166"/>
  <c r="F61" i="166"/>
  <c r="E61" i="166"/>
  <c r="M60" i="166"/>
  <c r="L60" i="166"/>
  <c r="J60" i="166"/>
  <c r="I60" i="166"/>
  <c r="H60" i="166"/>
  <c r="G60" i="166"/>
  <c r="F60" i="166"/>
  <c r="E60" i="166"/>
  <c r="M59" i="166"/>
  <c r="L59" i="166"/>
  <c r="J59" i="166"/>
  <c r="I59" i="166"/>
  <c r="H59" i="166"/>
  <c r="G59" i="166"/>
  <c r="F59" i="166"/>
  <c r="E59" i="166"/>
  <c r="M58" i="166"/>
  <c r="L58" i="166"/>
  <c r="J58" i="166"/>
  <c r="I58" i="166"/>
  <c r="H58" i="166"/>
  <c r="G58" i="166"/>
  <c r="F58" i="166"/>
  <c r="E58" i="166"/>
  <c r="M57" i="166"/>
  <c r="L57" i="166"/>
  <c r="J57" i="166"/>
  <c r="I57" i="166"/>
  <c r="H57" i="166"/>
  <c r="G57" i="166"/>
  <c r="F57" i="166"/>
  <c r="E57" i="166"/>
  <c r="M56" i="166"/>
  <c r="L56" i="166"/>
  <c r="J56" i="166"/>
  <c r="I56" i="166"/>
  <c r="H56" i="166"/>
  <c r="G56" i="166"/>
  <c r="F56" i="166"/>
  <c r="E56" i="166"/>
  <c r="M55" i="166"/>
  <c r="L55" i="166"/>
  <c r="J55" i="166"/>
  <c r="I55" i="166"/>
  <c r="H55" i="166"/>
  <c r="G55" i="166"/>
  <c r="F55" i="166"/>
  <c r="E55" i="166"/>
  <c r="M54" i="166"/>
  <c r="L54" i="166"/>
  <c r="J54" i="166"/>
  <c r="I54" i="166"/>
  <c r="H54" i="166"/>
  <c r="G54" i="166"/>
  <c r="F54" i="166"/>
  <c r="E54" i="166"/>
  <c r="M53" i="166"/>
  <c r="L53" i="166"/>
  <c r="J53" i="166"/>
  <c r="I53" i="166"/>
  <c r="H53" i="166"/>
  <c r="G53" i="166"/>
  <c r="F53" i="166"/>
  <c r="E53" i="166"/>
  <c r="M52" i="166"/>
  <c r="L52" i="166"/>
  <c r="J52" i="166"/>
  <c r="I52" i="166"/>
  <c r="H52" i="166"/>
  <c r="G52" i="166"/>
  <c r="F52" i="166"/>
  <c r="E52" i="166"/>
  <c r="M51" i="166"/>
  <c r="L51" i="166"/>
  <c r="J51" i="166"/>
  <c r="I51" i="166"/>
  <c r="H51" i="166"/>
  <c r="G51" i="166"/>
  <c r="F51" i="166"/>
  <c r="E51" i="166"/>
  <c r="M50" i="166"/>
  <c r="L50" i="166"/>
  <c r="J50" i="166"/>
  <c r="I50" i="166"/>
  <c r="H50" i="166"/>
  <c r="G50" i="166"/>
  <c r="F50" i="166"/>
  <c r="E50" i="166"/>
  <c r="M49" i="166"/>
  <c r="L49" i="166"/>
  <c r="J49" i="166"/>
  <c r="I49" i="166"/>
  <c r="H49" i="166"/>
  <c r="G49" i="166"/>
  <c r="F49" i="166"/>
  <c r="E49" i="166"/>
  <c r="M48" i="166"/>
  <c r="L48" i="166"/>
  <c r="J48" i="166"/>
  <c r="I48" i="166"/>
  <c r="H48" i="166"/>
  <c r="G48" i="166"/>
  <c r="F48" i="166"/>
  <c r="E48" i="166"/>
  <c r="M47" i="166"/>
  <c r="L47" i="166"/>
  <c r="J47" i="166"/>
  <c r="I47" i="166"/>
  <c r="H47" i="166"/>
  <c r="G47" i="166"/>
  <c r="F47" i="166"/>
  <c r="E47" i="166"/>
  <c r="M46" i="166"/>
  <c r="L46" i="166"/>
  <c r="J46" i="166"/>
  <c r="I46" i="166"/>
  <c r="H46" i="166"/>
  <c r="G46" i="166"/>
  <c r="F46" i="166"/>
  <c r="E46" i="166"/>
  <c r="M45" i="166"/>
  <c r="L45" i="166"/>
  <c r="J45" i="166"/>
  <c r="I45" i="166"/>
  <c r="H45" i="166"/>
  <c r="G45" i="166"/>
  <c r="F45" i="166"/>
  <c r="E45" i="166"/>
  <c r="M44" i="166"/>
  <c r="L44" i="166"/>
  <c r="J44" i="166"/>
  <c r="I44" i="166"/>
  <c r="H44" i="166"/>
  <c r="G44" i="166"/>
  <c r="F44" i="166"/>
  <c r="E44" i="166"/>
  <c r="M43" i="166"/>
  <c r="L43" i="166"/>
  <c r="J43" i="166"/>
  <c r="I43" i="166"/>
  <c r="H43" i="166"/>
  <c r="G43" i="166"/>
  <c r="F43" i="166"/>
  <c r="E43" i="166"/>
  <c r="M42" i="166"/>
  <c r="L42" i="166"/>
  <c r="J42" i="166"/>
  <c r="I42" i="166"/>
  <c r="H42" i="166"/>
  <c r="G42" i="166"/>
  <c r="F42" i="166"/>
  <c r="E42" i="166"/>
  <c r="M41" i="166"/>
  <c r="L41" i="166"/>
  <c r="J41" i="166"/>
  <c r="I41" i="166"/>
  <c r="H41" i="166"/>
  <c r="G41" i="166"/>
  <c r="F41" i="166"/>
  <c r="E41" i="166"/>
  <c r="M40" i="166"/>
  <c r="L40" i="166"/>
  <c r="J40" i="166"/>
  <c r="I40" i="166"/>
  <c r="H40" i="166"/>
  <c r="G40" i="166"/>
  <c r="F40" i="166"/>
  <c r="E40" i="166"/>
  <c r="M39" i="166"/>
  <c r="L39" i="166"/>
  <c r="J39" i="166"/>
  <c r="I39" i="166"/>
  <c r="H39" i="166"/>
  <c r="G39" i="166"/>
  <c r="F39" i="166"/>
  <c r="E39" i="166"/>
  <c r="M38" i="166"/>
  <c r="L38" i="166"/>
  <c r="J38" i="166"/>
  <c r="I38" i="166"/>
  <c r="H38" i="166"/>
  <c r="G38" i="166"/>
  <c r="F38" i="166"/>
  <c r="E38" i="166"/>
  <c r="M37" i="166"/>
  <c r="L37" i="166"/>
  <c r="J37" i="166"/>
  <c r="I37" i="166"/>
  <c r="H37" i="166"/>
  <c r="G37" i="166"/>
  <c r="F37" i="166"/>
  <c r="E37" i="166"/>
  <c r="M36" i="166"/>
  <c r="L36" i="166"/>
  <c r="J36" i="166"/>
  <c r="I36" i="166"/>
  <c r="H36" i="166"/>
  <c r="G36" i="166"/>
  <c r="F36" i="166"/>
  <c r="E36" i="166"/>
  <c r="M35" i="166"/>
  <c r="L35" i="166"/>
  <c r="J35" i="166"/>
  <c r="I35" i="166"/>
  <c r="H35" i="166"/>
  <c r="G35" i="166"/>
  <c r="F35" i="166"/>
  <c r="E35" i="166"/>
  <c r="M34" i="166"/>
  <c r="L34" i="166"/>
  <c r="J34" i="166"/>
  <c r="I34" i="166"/>
  <c r="H34" i="166"/>
  <c r="G34" i="166"/>
  <c r="F34" i="166"/>
  <c r="E34" i="166"/>
  <c r="M33" i="166"/>
  <c r="L33" i="166"/>
  <c r="J33" i="166"/>
  <c r="I33" i="166"/>
  <c r="H33" i="166"/>
  <c r="G33" i="166"/>
  <c r="F33" i="166"/>
  <c r="E33" i="166"/>
  <c r="M32" i="166"/>
  <c r="L32" i="166"/>
  <c r="J32" i="166"/>
  <c r="I32" i="166"/>
  <c r="H32" i="166"/>
  <c r="G32" i="166"/>
  <c r="F32" i="166"/>
  <c r="E32" i="166"/>
  <c r="M31" i="166"/>
  <c r="L31" i="166"/>
  <c r="J31" i="166"/>
  <c r="I31" i="166"/>
  <c r="H31" i="166"/>
  <c r="G31" i="166"/>
  <c r="F31" i="166"/>
  <c r="E31" i="166"/>
  <c r="M30" i="166"/>
  <c r="L30" i="166"/>
  <c r="J30" i="166"/>
  <c r="I30" i="166"/>
  <c r="H30" i="166"/>
  <c r="G30" i="166"/>
  <c r="F30" i="166"/>
  <c r="E30" i="166"/>
  <c r="M29" i="166"/>
  <c r="L29" i="166"/>
  <c r="J29" i="166"/>
  <c r="I29" i="166"/>
  <c r="H29" i="166"/>
  <c r="G29" i="166"/>
  <c r="F29" i="166"/>
  <c r="E29" i="166"/>
  <c r="M28" i="166"/>
  <c r="L28" i="166"/>
  <c r="J28" i="166"/>
  <c r="I28" i="166"/>
  <c r="H28" i="166"/>
  <c r="G28" i="166"/>
  <c r="F28" i="166"/>
  <c r="E28" i="166"/>
  <c r="M27" i="166"/>
  <c r="L27" i="166"/>
  <c r="J27" i="166"/>
  <c r="I27" i="166"/>
  <c r="H27" i="166"/>
  <c r="G27" i="166"/>
  <c r="F27" i="166"/>
  <c r="E27" i="166"/>
  <c r="M26" i="166"/>
  <c r="L26" i="166"/>
  <c r="J26" i="166"/>
  <c r="I26" i="166"/>
  <c r="H26" i="166"/>
  <c r="G26" i="166"/>
  <c r="F26" i="166"/>
  <c r="E26" i="166"/>
  <c r="M25" i="166"/>
  <c r="L25" i="166"/>
  <c r="J25" i="166"/>
  <c r="I25" i="166"/>
  <c r="H25" i="166"/>
  <c r="G25" i="166"/>
  <c r="F25" i="166"/>
  <c r="E25" i="166"/>
  <c r="M24" i="166"/>
  <c r="L24" i="166"/>
  <c r="J24" i="166"/>
  <c r="I24" i="166"/>
  <c r="H24" i="166"/>
  <c r="G24" i="166"/>
  <c r="F24" i="166"/>
  <c r="E24" i="166"/>
  <c r="M23" i="166"/>
  <c r="L23" i="166"/>
  <c r="J23" i="166"/>
  <c r="I23" i="166"/>
  <c r="H23" i="166"/>
  <c r="G23" i="166"/>
  <c r="F23" i="166"/>
  <c r="E23" i="166"/>
  <c r="M22" i="166"/>
  <c r="L22" i="166"/>
  <c r="J22" i="166"/>
  <c r="I22" i="166"/>
  <c r="H22" i="166"/>
  <c r="G22" i="166"/>
  <c r="F22" i="166"/>
  <c r="E22" i="166"/>
  <c r="M21" i="166"/>
  <c r="L21" i="166"/>
  <c r="J21" i="166"/>
  <c r="I21" i="166"/>
  <c r="H21" i="166"/>
  <c r="G21" i="166"/>
  <c r="F21" i="166"/>
  <c r="E21" i="166"/>
  <c r="M20" i="166"/>
  <c r="L20" i="166"/>
  <c r="J20" i="166"/>
  <c r="I20" i="166"/>
  <c r="H20" i="166"/>
  <c r="G20" i="166"/>
  <c r="F20" i="166"/>
  <c r="E20" i="166"/>
  <c r="M19" i="166"/>
  <c r="L19" i="166"/>
  <c r="J19" i="166"/>
  <c r="I19" i="166"/>
  <c r="H19" i="166"/>
  <c r="G19" i="166"/>
  <c r="F19" i="166"/>
  <c r="E19" i="166"/>
  <c r="M18" i="166"/>
  <c r="L18" i="166"/>
  <c r="J18" i="166"/>
  <c r="I18" i="166"/>
  <c r="H18" i="166"/>
  <c r="G18" i="166"/>
  <c r="F18" i="166"/>
  <c r="E18" i="166"/>
  <c r="M17" i="166"/>
  <c r="L17" i="166"/>
  <c r="J17" i="166"/>
  <c r="I17" i="166"/>
  <c r="H17" i="166"/>
  <c r="G17" i="166"/>
  <c r="F17" i="166"/>
  <c r="E17" i="166"/>
  <c r="M16" i="166"/>
  <c r="L16" i="166"/>
  <c r="J16" i="166"/>
  <c r="I16" i="166"/>
  <c r="H16" i="166"/>
  <c r="G16" i="166"/>
  <c r="F16" i="166"/>
  <c r="E16" i="166"/>
  <c r="M15" i="166"/>
  <c r="L15" i="166"/>
  <c r="J15" i="166"/>
  <c r="I15" i="166"/>
  <c r="H15" i="166"/>
  <c r="G15" i="166"/>
  <c r="F15" i="166"/>
  <c r="E15" i="166"/>
  <c r="M14" i="166"/>
  <c r="L14" i="166"/>
  <c r="J14" i="166"/>
  <c r="I14" i="166"/>
  <c r="H14" i="166"/>
  <c r="G14" i="166"/>
  <c r="F14" i="166"/>
  <c r="E14" i="166"/>
  <c r="M13" i="166"/>
  <c r="L13" i="166"/>
  <c r="J13" i="166"/>
  <c r="I13" i="166"/>
  <c r="H13" i="166"/>
  <c r="G13" i="166"/>
  <c r="F13" i="166"/>
  <c r="E13" i="166"/>
  <c r="M12" i="166"/>
  <c r="L12" i="166"/>
  <c r="J12" i="166"/>
  <c r="I12" i="166"/>
  <c r="H12" i="166"/>
  <c r="G12" i="166"/>
  <c r="F12" i="166"/>
  <c r="E12" i="166"/>
  <c r="L11" i="166"/>
  <c r="K11" i="166" s="1"/>
  <c r="J11" i="166"/>
  <c r="I11" i="166"/>
  <c r="H11" i="166"/>
  <c r="G11" i="166"/>
  <c r="F11" i="166"/>
  <c r="E11" i="166"/>
  <c r="E10" i="166" s="1"/>
  <c r="E8" i="166" s="1"/>
  <c r="Q10" i="166"/>
  <c r="Q8" i="166" s="1"/>
  <c r="P10" i="166"/>
  <c r="P8" i="166" s="1"/>
  <c r="O10" i="166"/>
  <c r="O8" i="166" s="1"/>
  <c r="N10" i="166"/>
  <c r="N8" i="166" s="1"/>
  <c r="M9" i="166"/>
  <c r="L9" i="166"/>
  <c r="J9" i="166"/>
  <c r="I9" i="166"/>
  <c r="H9" i="166"/>
  <c r="G9" i="166"/>
  <c r="F9" i="166"/>
  <c r="H147" i="165"/>
  <c r="G147" i="165"/>
  <c r="F147" i="165" s="1"/>
  <c r="E147" i="165"/>
  <c r="H146" i="165"/>
  <c r="G146" i="165"/>
  <c r="E146" i="165"/>
  <c r="H145" i="165"/>
  <c r="G145" i="165"/>
  <c r="E145" i="165"/>
  <c r="H144" i="165"/>
  <c r="G144" i="165"/>
  <c r="E144" i="165"/>
  <c r="H143" i="165"/>
  <c r="G143" i="165"/>
  <c r="E143" i="165"/>
  <c r="H142" i="165"/>
  <c r="G142" i="165"/>
  <c r="E142" i="165"/>
  <c r="H141" i="165"/>
  <c r="G141" i="165"/>
  <c r="F141" i="165" s="1"/>
  <c r="E141" i="165"/>
  <c r="H140" i="165"/>
  <c r="G140" i="165"/>
  <c r="E140" i="165"/>
  <c r="H139" i="165"/>
  <c r="F139" i="165" s="1"/>
  <c r="G139" i="165"/>
  <c r="E139" i="165"/>
  <c r="H138" i="165"/>
  <c r="G138" i="165"/>
  <c r="E138" i="165"/>
  <c r="H137" i="165"/>
  <c r="G137" i="165"/>
  <c r="E137" i="165"/>
  <c r="H136" i="165"/>
  <c r="G136" i="165"/>
  <c r="E136" i="165"/>
  <c r="H135" i="165"/>
  <c r="G135" i="165"/>
  <c r="E135" i="165"/>
  <c r="H134" i="165"/>
  <c r="G134" i="165"/>
  <c r="E134" i="165"/>
  <c r="H133" i="165"/>
  <c r="G133" i="165"/>
  <c r="F133" i="165" s="1"/>
  <c r="E133" i="165"/>
  <c r="H132" i="165"/>
  <c r="G132" i="165"/>
  <c r="E132" i="165"/>
  <c r="H131" i="165"/>
  <c r="G131" i="165"/>
  <c r="E131" i="165"/>
  <c r="H130" i="165"/>
  <c r="G130" i="165"/>
  <c r="E130" i="165"/>
  <c r="H129" i="165"/>
  <c r="G129" i="165"/>
  <c r="E129" i="165"/>
  <c r="H128" i="165"/>
  <c r="G128" i="165"/>
  <c r="E128" i="165"/>
  <c r="H127" i="165"/>
  <c r="G127" i="165"/>
  <c r="E127" i="165"/>
  <c r="H126" i="165"/>
  <c r="G126" i="165"/>
  <c r="E126" i="165"/>
  <c r="H125" i="165"/>
  <c r="G125" i="165"/>
  <c r="E125" i="165"/>
  <c r="H124" i="165"/>
  <c r="G124" i="165"/>
  <c r="E124" i="165"/>
  <c r="H123" i="165"/>
  <c r="G123" i="165"/>
  <c r="F123" i="165" s="1"/>
  <c r="E123" i="165"/>
  <c r="H122" i="165"/>
  <c r="G122" i="165"/>
  <c r="E122" i="165"/>
  <c r="H121" i="165"/>
  <c r="G121" i="165"/>
  <c r="F121" i="165" s="1"/>
  <c r="E121" i="165"/>
  <c r="H120" i="165"/>
  <c r="G120" i="165"/>
  <c r="E120" i="165"/>
  <c r="H119" i="165"/>
  <c r="G119" i="165"/>
  <c r="F119" i="165" s="1"/>
  <c r="E119" i="165"/>
  <c r="H118" i="165"/>
  <c r="G118" i="165"/>
  <c r="E118" i="165"/>
  <c r="H117" i="165"/>
  <c r="G117" i="165"/>
  <c r="E117" i="165"/>
  <c r="H116" i="165"/>
  <c r="G116" i="165"/>
  <c r="E116" i="165"/>
  <c r="H115" i="165"/>
  <c r="G115" i="165"/>
  <c r="F115" i="165"/>
  <c r="E115" i="165"/>
  <c r="H114" i="165"/>
  <c r="G114" i="165"/>
  <c r="E114" i="165"/>
  <c r="H113" i="165"/>
  <c r="G113" i="165"/>
  <c r="F113" i="165" s="1"/>
  <c r="E113" i="165"/>
  <c r="H112" i="165"/>
  <c r="G112" i="165"/>
  <c r="E112" i="165"/>
  <c r="H111" i="165"/>
  <c r="G111" i="165"/>
  <c r="E111" i="165"/>
  <c r="H110" i="165"/>
  <c r="G110" i="165"/>
  <c r="E110" i="165"/>
  <c r="H109" i="165"/>
  <c r="G109" i="165"/>
  <c r="F109" i="165" s="1"/>
  <c r="E109" i="165"/>
  <c r="H108" i="165"/>
  <c r="G108" i="165"/>
  <c r="E108" i="165"/>
  <c r="H107" i="165"/>
  <c r="G107" i="165"/>
  <c r="E107" i="165"/>
  <c r="H106" i="165"/>
  <c r="G106" i="165"/>
  <c r="E106" i="165"/>
  <c r="H105" i="165"/>
  <c r="G105" i="165"/>
  <c r="E105" i="165"/>
  <c r="H104" i="165"/>
  <c r="G104" i="165"/>
  <c r="E104" i="165"/>
  <c r="H103" i="165"/>
  <c r="G103" i="165"/>
  <c r="E103" i="165"/>
  <c r="H102" i="165"/>
  <c r="G102" i="165"/>
  <c r="E102" i="165"/>
  <c r="H101" i="165"/>
  <c r="G101" i="165"/>
  <c r="F101" i="165" s="1"/>
  <c r="E101" i="165"/>
  <c r="H100" i="165"/>
  <c r="G100" i="165"/>
  <c r="E100" i="165"/>
  <c r="H99" i="165"/>
  <c r="G99" i="165"/>
  <c r="E99" i="165"/>
  <c r="H98" i="165"/>
  <c r="G98" i="165"/>
  <c r="E98" i="165"/>
  <c r="H97" i="165"/>
  <c r="G97" i="165"/>
  <c r="F97" i="165" s="1"/>
  <c r="E97" i="165"/>
  <c r="H96" i="165"/>
  <c r="G96" i="165"/>
  <c r="E96" i="165"/>
  <c r="H95" i="165"/>
  <c r="G95" i="165"/>
  <c r="E95" i="165"/>
  <c r="H94" i="165"/>
  <c r="G94" i="165"/>
  <c r="E94" i="165"/>
  <c r="H93" i="165"/>
  <c r="G93" i="165"/>
  <c r="E93" i="165"/>
  <c r="H92" i="165"/>
  <c r="G92" i="165"/>
  <c r="E92" i="165"/>
  <c r="H91" i="165"/>
  <c r="G91" i="165"/>
  <c r="F91" i="165" s="1"/>
  <c r="E91" i="165"/>
  <c r="H90" i="165"/>
  <c r="G90" i="165"/>
  <c r="E90" i="165"/>
  <c r="H89" i="165"/>
  <c r="G89" i="165"/>
  <c r="F89" i="165" s="1"/>
  <c r="E89" i="165"/>
  <c r="H88" i="165"/>
  <c r="G88" i="165"/>
  <c r="E88" i="165"/>
  <c r="H87" i="165"/>
  <c r="G87" i="165"/>
  <c r="F87" i="165" s="1"/>
  <c r="E87" i="165"/>
  <c r="H86" i="165"/>
  <c r="G86" i="165"/>
  <c r="E86" i="165"/>
  <c r="H85" i="165"/>
  <c r="G85" i="165"/>
  <c r="E85" i="165"/>
  <c r="H84" i="165"/>
  <c r="G84" i="165"/>
  <c r="E84" i="165"/>
  <c r="H83" i="165"/>
  <c r="G83" i="165"/>
  <c r="F83" i="165" s="1"/>
  <c r="E83" i="165"/>
  <c r="H82" i="165"/>
  <c r="G82" i="165"/>
  <c r="E82" i="165"/>
  <c r="H81" i="165"/>
  <c r="G81" i="165"/>
  <c r="E81" i="165"/>
  <c r="H80" i="165"/>
  <c r="G80" i="165"/>
  <c r="E80" i="165"/>
  <c r="H79" i="165"/>
  <c r="G79" i="165"/>
  <c r="E79" i="165"/>
  <c r="H78" i="165"/>
  <c r="G78" i="165"/>
  <c r="E78" i="165"/>
  <c r="H77" i="165"/>
  <c r="G77" i="165"/>
  <c r="F77" i="165" s="1"/>
  <c r="E77" i="165"/>
  <c r="H76" i="165"/>
  <c r="G76" i="165"/>
  <c r="E76" i="165"/>
  <c r="H75" i="165"/>
  <c r="F75" i="165" s="1"/>
  <c r="G75" i="165"/>
  <c r="E75" i="165"/>
  <c r="H74" i="165"/>
  <c r="G74" i="165"/>
  <c r="E74" i="165"/>
  <c r="H73" i="165"/>
  <c r="G73" i="165"/>
  <c r="E73" i="165"/>
  <c r="H72" i="165"/>
  <c r="G72" i="165"/>
  <c r="E72" i="165"/>
  <c r="H71" i="165"/>
  <c r="G71" i="165"/>
  <c r="E71" i="165"/>
  <c r="H70" i="165"/>
  <c r="G70" i="165"/>
  <c r="E70" i="165"/>
  <c r="H69" i="165"/>
  <c r="G69" i="165"/>
  <c r="F69" i="165" s="1"/>
  <c r="E69" i="165"/>
  <c r="H68" i="165"/>
  <c r="G68" i="165"/>
  <c r="E68" i="165"/>
  <c r="H67" i="165"/>
  <c r="G67" i="165"/>
  <c r="E67" i="165"/>
  <c r="H66" i="165"/>
  <c r="G66" i="165"/>
  <c r="E66" i="165"/>
  <c r="H65" i="165"/>
  <c r="G65" i="165"/>
  <c r="F65" i="165" s="1"/>
  <c r="E65" i="165"/>
  <c r="H64" i="165"/>
  <c r="G64" i="165"/>
  <c r="E64" i="165"/>
  <c r="H63" i="165"/>
  <c r="G63" i="165"/>
  <c r="E63" i="165"/>
  <c r="H62" i="165"/>
  <c r="G62" i="165"/>
  <c r="E62" i="165"/>
  <c r="H61" i="165"/>
  <c r="G61" i="165"/>
  <c r="E61" i="165"/>
  <c r="H60" i="165"/>
  <c r="G60" i="165"/>
  <c r="E60" i="165"/>
  <c r="H59" i="165"/>
  <c r="G59" i="165"/>
  <c r="E59" i="165"/>
  <c r="H58" i="165"/>
  <c r="G58" i="165"/>
  <c r="E58" i="165"/>
  <c r="H57" i="165"/>
  <c r="G57" i="165"/>
  <c r="E57" i="165"/>
  <c r="H56" i="165"/>
  <c r="G56" i="165"/>
  <c r="E56" i="165"/>
  <c r="H55" i="165"/>
  <c r="G55" i="165"/>
  <c r="E55" i="165"/>
  <c r="H54" i="165"/>
  <c r="G54" i="165"/>
  <c r="E54" i="165"/>
  <c r="H53" i="165"/>
  <c r="G53" i="165"/>
  <c r="F53" i="165" s="1"/>
  <c r="E53" i="165"/>
  <c r="H52" i="165"/>
  <c r="G52" i="165"/>
  <c r="E52" i="165"/>
  <c r="H51" i="165"/>
  <c r="G51" i="165"/>
  <c r="E51" i="165"/>
  <c r="H50" i="165"/>
  <c r="G50" i="165"/>
  <c r="E50" i="165"/>
  <c r="H49" i="165"/>
  <c r="G49" i="165"/>
  <c r="E49" i="165"/>
  <c r="H48" i="165"/>
  <c r="G48" i="165"/>
  <c r="F48" i="165" s="1"/>
  <c r="E48" i="165"/>
  <c r="H47" i="165"/>
  <c r="G47" i="165"/>
  <c r="E47" i="165"/>
  <c r="H46" i="165"/>
  <c r="G46" i="165"/>
  <c r="E46" i="165"/>
  <c r="H45" i="165"/>
  <c r="G45" i="165"/>
  <c r="E45" i="165"/>
  <c r="H44" i="165"/>
  <c r="G44" i="165"/>
  <c r="F44" i="165" s="1"/>
  <c r="E44" i="165"/>
  <c r="H43" i="165"/>
  <c r="G43" i="165"/>
  <c r="E43" i="165"/>
  <c r="H42" i="165"/>
  <c r="G42" i="165"/>
  <c r="E42" i="165"/>
  <c r="H41" i="165"/>
  <c r="G41" i="165"/>
  <c r="E41" i="165"/>
  <c r="H40" i="165"/>
  <c r="G40" i="165"/>
  <c r="E40" i="165"/>
  <c r="H39" i="165"/>
  <c r="G39" i="165"/>
  <c r="E39" i="165"/>
  <c r="H38" i="165"/>
  <c r="G38" i="165"/>
  <c r="E38" i="165"/>
  <c r="H37" i="165"/>
  <c r="G37" i="165"/>
  <c r="E37" i="165"/>
  <c r="H36" i="165"/>
  <c r="G36" i="165"/>
  <c r="F36" i="165" s="1"/>
  <c r="E36" i="165"/>
  <c r="H35" i="165"/>
  <c r="G35" i="165"/>
  <c r="E35" i="165"/>
  <c r="H34" i="165"/>
  <c r="G34" i="165"/>
  <c r="F34" i="165" s="1"/>
  <c r="E34" i="165"/>
  <c r="H33" i="165"/>
  <c r="G33" i="165"/>
  <c r="E33" i="165"/>
  <c r="H32" i="165"/>
  <c r="G32" i="165"/>
  <c r="E32" i="165"/>
  <c r="H31" i="165"/>
  <c r="G31" i="165"/>
  <c r="E31" i="165"/>
  <c r="H30" i="165"/>
  <c r="G30" i="165"/>
  <c r="F30" i="165" s="1"/>
  <c r="E30" i="165"/>
  <c r="H29" i="165"/>
  <c r="G29" i="165"/>
  <c r="E29" i="165"/>
  <c r="H28" i="165"/>
  <c r="G28" i="165"/>
  <c r="F28" i="165" s="1"/>
  <c r="E28" i="165"/>
  <c r="H27" i="165"/>
  <c r="G27" i="165"/>
  <c r="E27" i="165"/>
  <c r="H26" i="165"/>
  <c r="G26" i="165"/>
  <c r="E26" i="165"/>
  <c r="H25" i="165"/>
  <c r="G25" i="165"/>
  <c r="E25" i="165"/>
  <c r="H24" i="165"/>
  <c r="G24" i="165"/>
  <c r="F24" i="165" s="1"/>
  <c r="E24" i="165"/>
  <c r="H23" i="165"/>
  <c r="G23" i="165"/>
  <c r="E23" i="165"/>
  <c r="H22" i="165"/>
  <c r="G22" i="165"/>
  <c r="E22" i="165"/>
  <c r="H21" i="165"/>
  <c r="G21" i="165"/>
  <c r="F21" i="165" s="1"/>
  <c r="E21" i="165"/>
  <c r="H20" i="165"/>
  <c r="G20" i="165"/>
  <c r="E20" i="165"/>
  <c r="H19" i="165"/>
  <c r="G19" i="165"/>
  <c r="E19" i="165"/>
  <c r="H18" i="165"/>
  <c r="G18" i="165"/>
  <c r="E18" i="165"/>
  <c r="H17" i="165"/>
  <c r="G17" i="165"/>
  <c r="F17" i="165" s="1"/>
  <c r="D17" i="165" s="1"/>
  <c r="E17" i="165"/>
  <c r="H16" i="165"/>
  <c r="G16" i="165"/>
  <c r="E16" i="165"/>
  <c r="H15" i="165"/>
  <c r="G15" i="165"/>
  <c r="E15" i="165"/>
  <c r="H14" i="165"/>
  <c r="F14" i="165" s="1"/>
  <c r="G14" i="165"/>
  <c r="E14" i="165"/>
  <c r="H13" i="165"/>
  <c r="G13" i="165"/>
  <c r="F13" i="165" s="1"/>
  <c r="E13" i="165"/>
  <c r="H12" i="165"/>
  <c r="G12" i="165"/>
  <c r="E12" i="165"/>
  <c r="H11" i="165"/>
  <c r="G11" i="165"/>
  <c r="E11" i="165"/>
  <c r="H10" i="165"/>
  <c r="G10" i="165"/>
  <c r="E10" i="165"/>
  <c r="H8" i="165"/>
  <c r="G8" i="165"/>
  <c r="F8" i="165" s="1"/>
  <c r="D8" i="165" s="1"/>
  <c r="F18" i="165" l="1"/>
  <c r="D21" i="165"/>
  <c r="F81" i="165"/>
  <c r="F86" i="165"/>
  <c r="D86" i="165" s="1"/>
  <c r="F107" i="165"/>
  <c r="D13" i="165"/>
  <c r="F58" i="165"/>
  <c r="D58" i="165" s="1"/>
  <c r="F129" i="165"/>
  <c r="D129" i="165" s="1"/>
  <c r="F145" i="165"/>
  <c r="F33" i="165"/>
  <c r="D33" i="165" s="1"/>
  <c r="F38" i="165"/>
  <c r="F51" i="165"/>
  <c r="F72" i="165"/>
  <c r="F74" i="165"/>
  <c r="D74" i="165" s="1"/>
  <c r="F106" i="165"/>
  <c r="D106" i="165" s="1"/>
  <c r="F138" i="165"/>
  <c r="D138" i="165" s="1"/>
  <c r="M10" i="166"/>
  <c r="M8" i="166" s="1"/>
  <c r="F11" i="165"/>
  <c r="D11" i="165" s="1"/>
  <c r="F15" i="165"/>
  <c r="D15" i="165" s="1"/>
  <c r="F19" i="165"/>
  <c r="F61" i="165"/>
  <c r="D61" i="165" s="1"/>
  <c r="F73" i="165"/>
  <c r="D73" i="165" s="1"/>
  <c r="F105" i="165"/>
  <c r="F137" i="165"/>
  <c r="F32" i="165"/>
  <c r="D32" i="165" s="1"/>
  <c r="F42" i="165"/>
  <c r="D42" i="165" s="1"/>
  <c r="F46" i="165"/>
  <c r="D46" i="165" s="1"/>
  <c r="F50" i="165"/>
  <c r="D50" i="165" s="1"/>
  <c r="F55" i="165"/>
  <c r="D55" i="165" s="1"/>
  <c r="F67" i="165"/>
  <c r="D67" i="165" s="1"/>
  <c r="F71" i="165"/>
  <c r="D71" i="165" s="1"/>
  <c r="F85" i="165"/>
  <c r="D85" i="165" s="1"/>
  <c r="F95" i="165"/>
  <c r="F99" i="165"/>
  <c r="F103" i="165"/>
  <c r="D103" i="165" s="1"/>
  <c r="F104" i="165"/>
  <c r="F117" i="165"/>
  <c r="D117" i="165" s="1"/>
  <c r="F118" i="165"/>
  <c r="D118" i="165" s="1"/>
  <c r="F127" i="165"/>
  <c r="F131" i="165"/>
  <c r="F135" i="165"/>
  <c r="D135" i="165" s="1"/>
  <c r="F136" i="165"/>
  <c r="K14" i="166"/>
  <c r="D14" i="166" s="1"/>
  <c r="K15" i="166"/>
  <c r="K16" i="166"/>
  <c r="D16" i="166" s="1"/>
  <c r="K17" i="166"/>
  <c r="D17" i="166" s="1"/>
  <c r="K18" i="166"/>
  <c r="K19" i="166"/>
  <c r="K20" i="166"/>
  <c r="D20" i="166" s="1"/>
  <c r="K21" i="166"/>
  <c r="D21" i="166" s="1"/>
  <c r="K24" i="166"/>
  <c r="K25" i="166"/>
  <c r="K26" i="166"/>
  <c r="D26" i="166" s="1"/>
  <c r="K27" i="166"/>
  <c r="D27" i="166" s="1"/>
  <c r="K28" i="166"/>
  <c r="K29" i="166"/>
  <c r="D29" i="166" s="1"/>
  <c r="K30" i="166"/>
  <c r="D30" i="166" s="1"/>
  <c r="K31" i="166"/>
  <c r="K36" i="166"/>
  <c r="K37" i="166"/>
  <c r="D37" i="166" s="1"/>
  <c r="K38" i="166"/>
  <c r="D38" i="166" s="1"/>
  <c r="K39" i="166"/>
  <c r="K40" i="166"/>
  <c r="K41" i="166"/>
  <c r="D41" i="166" s="1"/>
  <c r="K42" i="166"/>
  <c r="D42" i="166" s="1"/>
  <c r="K43" i="166"/>
  <c r="K46" i="166"/>
  <c r="D46" i="166" s="1"/>
  <c r="K47" i="166"/>
  <c r="D47" i="166" s="1"/>
  <c r="K48" i="166"/>
  <c r="K49" i="166"/>
  <c r="K50" i="166"/>
  <c r="K51" i="166"/>
  <c r="D51" i="166" s="1"/>
  <c r="K52" i="166"/>
  <c r="K53" i="166"/>
  <c r="K56" i="166"/>
  <c r="D56" i="166" s="1"/>
  <c r="K57" i="166"/>
  <c r="D57" i="166" s="1"/>
  <c r="K58" i="166"/>
  <c r="D58" i="166" s="1"/>
  <c r="K59" i="166"/>
  <c r="K60" i="166"/>
  <c r="D60" i="166" s="1"/>
  <c r="K61" i="166"/>
  <c r="D61" i="166" s="1"/>
  <c r="K62" i="166"/>
  <c r="K63" i="166"/>
  <c r="D63" i="166" s="1"/>
  <c r="K64" i="166"/>
  <c r="D64" i="166" s="1"/>
  <c r="K65" i="166"/>
  <c r="D65" i="166" s="1"/>
  <c r="K66" i="166"/>
  <c r="D66" i="166" s="1"/>
  <c r="K67" i="166"/>
  <c r="K70" i="166"/>
  <c r="D70" i="166" s="1"/>
  <c r="K71" i="166"/>
  <c r="K72" i="166"/>
  <c r="D72" i="166" s="1"/>
  <c r="K73" i="166"/>
  <c r="D73" i="166" s="1"/>
  <c r="K74" i="166"/>
  <c r="D74" i="166" s="1"/>
  <c r="K75" i="166"/>
  <c r="D75" i="166" s="1"/>
  <c r="K76" i="166"/>
  <c r="D76" i="166" s="1"/>
  <c r="K77" i="166"/>
  <c r="D77" i="166" s="1"/>
  <c r="K78" i="166"/>
  <c r="K79" i="166"/>
  <c r="K84" i="166"/>
  <c r="D84" i="166" s="1"/>
  <c r="K85" i="166"/>
  <c r="D85" i="166" s="1"/>
  <c r="K86" i="166"/>
  <c r="D86" i="166" s="1"/>
  <c r="K87" i="166"/>
  <c r="D87" i="166" s="1"/>
  <c r="K88" i="166"/>
  <c r="D88" i="166" s="1"/>
  <c r="K89" i="166"/>
  <c r="K90" i="166"/>
  <c r="K91" i="166"/>
  <c r="D91" i="166" s="1"/>
  <c r="D93" i="166"/>
  <c r="D24" i="166"/>
  <c r="D28" i="166"/>
  <c r="D36" i="166"/>
  <c r="D48" i="166"/>
  <c r="D40" i="166"/>
  <c r="D52" i="166"/>
  <c r="D62" i="166"/>
  <c r="D78" i="166"/>
  <c r="I10" i="166"/>
  <c r="I8" i="166" s="1"/>
  <c r="K95" i="166"/>
  <c r="D95" i="166" s="1"/>
  <c r="K96" i="166"/>
  <c r="D96" i="166" s="1"/>
  <c r="K97" i="166"/>
  <c r="D97" i="166" s="1"/>
  <c r="K98" i="166"/>
  <c r="D98" i="166" s="1"/>
  <c r="K99" i="166"/>
  <c r="D99" i="166" s="1"/>
  <c r="K100" i="166"/>
  <c r="D100" i="166" s="1"/>
  <c r="K101" i="166"/>
  <c r="D101" i="166" s="1"/>
  <c r="K102" i="166"/>
  <c r="D102" i="166" s="1"/>
  <c r="K103" i="166"/>
  <c r="D103" i="166" s="1"/>
  <c r="K104" i="166"/>
  <c r="D104" i="166" s="1"/>
  <c r="K109" i="166"/>
  <c r="D109" i="166" s="1"/>
  <c r="K110" i="166"/>
  <c r="K111" i="166"/>
  <c r="D111" i="166" s="1"/>
  <c r="K112" i="166"/>
  <c r="D112" i="166" s="1"/>
  <c r="K113" i="166"/>
  <c r="D113" i="166" s="1"/>
  <c r="K114" i="166"/>
  <c r="K115" i="166"/>
  <c r="K116" i="166"/>
  <c r="D116" i="166" s="1"/>
  <c r="K119" i="166"/>
  <c r="D119" i="166" s="1"/>
  <c r="K120" i="166"/>
  <c r="K121" i="166"/>
  <c r="D121" i="166" s="1"/>
  <c r="K122" i="166"/>
  <c r="K123" i="166"/>
  <c r="D123" i="166" s="1"/>
  <c r="K124" i="166"/>
  <c r="K125" i="166"/>
  <c r="D125" i="166" s="1"/>
  <c r="K126" i="166"/>
  <c r="K129" i="166"/>
  <c r="D129" i="166" s="1"/>
  <c r="K130" i="166"/>
  <c r="D130" i="166" s="1"/>
  <c r="K131" i="166"/>
  <c r="D131" i="166" s="1"/>
  <c r="K132" i="166"/>
  <c r="K133" i="166"/>
  <c r="D133" i="166" s="1"/>
  <c r="K134" i="166"/>
  <c r="K135" i="166"/>
  <c r="D135" i="166" s="1"/>
  <c r="K136" i="166"/>
  <c r="K137" i="166"/>
  <c r="D137" i="166" s="1"/>
  <c r="K138" i="166"/>
  <c r="D138" i="166" s="1"/>
  <c r="K139" i="166"/>
  <c r="D139" i="166" s="1"/>
  <c r="K140" i="166"/>
  <c r="K141" i="166"/>
  <c r="D141" i="166" s="1"/>
  <c r="K142" i="166"/>
  <c r="K143" i="166"/>
  <c r="D143" i="166" s="1"/>
  <c r="K144" i="166"/>
  <c r="D144" i="166" s="1"/>
  <c r="K145" i="166"/>
  <c r="D145" i="166" s="1"/>
  <c r="K146" i="166"/>
  <c r="D146" i="166" s="1"/>
  <c r="K147" i="166"/>
  <c r="D147" i="166" s="1"/>
  <c r="K148" i="166"/>
  <c r="D9" i="166"/>
  <c r="G10" i="166"/>
  <c r="G8" i="166" s="1"/>
  <c r="D18" i="166"/>
  <c r="D53" i="166"/>
  <c r="D126" i="166"/>
  <c r="D90" i="166"/>
  <c r="D115" i="166"/>
  <c r="H10" i="166"/>
  <c r="H8" i="166" s="1"/>
  <c r="D50" i="166"/>
  <c r="L10" i="166"/>
  <c r="L8" i="166" s="1"/>
  <c r="K12" i="166"/>
  <c r="D12" i="166" s="1"/>
  <c r="K13" i="166"/>
  <c r="D13" i="166" s="1"/>
  <c r="K22" i="166"/>
  <c r="D22" i="166" s="1"/>
  <c r="K23" i="166"/>
  <c r="D23" i="166" s="1"/>
  <c r="K32" i="166"/>
  <c r="D32" i="166" s="1"/>
  <c r="K33" i="166"/>
  <c r="D33" i="166" s="1"/>
  <c r="K34" i="166"/>
  <c r="D34" i="166" s="1"/>
  <c r="K35" i="166"/>
  <c r="D35" i="166" s="1"/>
  <c r="K44" i="166"/>
  <c r="D44" i="166" s="1"/>
  <c r="K45" i="166"/>
  <c r="D45" i="166" s="1"/>
  <c r="K54" i="166"/>
  <c r="D54" i="166" s="1"/>
  <c r="K55" i="166"/>
  <c r="K68" i="166"/>
  <c r="D68" i="166" s="1"/>
  <c r="K69" i="166"/>
  <c r="D69" i="166" s="1"/>
  <c r="K80" i="166"/>
  <c r="D80" i="166" s="1"/>
  <c r="K81" i="166"/>
  <c r="D81" i="166" s="1"/>
  <c r="K82" i="166"/>
  <c r="D82" i="166" s="1"/>
  <c r="K83" i="166"/>
  <c r="D83" i="166" s="1"/>
  <c r="K92" i="166"/>
  <c r="D92" i="166" s="1"/>
  <c r="K94" i="166"/>
  <c r="D94" i="166" s="1"/>
  <c r="K105" i="166"/>
  <c r="D105" i="166" s="1"/>
  <c r="K106" i="166"/>
  <c r="D106" i="166" s="1"/>
  <c r="K107" i="166"/>
  <c r="D107" i="166" s="1"/>
  <c r="K108" i="166"/>
  <c r="D108" i="166" s="1"/>
  <c r="D110" i="166"/>
  <c r="K117" i="166"/>
  <c r="D117" i="166" s="1"/>
  <c r="K118" i="166"/>
  <c r="D118" i="166" s="1"/>
  <c r="K127" i="166"/>
  <c r="D127" i="166" s="1"/>
  <c r="K128" i="166"/>
  <c r="D128" i="166" s="1"/>
  <c r="F10" i="166"/>
  <c r="F8" i="166" s="1"/>
  <c r="D11" i="166"/>
  <c r="J10" i="166"/>
  <c r="J8" i="166" s="1"/>
  <c r="D19" i="166"/>
  <c r="D43" i="166"/>
  <c r="D59" i="166"/>
  <c r="D67" i="166"/>
  <c r="D124" i="166"/>
  <c r="D15" i="166"/>
  <c r="D31" i="166"/>
  <c r="D39" i="166"/>
  <c r="D55" i="166"/>
  <c r="D71" i="166"/>
  <c r="D79" i="166"/>
  <c r="D120" i="166"/>
  <c r="D25" i="166"/>
  <c r="D49" i="166"/>
  <c r="D89" i="166"/>
  <c r="D114" i="166"/>
  <c r="D122" i="166"/>
  <c r="D132" i="166"/>
  <c r="D134" i="166"/>
  <c r="D136" i="166"/>
  <c r="D140" i="166"/>
  <c r="D142" i="166"/>
  <c r="D148" i="166"/>
  <c r="F25" i="165"/>
  <c r="D25" i="165" s="1"/>
  <c r="F78" i="165"/>
  <c r="D78" i="165" s="1"/>
  <c r="F96" i="165"/>
  <c r="D96" i="165" s="1"/>
  <c r="F98" i="165"/>
  <c r="D98" i="165" s="1"/>
  <c r="F128" i="165"/>
  <c r="F130" i="165"/>
  <c r="D130" i="165" s="1"/>
  <c r="D141" i="165"/>
  <c r="F142" i="165"/>
  <c r="D142" i="165" s="1"/>
  <c r="D19" i="165"/>
  <c r="D48" i="165"/>
  <c r="D69" i="165"/>
  <c r="F88" i="165"/>
  <c r="D88" i="165" s="1"/>
  <c r="F90" i="165"/>
  <c r="D90" i="165" s="1"/>
  <c r="D101" i="165"/>
  <c r="F102" i="165"/>
  <c r="D102" i="165" s="1"/>
  <c r="D104" i="165"/>
  <c r="D119" i="165"/>
  <c r="F120" i="165"/>
  <c r="D120" i="165" s="1"/>
  <c r="F122" i="165"/>
  <c r="D122" i="165" s="1"/>
  <c r="D133" i="165"/>
  <c r="F134" i="165"/>
  <c r="D134" i="165" s="1"/>
  <c r="D136" i="165"/>
  <c r="D24" i="165"/>
  <c r="F43" i="165"/>
  <c r="D43" i="165" s="1"/>
  <c r="F45" i="165"/>
  <c r="D45" i="165" s="1"/>
  <c r="D53" i="165"/>
  <c r="F59" i="165"/>
  <c r="D59" i="165" s="1"/>
  <c r="F64" i="165"/>
  <c r="F66" i="165"/>
  <c r="D66" i="165" s="1"/>
  <c r="D77" i="165"/>
  <c r="D95" i="165"/>
  <c r="D109" i="165"/>
  <c r="F110" i="165"/>
  <c r="D110" i="165" s="1"/>
  <c r="D127" i="165"/>
  <c r="F12" i="165"/>
  <c r="D12" i="165" s="1"/>
  <c r="F20" i="165"/>
  <c r="D20" i="165" s="1"/>
  <c r="D34" i="165"/>
  <c r="F35" i="165"/>
  <c r="D35" i="165" s="1"/>
  <c r="F37" i="165"/>
  <c r="D37" i="165" s="1"/>
  <c r="F49" i="165"/>
  <c r="D49" i="165" s="1"/>
  <c r="F70" i="165"/>
  <c r="D70" i="165" s="1"/>
  <c r="D72" i="165"/>
  <c r="D87" i="165"/>
  <c r="F26" i="165"/>
  <c r="D26" i="165" s="1"/>
  <c r="F27" i="165"/>
  <c r="D27" i="165" s="1"/>
  <c r="F29" i="165"/>
  <c r="D29" i="165" s="1"/>
  <c r="F40" i="165"/>
  <c r="D40" i="165" s="1"/>
  <c r="F41" i="165"/>
  <c r="D41" i="165" s="1"/>
  <c r="F56" i="165"/>
  <c r="D56" i="165" s="1"/>
  <c r="D64" i="165"/>
  <c r="F79" i="165"/>
  <c r="D79" i="165" s="1"/>
  <c r="F80" i="165"/>
  <c r="D80" i="165" s="1"/>
  <c r="F82" i="165"/>
  <c r="D82" i="165" s="1"/>
  <c r="F93" i="165"/>
  <c r="D93" i="165" s="1"/>
  <c r="F94" i="165"/>
  <c r="D94" i="165" s="1"/>
  <c r="F111" i="165"/>
  <c r="D111" i="165" s="1"/>
  <c r="F112" i="165"/>
  <c r="D112" i="165" s="1"/>
  <c r="F114" i="165"/>
  <c r="D114" i="165" s="1"/>
  <c r="F125" i="165"/>
  <c r="D125" i="165" s="1"/>
  <c r="F126" i="165"/>
  <c r="D126" i="165" s="1"/>
  <c r="D128" i="165"/>
  <c r="F143" i="165"/>
  <c r="D143" i="165" s="1"/>
  <c r="F144" i="165"/>
  <c r="D144" i="165" s="1"/>
  <c r="F146" i="165"/>
  <c r="D146" i="165" s="1"/>
  <c r="D30" i="165"/>
  <c r="D36" i="165"/>
  <c r="D38" i="165"/>
  <c r="F62" i="165"/>
  <c r="D62" i="165" s="1"/>
  <c r="D83" i="165"/>
  <c r="D113" i="165"/>
  <c r="D115" i="165"/>
  <c r="D123" i="165"/>
  <c r="D131" i="165"/>
  <c r="D137" i="165"/>
  <c r="D139" i="165"/>
  <c r="D145" i="165"/>
  <c r="D147" i="165"/>
  <c r="E9" i="165"/>
  <c r="E7" i="165" s="1"/>
  <c r="D18" i="165"/>
  <c r="F23" i="165"/>
  <c r="D23" i="165" s="1"/>
  <c r="F31" i="165"/>
  <c r="D31" i="165" s="1"/>
  <c r="F39" i="165"/>
  <c r="D39" i="165" s="1"/>
  <c r="F47" i="165"/>
  <c r="D47" i="165" s="1"/>
  <c r="F52" i="165"/>
  <c r="D52" i="165" s="1"/>
  <c r="F60" i="165"/>
  <c r="D60" i="165" s="1"/>
  <c r="F68" i="165"/>
  <c r="D68" i="165" s="1"/>
  <c r="F76" i="165"/>
  <c r="D76" i="165" s="1"/>
  <c r="F84" i="165"/>
  <c r="D84" i="165" s="1"/>
  <c r="F92" i="165"/>
  <c r="D92" i="165" s="1"/>
  <c r="F100" i="165"/>
  <c r="D100" i="165" s="1"/>
  <c r="F108" i="165"/>
  <c r="D108" i="165" s="1"/>
  <c r="F116" i="165"/>
  <c r="D116" i="165" s="1"/>
  <c r="F124" i="165"/>
  <c r="D124" i="165" s="1"/>
  <c r="F132" i="165"/>
  <c r="D132" i="165" s="1"/>
  <c r="F140" i="165"/>
  <c r="D140" i="165" s="1"/>
  <c r="F16" i="165"/>
  <c r="D16" i="165" s="1"/>
  <c r="D28" i="165"/>
  <c r="D44" i="165"/>
  <c r="F54" i="165"/>
  <c r="D54" i="165" s="1"/>
  <c r="D65" i="165"/>
  <c r="D75" i="165"/>
  <c r="D81" i="165"/>
  <c r="D89" i="165"/>
  <c r="D91" i="165"/>
  <c r="D97" i="165"/>
  <c r="D99" i="165"/>
  <c r="D105" i="165"/>
  <c r="D107" i="165"/>
  <c r="D121" i="165"/>
  <c r="D14" i="165"/>
  <c r="D51" i="165"/>
  <c r="F63" i="165"/>
  <c r="D63" i="165" s="1"/>
  <c r="G9" i="165"/>
  <c r="G7" i="165" s="1"/>
  <c r="F7" i="165" s="1"/>
  <c r="F10" i="165"/>
  <c r="D10" i="165" s="1"/>
  <c r="H9" i="165"/>
  <c r="H7" i="165" s="1"/>
  <c r="F57" i="165"/>
  <c r="D57" i="165" s="1"/>
  <c r="K10" i="166" l="1"/>
  <c r="K8" i="166" s="1"/>
  <c r="D10" i="166"/>
  <c r="D8" i="166" s="1"/>
  <c r="F9" i="165"/>
  <c r="D9" i="165" l="1"/>
  <c r="D7" i="165" s="1"/>
  <c r="F9" i="164" l="1"/>
  <c r="F7" i="164" s="1"/>
  <c r="G9" i="164"/>
  <c r="E9" i="164" s="1"/>
  <c r="I9" i="164"/>
  <c r="I7" i="164" s="1"/>
  <c r="J9" i="164"/>
  <c r="J7" i="164" s="1"/>
  <c r="L9" i="164"/>
  <c r="L7" i="164" s="1"/>
  <c r="E10" i="164"/>
  <c r="H10" i="164"/>
  <c r="K10" i="164"/>
  <c r="E11" i="164"/>
  <c r="H11" i="164"/>
  <c r="K11" i="164"/>
  <c r="E12" i="164"/>
  <c r="H12" i="164"/>
  <c r="K12" i="164"/>
  <c r="E13" i="164"/>
  <c r="H13" i="164"/>
  <c r="K13" i="164"/>
  <c r="E14" i="164"/>
  <c r="H14" i="164"/>
  <c r="K14" i="164"/>
  <c r="E15" i="164"/>
  <c r="H15" i="164"/>
  <c r="K15" i="164"/>
  <c r="E16" i="164"/>
  <c r="H16" i="164"/>
  <c r="K16" i="164"/>
  <c r="E17" i="164"/>
  <c r="H17" i="164"/>
  <c r="K17" i="164"/>
  <c r="E18" i="164"/>
  <c r="H18" i="164"/>
  <c r="K18" i="164"/>
  <c r="E19" i="164"/>
  <c r="H19" i="164"/>
  <c r="K19" i="164"/>
  <c r="E20" i="164"/>
  <c r="H20" i="164"/>
  <c r="K20" i="164"/>
  <c r="E21" i="164"/>
  <c r="H21" i="164"/>
  <c r="K21" i="164"/>
  <c r="E22" i="164"/>
  <c r="H22" i="164"/>
  <c r="K22" i="164"/>
  <c r="E23" i="164"/>
  <c r="H23" i="164"/>
  <c r="K23" i="164"/>
  <c r="E24" i="164"/>
  <c r="H24" i="164"/>
  <c r="K24" i="164"/>
  <c r="E25" i="164"/>
  <c r="H25" i="164"/>
  <c r="K25" i="164"/>
  <c r="E26" i="164"/>
  <c r="H26" i="164"/>
  <c r="K26" i="164"/>
  <c r="E27" i="164"/>
  <c r="H27" i="164"/>
  <c r="K27" i="164"/>
  <c r="E28" i="164"/>
  <c r="H28" i="164"/>
  <c r="K28" i="164"/>
  <c r="E29" i="164"/>
  <c r="H29" i="164"/>
  <c r="K29" i="164"/>
  <c r="E30" i="164"/>
  <c r="H30" i="164"/>
  <c r="K30" i="164"/>
  <c r="E31" i="164"/>
  <c r="H31" i="164"/>
  <c r="K31" i="164"/>
  <c r="E32" i="164"/>
  <c r="H32" i="164"/>
  <c r="K32" i="164"/>
  <c r="E33" i="164"/>
  <c r="H33" i="164"/>
  <c r="K33" i="164"/>
  <c r="E34" i="164"/>
  <c r="H34" i="164"/>
  <c r="K34" i="164"/>
  <c r="E35" i="164"/>
  <c r="H35" i="164"/>
  <c r="K35" i="164"/>
  <c r="E36" i="164"/>
  <c r="H36" i="164"/>
  <c r="M36" i="164"/>
  <c r="M9" i="164" s="1"/>
  <c r="M7" i="164" s="1"/>
  <c r="O36" i="164"/>
  <c r="E37" i="164"/>
  <c r="H37" i="164"/>
  <c r="K37" i="164"/>
  <c r="E38" i="164"/>
  <c r="H38" i="164"/>
  <c r="K38" i="164"/>
  <c r="E39" i="164"/>
  <c r="H39" i="164"/>
  <c r="K39" i="164"/>
  <c r="E40" i="164"/>
  <c r="H40" i="164"/>
  <c r="K40" i="164"/>
  <c r="E41" i="164"/>
  <c r="H41" i="164"/>
  <c r="K41" i="164"/>
  <c r="E42" i="164"/>
  <c r="H42" i="164"/>
  <c r="N42" i="164"/>
  <c r="O42" i="164"/>
  <c r="E43" i="164"/>
  <c r="H43" i="164"/>
  <c r="K43" i="164"/>
  <c r="E44" i="164"/>
  <c r="H44" i="164"/>
  <c r="K44" i="164"/>
  <c r="E45" i="164"/>
  <c r="H45" i="164"/>
  <c r="K45" i="164"/>
  <c r="E46" i="164"/>
  <c r="H46" i="164"/>
  <c r="K46" i="164"/>
  <c r="E47" i="164"/>
  <c r="H47" i="164"/>
  <c r="K47" i="164"/>
  <c r="E48" i="164"/>
  <c r="H48" i="164"/>
  <c r="K48" i="164"/>
  <c r="E49" i="164"/>
  <c r="H49" i="164"/>
  <c r="K49" i="164"/>
  <c r="E50" i="164"/>
  <c r="H50" i="164"/>
  <c r="K50" i="164"/>
  <c r="E51" i="164"/>
  <c r="H51" i="164"/>
  <c r="K51" i="164"/>
  <c r="E52" i="164"/>
  <c r="H52" i="164"/>
  <c r="K52" i="164"/>
  <c r="E53" i="164"/>
  <c r="H53" i="164"/>
  <c r="K53" i="164"/>
  <c r="E54" i="164"/>
  <c r="H54" i="164"/>
  <c r="K54" i="164"/>
  <c r="E55" i="164"/>
  <c r="H55" i="164"/>
  <c r="K55" i="164"/>
  <c r="E56" i="164"/>
  <c r="H56" i="164"/>
  <c r="K56" i="164"/>
  <c r="E57" i="164"/>
  <c r="H57" i="164"/>
  <c r="K57" i="164"/>
  <c r="E58" i="164"/>
  <c r="H58" i="164"/>
  <c r="K58" i="164"/>
  <c r="E59" i="164"/>
  <c r="H59" i="164"/>
  <c r="K59" i="164"/>
  <c r="E60" i="164"/>
  <c r="H60" i="164"/>
  <c r="K60" i="164"/>
  <c r="E61" i="164"/>
  <c r="H61" i="164"/>
  <c r="K61" i="164"/>
  <c r="E62" i="164"/>
  <c r="H62" i="164"/>
  <c r="K62" i="164"/>
  <c r="E63" i="164"/>
  <c r="H63" i="164"/>
  <c r="K63" i="164"/>
  <c r="E64" i="164"/>
  <c r="H64" i="164"/>
  <c r="K64" i="164"/>
  <c r="E65" i="164"/>
  <c r="H65" i="164"/>
  <c r="K65" i="164"/>
  <c r="E66" i="164"/>
  <c r="H66" i="164"/>
  <c r="K66" i="164"/>
  <c r="E67" i="164"/>
  <c r="H67" i="164"/>
  <c r="K67" i="164"/>
  <c r="E68" i="164"/>
  <c r="H68" i="164"/>
  <c r="K68" i="164"/>
  <c r="E69" i="164"/>
  <c r="H69" i="164"/>
  <c r="K69" i="164"/>
  <c r="E70" i="164"/>
  <c r="H70" i="164"/>
  <c r="K70" i="164"/>
  <c r="E71" i="164"/>
  <c r="H71" i="164"/>
  <c r="K71" i="164"/>
  <c r="E72" i="164"/>
  <c r="H72" i="164"/>
  <c r="K72" i="164"/>
  <c r="E73" i="164"/>
  <c r="H73" i="164"/>
  <c r="K73" i="164"/>
  <c r="E74" i="164"/>
  <c r="H74" i="164"/>
  <c r="K74" i="164"/>
  <c r="E75" i="164"/>
  <c r="H75" i="164"/>
  <c r="K75" i="164"/>
  <c r="E76" i="164"/>
  <c r="H76" i="164"/>
  <c r="K76" i="164"/>
  <c r="E77" i="164"/>
  <c r="H77" i="164"/>
  <c r="K77" i="164"/>
  <c r="E78" i="164"/>
  <c r="H78" i="164"/>
  <c r="K78" i="164"/>
  <c r="E79" i="164"/>
  <c r="H79" i="164"/>
  <c r="N79" i="164"/>
  <c r="K79" i="164" s="1"/>
  <c r="E80" i="164"/>
  <c r="H80" i="164"/>
  <c r="K80" i="164"/>
  <c r="E81" i="164"/>
  <c r="H81" i="164"/>
  <c r="N81" i="164"/>
  <c r="K81" i="164" s="1"/>
  <c r="E82" i="164"/>
  <c r="H82" i="164"/>
  <c r="K82" i="164"/>
  <c r="E83" i="164"/>
  <c r="H83" i="164"/>
  <c r="K83" i="164"/>
  <c r="E84" i="164"/>
  <c r="H84" i="164"/>
  <c r="K84" i="164"/>
  <c r="E85" i="164"/>
  <c r="H85" i="164"/>
  <c r="K85" i="164"/>
  <c r="E86" i="164"/>
  <c r="H86" i="164"/>
  <c r="K86" i="164"/>
  <c r="E87" i="164"/>
  <c r="H87" i="164"/>
  <c r="K87" i="164"/>
  <c r="E88" i="164"/>
  <c r="H88" i="164"/>
  <c r="K88" i="164"/>
  <c r="E89" i="164"/>
  <c r="H89" i="164"/>
  <c r="K89" i="164"/>
  <c r="E90" i="164"/>
  <c r="H90" i="164"/>
  <c r="K90" i="164"/>
  <c r="E91" i="164"/>
  <c r="H91" i="164"/>
  <c r="K91" i="164"/>
  <c r="E92" i="164"/>
  <c r="H92" i="164"/>
  <c r="K92" i="164"/>
  <c r="E93" i="164"/>
  <c r="H93" i="164"/>
  <c r="K93" i="164"/>
  <c r="E94" i="164"/>
  <c r="H94" i="164"/>
  <c r="K94" i="164"/>
  <c r="E95" i="164"/>
  <c r="H95" i="164"/>
  <c r="K95" i="164"/>
  <c r="E96" i="164"/>
  <c r="H96" i="164"/>
  <c r="K96" i="164"/>
  <c r="E97" i="164"/>
  <c r="H97" i="164"/>
  <c r="K97" i="164"/>
  <c r="E98" i="164"/>
  <c r="H98" i="164"/>
  <c r="K98" i="164"/>
  <c r="E99" i="164"/>
  <c r="H99" i="164"/>
  <c r="K99" i="164"/>
  <c r="E100" i="164"/>
  <c r="H100" i="164"/>
  <c r="K100" i="164"/>
  <c r="E101" i="164"/>
  <c r="H101" i="164"/>
  <c r="K101" i="164"/>
  <c r="E102" i="164"/>
  <c r="H102" i="164"/>
  <c r="K102" i="164"/>
  <c r="E103" i="164"/>
  <c r="H103" i="164"/>
  <c r="K103" i="164"/>
  <c r="E104" i="164"/>
  <c r="H104" i="164"/>
  <c r="K104" i="164"/>
  <c r="E105" i="164"/>
  <c r="H105" i="164"/>
  <c r="K105" i="164"/>
  <c r="E106" i="164"/>
  <c r="H106" i="164"/>
  <c r="K106" i="164"/>
  <c r="E107" i="164"/>
  <c r="H107" i="164"/>
  <c r="K107" i="164"/>
  <c r="E108" i="164"/>
  <c r="H108" i="164"/>
  <c r="K108" i="164"/>
  <c r="E109" i="164"/>
  <c r="H109" i="164"/>
  <c r="K109" i="164"/>
  <c r="E110" i="164"/>
  <c r="H110" i="164"/>
  <c r="K110" i="164"/>
  <c r="E111" i="164"/>
  <c r="H111" i="164"/>
  <c r="K111" i="164"/>
  <c r="E112" i="164"/>
  <c r="H112" i="164"/>
  <c r="K112" i="164"/>
  <c r="E113" i="164"/>
  <c r="H113" i="164"/>
  <c r="K113" i="164"/>
  <c r="E114" i="164"/>
  <c r="H114" i="164"/>
  <c r="K114" i="164"/>
  <c r="E115" i="164"/>
  <c r="H115" i="164"/>
  <c r="K115" i="164"/>
  <c r="E116" i="164"/>
  <c r="H116" i="164"/>
  <c r="K116" i="164"/>
  <c r="E117" i="164"/>
  <c r="H117" i="164"/>
  <c r="K117" i="164"/>
  <c r="E118" i="164"/>
  <c r="H118" i="164"/>
  <c r="K118" i="164"/>
  <c r="E119" i="164"/>
  <c r="H119" i="164"/>
  <c r="K119" i="164"/>
  <c r="E120" i="164"/>
  <c r="H120" i="164"/>
  <c r="K120" i="164"/>
  <c r="E121" i="164"/>
  <c r="H121" i="164"/>
  <c r="K121" i="164"/>
  <c r="E122" i="164"/>
  <c r="H122" i="164"/>
  <c r="K122" i="164"/>
  <c r="E123" i="164"/>
  <c r="H123" i="164"/>
  <c r="K123" i="164"/>
  <c r="E124" i="164"/>
  <c r="H124" i="164"/>
  <c r="K124" i="164"/>
  <c r="E125" i="164"/>
  <c r="H125" i="164"/>
  <c r="K125" i="164"/>
  <c r="E126" i="164"/>
  <c r="H126" i="164"/>
  <c r="K126" i="164"/>
  <c r="E127" i="164"/>
  <c r="H127" i="164"/>
  <c r="K127" i="164"/>
  <c r="E128" i="164"/>
  <c r="H128" i="164"/>
  <c r="K128" i="164"/>
  <c r="E129" i="164"/>
  <c r="H129" i="164"/>
  <c r="K129" i="164"/>
  <c r="E130" i="164"/>
  <c r="H130" i="164"/>
  <c r="K130" i="164"/>
  <c r="E131" i="164"/>
  <c r="H131" i="164"/>
  <c r="K131" i="164"/>
  <c r="E132" i="164"/>
  <c r="H132" i="164"/>
  <c r="K132" i="164"/>
  <c r="E133" i="164"/>
  <c r="H133" i="164"/>
  <c r="N133" i="164"/>
  <c r="K133" i="164" s="1"/>
  <c r="E134" i="164"/>
  <c r="H134" i="164"/>
  <c r="N134" i="164"/>
  <c r="K134" i="164" s="1"/>
  <c r="E135" i="164"/>
  <c r="H135" i="164"/>
  <c r="K135" i="164"/>
  <c r="E136" i="164"/>
  <c r="H136" i="164"/>
  <c r="K136" i="164"/>
  <c r="E137" i="164"/>
  <c r="H137" i="164"/>
  <c r="K137" i="164"/>
  <c r="E138" i="164"/>
  <c r="H138" i="164"/>
  <c r="K138" i="164"/>
  <c r="E139" i="164"/>
  <c r="H139" i="164"/>
  <c r="K139" i="164"/>
  <c r="E140" i="164"/>
  <c r="H140" i="164"/>
  <c r="K140" i="164"/>
  <c r="E141" i="164"/>
  <c r="H141" i="164"/>
  <c r="K141" i="164"/>
  <c r="E142" i="164"/>
  <c r="H142" i="164"/>
  <c r="K142" i="164"/>
  <c r="E143" i="164"/>
  <c r="H143" i="164"/>
  <c r="K143" i="164"/>
  <c r="E144" i="164"/>
  <c r="H144" i="164"/>
  <c r="K144" i="164"/>
  <c r="E145" i="164"/>
  <c r="H145" i="164"/>
  <c r="K145" i="164"/>
  <c r="E146" i="164"/>
  <c r="H146" i="164"/>
  <c r="N146" i="164"/>
  <c r="K146" i="164" s="1"/>
  <c r="E147" i="164"/>
  <c r="H147" i="164"/>
  <c r="K147" i="164"/>
  <c r="G7" i="164" l="1"/>
  <c r="D39" i="164"/>
  <c r="D34" i="164"/>
  <c r="D30" i="164"/>
  <c r="D26" i="164"/>
  <c r="D22" i="164"/>
  <c r="D18" i="164"/>
  <c r="D14" i="164"/>
  <c r="D10" i="164"/>
  <c r="H9" i="164"/>
  <c r="D73" i="164"/>
  <c r="D69" i="164"/>
  <c r="D65" i="164"/>
  <c r="D61" i="164"/>
  <c r="D57" i="164"/>
  <c r="D53" i="164"/>
  <c r="D49" i="164"/>
  <c r="D45" i="164"/>
  <c r="K42" i="164"/>
  <c r="D147" i="164"/>
  <c r="D134" i="164"/>
  <c r="D80" i="164"/>
  <c r="D74" i="164"/>
  <c r="D70" i="164"/>
  <c r="D66" i="164"/>
  <c r="D62" i="164"/>
  <c r="D58" i="164"/>
  <c r="D54" i="164"/>
  <c r="D50" i="164"/>
  <c r="D46" i="164"/>
  <c r="D40" i="164"/>
  <c r="D35" i="164"/>
  <c r="D31" i="164"/>
  <c r="D27" i="164"/>
  <c r="D23" i="164"/>
  <c r="D19" i="164"/>
  <c r="D15" i="164"/>
  <c r="D11" i="164"/>
  <c r="D146" i="164"/>
  <c r="D142" i="164"/>
  <c r="D138" i="164"/>
  <c r="D132" i="164"/>
  <c r="D128" i="164"/>
  <c r="D124" i="164"/>
  <c r="D120" i="164"/>
  <c r="D116" i="164"/>
  <c r="D112" i="164"/>
  <c r="D108" i="164"/>
  <c r="D104" i="164"/>
  <c r="D100" i="164"/>
  <c r="D96" i="164"/>
  <c r="D92" i="164"/>
  <c r="D88" i="164"/>
  <c r="D84" i="164"/>
  <c r="D81" i="164"/>
  <c r="D79" i="164"/>
  <c r="D75" i="164"/>
  <c r="D71" i="164"/>
  <c r="D67" i="164"/>
  <c r="D63" i="164"/>
  <c r="D59" i="164"/>
  <c r="D55" i="164"/>
  <c r="D51" i="164"/>
  <c r="D47" i="164"/>
  <c r="D43" i="164"/>
  <c r="D41" i="164"/>
  <c r="D37" i="164"/>
  <c r="D32" i="164"/>
  <c r="D28" i="164"/>
  <c r="D24" i="164"/>
  <c r="D20" i="164"/>
  <c r="D16" i="164"/>
  <c r="D12" i="164"/>
  <c r="D143" i="164"/>
  <c r="D139" i="164"/>
  <c r="D135" i="164"/>
  <c r="D133" i="164"/>
  <c r="D129" i="164"/>
  <c r="D125" i="164"/>
  <c r="D121" i="164"/>
  <c r="D117" i="164"/>
  <c r="D113" i="164"/>
  <c r="D109" i="164"/>
  <c r="D105" i="164"/>
  <c r="D101" i="164"/>
  <c r="D97" i="164"/>
  <c r="D93" i="164"/>
  <c r="D89" i="164"/>
  <c r="D85" i="164"/>
  <c r="D76" i="164"/>
  <c r="D72" i="164"/>
  <c r="D68" i="164"/>
  <c r="D64" i="164"/>
  <c r="D60" i="164"/>
  <c r="D56" i="164"/>
  <c r="D52" i="164"/>
  <c r="D48" i="164"/>
  <c r="D44" i="164"/>
  <c r="D42" i="164"/>
  <c r="D38" i="164"/>
  <c r="O9" i="164"/>
  <c r="O7" i="164" s="1"/>
  <c r="D33" i="164"/>
  <c r="D29" i="164"/>
  <c r="D25" i="164"/>
  <c r="D21" i="164"/>
  <c r="D17" i="164"/>
  <c r="D13" i="164"/>
  <c r="D144" i="164"/>
  <c r="D140" i="164"/>
  <c r="D136" i="164"/>
  <c r="D130" i="164"/>
  <c r="D126" i="164"/>
  <c r="D122" i="164"/>
  <c r="D118" i="164"/>
  <c r="D114" i="164"/>
  <c r="D110" i="164"/>
  <c r="D106" i="164"/>
  <c r="D102" i="164"/>
  <c r="D98" i="164"/>
  <c r="D94" i="164"/>
  <c r="D90" i="164"/>
  <c r="D86" i="164"/>
  <c r="D82" i="164"/>
  <c r="D77" i="164"/>
  <c r="N9" i="164"/>
  <c r="N7" i="164" s="1"/>
  <c r="D145" i="164"/>
  <c r="D141" i="164"/>
  <c r="D137" i="164"/>
  <c r="D131" i="164"/>
  <c r="D127" i="164"/>
  <c r="D123" i="164"/>
  <c r="D119" i="164"/>
  <c r="D115" i="164"/>
  <c r="D111" i="164"/>
  <c r="D107" i="164"/>
  <c r="D103" i="164"/>
  <c r="D99" i="164"/>
  <c r="D95" i="164"/>
  <c r="D91" i="164"/>
  <c r="D87" i="164"/>
  <c r="D83" i="164"/>
  <c r="D78" i="164"/>
  <c r="K36" i="164"/>
  <c r="D36" i="164" s="1"/>
  <c r="H7" i="164"/>
  <c r="K9" i="164" l="1"/>
  <c r="D9" i="164" s="1"/>
  <c r="E7" i="164"/>
  <c r="K7" i="164" l="1"/>
  <c r="D7" i="164" s="1"/>
  <c r="F145" i="150" l="1"/>
  <c r="G145" i="150"/>
  <c r="H145" i="150"/>
  <c r="I145" i="150"/>
  <c r="J145" i="150"/>
  <c r="K145" i="150"/>
  <c r="F147" i="150" l="1"/>
  <c r="G147" i="150"/>
  <c r="H147" i="150"/>
  <c r="I147" i="150"/>
  <c r="J147" i="150"/>
  <c r="K147" i="150"/>
  <c r="E143" i="150"/>
  <c r="E144" i="150"/>
  <c r="D144" i="150" s="1"/>
  <c r="E146" i="150"/>
  <c r="D146" i="150" s="1"/>
  <c r="E8" i="163" l="1"/>
  <c r="E6" i="163" s="1"/>
  <c r="F8" i="163"/>
  <c r="F6" i="163" s="1"/>
  <c r="G8" i="163"/>
  <c r="G6" i="163" s="1"/>
  <c r="J8" i="163"/>
  <c r="J6" i="163" s="1"/>
  <c r="K8" i="163"/>
  <c r="K6" i="163" s="1"/>
  <c r="D8" i="163"/>
  <c r="D6" i="163" s="1"/>
  <c r="E7" i="160"/>
  <c r="E5" i="160" s="1"/>
  <c r="F7" i="160"/>
  <c r="F5" i="160" s="1"/>
  <c r="G7" i="160"/>
  <c r="G5" i="160" s="1"/>
  <c r="D7" i="160"/>
  <c r="D5" i="160" s="1"/>
  <c r="L83" i="163" l="1"/>
  <c r="I83" i="163"/>
  <c r="H83" i="163"/>
  <c r="L82" i="163"/>
  <c r="I82" i="163"/>
  <c r="H82" i="163"/>
  <c r="L81" i="163"/>
  <c r="I81" i="163"/>
  <c r="H81" i="163"/>
  <c r="L80" i="163"/>
  <c r="I80" i="163"/>
  <c r="H80" i="163"/>
  <c r="L79" i="163"/>
  <c r="I79" i="163"/>
  <c r="H79" i="163"/>
  <c r="L78" i="163"/>
  <c r="I78" i="163"/>
  <c r="H78" i="163"/>
  <c r="L77" i="163"/>
  <c r="I77" i="163"/>
  <c r="H77" i="163"/>
  <c r="L76" i="163"/>
  <c r="I76" i="163"/>
  <c r="H76" i="163"/>
  <c r="L75" i="163"/>
  <c r="I75" i="163"/>
  <c r="H75" i="163"/>
  <c r="L74" i="163"/>
  <c r="I74" i="163"/>
  <c r="H74" i="163"/>
  <c r="L73" i="163"/>
  <c r="I73" i="163"/>
  <c r="H73" i="163"/>
  <c r="L72" i="163"/>
  <c r="I72" i="163"/>
  <c r="H72" i="163"/>
  <c r="L71" i="163"/>
  <c r="I71" i="163"/>
  <c r="H71" i="163"/>
  <c r="L70" i="163"/>
  <c r="I70" i="163"/>
  <c r="H70" i="163"/>
  <c r="L69" i="163"/>
  <c r="I69" i="163"/>
  <c r="H69" i="163"/>
  <c r="L68" i="163"/>
  <c r="I68" i="163"/>
  <c r="H68" i="163"/>
  <c r="L67" i="163"/>
  <c r="I67" i="163"/>
  <c r="H67" i="163"/>
  <c r="L66" i="163"/>
  <c r="I66" i="163"/>
  <c r="H66" i="163"/>
  <c r="L65" i="163"/>
  <c r="I65" i="163"/>
  <c r="H65" i="163"/>
  <c r="L64" i="163"/>
  <c r="I64" i="163"/>
  <c r="H64" i="163"/>
  <c r="L63" i="163"/>
  <c r="I63" i="163"/>
  <c r="H63" i="163"/>
  <c r="L62" i="163"/>
  <c r="I62" i="163"/>
  <c r="H62" i="163"/>
  <c r="L61" i="163"/>
  <c r="I61" i="163"/>
  <c r="H61" i="163"/>
  <c r="L60" i="163"/>
  <c r="I60" i="163"/>
  <c r="H60" i="163"/>
  <c r="L59" i="163"/>
  <c r="I59" i="163"/>
  <c r="H59" i="163"/>
  <c r="L58" i="163"/>
  <c r="I58" i="163"/>
  <c r="H58" i="163"/>
  <c r="L57" i="163"/>
  <c r="I57" i="163"/>
  <c r="H57" i="163"/>
  <c r="L56" i="163"/>
  <c r="I56" i="163"/>
  <c r="H56" i="163"/>
  <c r="L55" i="163"/>
  <c r="I55" i="163"/>
  <c r="H55" i="163"/>
  <c r="L54" i="163"/>
  <c r="I54" i="163"/>
  <c r="H54" i="163"/>
  <c r="L53" i="163"/>
  <c r="I53" i="163"/>
  <c r="H53" i="163"/>
  <c r="L52" i="163"/>
  <c r="I52" i="163"/>
  <c r="H52" i="163"/>
  <c r="L51" i="163"/>
  <c r="I51" i="163"/>
  <c r="H51" i="163"/>
  <c r="L50" i="163"/>
  <c r="I50" i="163"/>
  <c r="H50" i="163"/>
  <c r="L49" i="163"/>
  <c r="I49" i="163"/>
  <c r="H49" i="163"/>
  <c r="L48" i="163"/>
  <c r="I48" i="163"/>
  <c r="H48" i="163"/>
  <c r="L47" i="163"/>
  <c r="I47" i="163"/>
  <c r="H47" i="163"/>
  <c r="L46" i="163"/>
  <c r="I46" i="163"/>
  <c r="H46" i="163"/>
  <c r="L45" i="163"/>
  <c r="I45" i="163"/>
  <c r="H45" i="163"/>
  <c r="L44" i="163"/>
  <c r="I44" i="163"/>
  <c r="H44" i="163"/>
  <c r="L43" i="163"/>
  <c r="I43" i="163"/>
  <c r="H43" i="163"/>
  <c r="L42" i="163"/>
  <c r="I42" i="163"/>
  <c r="H42" i="163"/>
  <c r="L41" i="163"/>
  <c r="I41" i="163"/>
  <c r="H41" i="163"/>
  <c r="L40" i="163"/>
  <c r="I40" i="163"/>
  <c r="H40" i="163"/>
  <c r="L39" i="163"/>
  <c r="I39" i="163"/>
  <c r="H39" i="163"/>
  <c r="L38" i="163"/>
  <c r="I38" i="163"/>
  <c r="H38" i="163"/>
  <c r="L37" i="163"/>
  <c r="I37" i="163"/>
  <c r="H37" i="163"/>
  <c r="L36" i="163"/>
  <c r="I36" i="163"/>
  <c r="H36" i="163"/>
  <c r="L35" i="163"/>
  <c r="I35" i="163"/>
  <c r="H35" i="163"/>
  <c r="L34" i="163"/>
  <c r="I34" i="163"/>
  <c r="H34" i="163"/>
  <c r="L33" i="163"/>
  <c r="I33" i="163"/>
  <c r="H33" i="163"/>
  <c r="L32" i="163"/>
  <c r="I32" i="163"/>
  <c r="H32" i="163"/>
  <c r="L31" i="163"/>
  <c r="I31" i="163"/>
  <c r="H31" i="163"/>
  <c r="L30" i="163"/>
  <c r="I30" i="163"/>
  <c r="H30" i="163"/>
  <c r="L29" i="163"/>
  <c r="I29" i="163"/>
  <c r="H29" i="163"/>
  <c r="L28" i="163"/>
  <c r="I28" i="163"/>
  <c r="H28" i="163"/>
  <c r="L27" i="163"/>
  <c r="I27" i="163"/>
  <c r="H27" i="163"/>
  <c r="L26" i="163"/>
  <c r="I26" i="163"/>
  <c r="H26" i="163"/>
  <c r="L25" i="163"/>
  <c r="I25" i="163"/>
  <c r="H25" i="163"/>
  <c r="L24" i="163"/>
  <c r="I24" i="163"/>
  <c r="H24" i="163"/>
  <c r="L23" i="163"/>
  <c r="I23" i="163"/>
  <c r="H23" i="163"/>
  <c r="L22" i="163"/>
  <c r="I22" i="163"/>
  <c r="H22" i="163"/>
  <c r="L21" i="163"/>
  <c r="I21" i="163"/>
  <c r="H21" i="163"/>
  <c r="L20" i="163"/>
  <c r="I20" i="163"/>
  <c r="H20" i="163"/>
  <c r="L19" i="163"/>
  <c r="I19" i="163"/>
  <c r="H19" i="163"/>
  <c r="L18" i="163"/>
  <c r="I18" i="163"/>
  <c r="H18" i="163"/>
  <c r="L17" i="163"/>
  <c r="I17" i="163"/>
  <c r="H17" i="163"/>
  <c r="L16" i="163"/>
  <c r="I16" i="163"/>
  <c r="H16" i="163"/>
  <c r="L15" i="163"/>
  <c r="I15" i="163"/>
  <c r="H15" i="163"/>
  <c r="L14" i="163"/>
  <c r="I14" i="163"/>
  <c r="H14" i="163"/>
  <c r="L13" i="163"/>
  <c r="I13" i="163"/>
  <c r="H13" i="163"/>
  <c r="L12" i="163"/>
  <c r="I12" i="163"/>
  <c r="H12" i="163"/>
  <c r="L11" i="163"/>
  <c r="I11" i="163"/>
  <c r="H11" i="163"/>
  <c r="L10" i="163"/>
  <c r="I10" i="163"/>
  <c r="H10" i="163"/>
  <c r="L9" i="163"/>
  <c r="L8" i="163" l="1"/>
  <c r="L6" i="163" s="1"/>
  <c r="H8" i="163"/>
  <c r="H6" i="163" s="1"/>
  <c r="I8" i="163"/>
  <c r="I6" i="163" s="1"/>
  <c r="E10" i="159"/>
  <c r="E6" i="159" s="1"/>
  <c r="E4" i="159" s="1"/>
  <c r="D7" i="159"/>
  <c r="D6" i="159" s="1"/>
  <c r="D4" i="159" s="1"/>
  <c r="R28" i="161" l="1"/>
  <c r="S28" i="161" s="1"/>
  <c r="R27" i="161"/>
  <c r="S27" i="161" s="1"/>
  <c r="R26" i="161"/>
  <c r="S26" i="161" s="1"/>
  <c r="R25" i="161"/>
  <c r="J25" i="161"/>
  <c r="L25" i="161" s="1"/>
  <c r="R24" i="161"/>
  <c r="J24" i="161"/>
  <c r="L24" i="161" s="1"/>
  <c r="R23" i="161"/>
  <c r="J23" i="161"/>
  <c r="L23" i="161" s="1"/>
  <c r="R22" i="161"/>
  <c r="S22" i="161" s="1"/>
  <c r="O21" i="161"/>
  <c r="R21" i="161" s="1"/>
  <c r="S21" i="161" s="1"/>
  <c r="O20" i="161"/>
  <c r="Q19" i="161"/>
  <c r="Q8" i="161" s="1"/>
  <c r="Q6" i="161" s="1"/>
  <c r="P19" i="161"/>
  <c r="P8" i="161" s="1"/>
  <c r="P6" i="161" s="1"/>
  <c r="R18" i="161"/>
  <c r="S18" i="161" s="1"/>
  <c r="R17" i="161"/>
  <c r="S17" i="161" s="1"/>
  <c r="R16" i="161"/>
  <c r="S16" i="161" s="1"/>
  <c r="R15" i="161"/>
  <c r="S15" i="161" s="1"/>
  <c r="R14" i="161"/>
  <c r="S14" i="161" s="1"/>
  <c r="R13" i="161"/>
  <c r="S13" i="161" s="1"/>
  <c r="R12" i="161"/>
  <c r="S12" i="161" s="1"/>
  <c r="R11" i="161"/>
  <c r="S11" i="161" s="1"/>
  <c r="R10" i="161"/>
  <c r="S10" i="161" s="1"/>
  <c r="R9" i="161"/>
  <c r="S9" i="161" s="1"/>
  <c r="N8" i="161"/>
  <c r="N6" i="161" s="1"/>
  <c r="M8" i="161"/>
  <c r="K8" i="161"/>
  <c r="K6" i="161" s="1"/>
  <c r="I8" i="161"/>
  <c r="I6" i="161" s="1"/>
  <c r="H8" i="161"/>
  <c r="H6" i="161" s="1"/>
  <c r="G8" i="161"/>
  <c r="G6" i="161" s="1"/>
  <c r="F8" i="161"/>
  <c r="E8" i="161"/>
  <c r="E6" i="161" s="1"/>
  <c r="D8" i="161"/>
  <c r="D6" i="161" s="1"/>
  <c r="M6" i="161"/>
  <c r="F6" i="161"/>
  <c r="S25" i="161" l="1"/>
  <c r="R19" i="161"/>
  <c r="S19" i="161" s="1"/>
  <c r="J8" i="161"/>
  <c r="J6" i="161" s="1"/>
  <c r="S24" i="161"/>
  <c r="L8" i="161"/>
  <c r="L6" i="161" s="1"/>
  <c r="S23" i="161"/>
  <c r="O8" i="161"/>
  <c r="O6" i="161" s="1"/>
  <c r="R20" i="161"/>
  <c r="S20" i="161" s="1"/>
  <c r="R8" i="161" l="1"/>
  <c r="R6" i="161" s="1"/>
  <c r="S8" i="161"/>
  <c r="S6" i="161" s="1"/>
  <c r="I84" i="157" l="1"/>
  <c r="I88" i="157" s="1"/>
  <c r="H84" i="157"/>
  <c r="H88" i="157" s="1"/>
  <c r="G84" i="157"/>
  <c r="G88" i="157" s="1"/>
  <c r="E84" i="157"/>
  <c r="I8" i="157"/>
  <c r="H8" i="157"/>
  <c r="G8" i="157"/>
  <c r="F8" i="157"/>
  <c r="E8" i="157"/>
  <c r="D8" i="157"/>
  <c r="D16" i="156" l="1"/>
  <c r="D15" i="156"/>
  <c r="D14" i="156"/>
  <c r="D13" i="156"/>
  <c r="D12" i="156"/>
  <c r="D11" i="156"/>
  <c r="D10" i="156"/>
  <c r="D9" i="156" l="1"/>
  <c r="F28" i="155"/>
  <c r="E28" i="155"/>
  <c r="F27" i="155"/>
  <c r="E27" i="155"/>
  <c r="F26" i="155"/>
  <c r="E26" i="155"/>
  <c r="F25" i="155"/>
  <c r="E25" i="155"/>
  <c r="F24" i="155"/>
  <c r="E24" i="155"/>
  <c r="F23" i="155"/>
  <c r="E23" i="155"/>
  <c r="F22" i="155"/>
  <c r="E22" i="155"/>
  <c r="F21" i="155"/>
  <c r="E21" i="155"/>
  <c r="F20" i="155"/>
  <c r="E20" i="155"/>
  <c r="D20" i="155"/>
  <c r="F19" i="155"/>
  <c r="E19" i="155"/>
  <c r="F18" i="155"/>
  <c r="E18" i="155"/>
  <c r="F17" i="155"/>
  <c r="E17" i="155"/>
  <c r="F16" i="155"/>
  <c r="E16" i="155"/>
  <c r="D16" i="155" s="1"/>
  <c r="F15" i="155"/>
  <c r="E15" i="155"/>
  <c r="F14" i="155"/>
  <c r="E14" i="155"/>
  <c r="F13" i="155"/>
  <c r="E13" i="155"/>
  <c r="F12" i="155"/>
  <c r="E12" i="155"/>
  <c r="D12" i="155" s="1"/>
  <c r="F11" i="155"/>
  <c r="E11" i="155"/>
  <c r="F10" i="155"/>
  <c r="E10" i="155"/>
  <c r="F9" i="155"/>
  <c r="E9" i="155"/>
  <c r="D9" i="155" s="1"/>
  <c r="J8" i="155"/>
  <c r="I8" i="155"/>
  <c r="H8" i="155"/>
  <c r="G8" i="155"/>
  <c r="D22" i="155" l="1"/>
  <c r="D10" i="155"/>
  <c r="D21" i="155"/>
  <c r="D14" i="155"/>
  <c r="D18" i="155"/>
  <c r="D25" i="155"/>
  <c r="D24" i="155"/>
  <c r="D26" i="155"/>
  <c r="D28" i="155"/>
  <c r="D13" i="155"/>
  <c r="D17" i="155"/>
  <c r="D11" i="155"/>
  <c r="D19" i="155"/>
  <c r="D27" i="155"/>
  <c r="E8" i="155"/>
  <c r="D15" i="155"/>
  <c r="D23" i="155"/>
  <c r="F8" i="155"/>
  <c r="D8" i="155" l="1"/>
  <c r="C6" i="153"/>
  <c r="C9" i="153" s="1"/>
  <c r="O9" i="151" l="1"/>
  <c r="M9" i="151" s="1"/>
  <c r="J9" i="151" s="1"/>
  <c r="D9" i="151" s="1"/>
  <c r="N8" i="151"/>
  <c r="N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O26" i="151"/>
  <c r="M26" i="151" s="1"/>
  <c r="J26" i="151" s="1"/>
  <c r="D26" i="151" s="1"/>
  <c r="O25" i="151"/>
  <c r="M25" i="151" s="1"/>
  <c r="J25" i="151" s="1"/>
  <c r="D25" i="151" s="1"/>
  <c r="O24" i="151"/>
  <c r="M24" i="151" s="1"/>
  <c r="J24" i="151" s="1"/>
  <c r="D24" i="151" s="1"/>
  <c r="Q23" i="151"/>
  <c r="Q8" i="151" s="1"/>
  <c r="O23" i="151"/>
  <c r="O22" i="151"/>
  <c r="M22" i="151" s="1"/>
  <c r="J22" i="151" s="1"/>
  <c r="D22" i="151" s="1"/>
  <c r="M21" i="151"/>
  <c r="J21" i="151" s="1"/>
  <c r="D21" i="151" s="1"/>
  <c r="M20" i="151"/>
  <c r="J20" i="151" s="1"/>
  <c r="D20" i="151" s="1"/>
  <c r="M19" i="151"/>
  <c r="J19" i="151" s="1"/>
  <c r="D19" i="151" s="1"/>
  <c r="M18" i="151"/>
  <c r="J18" i="151" s="1"/>
  <c r="D18" i="151" s="1"/>
  <c r="M17" i="151"/>
  <c r="J17" i="151" s="1"/>
  <c r="D17" i="151" s="1"/>
  <c r="M16" i="151"/>
  <c r="J16" i="151" s="1"/>
  <c r="D16" i="151" s="1"/>
  <c r="M15" i="151"/>
  <c r="J15" i="151" s="1"/>
  <c r="D15" i="151" s="1"/>
  <c r="M14" i="151"/>
  <c r="J14" i="151" s="1"/>
  <c r="D14" i="151" s="1"/>
  <c r="M13" i="151"/>
  <c r="J13" i="151" s="1"/>
  <c r="D13" i="151" s="1"/>
  <c r="M12" i="151"/>
  <c r="J12" i="151" s="1"/>
  <c r="D12" i="151" s="1"/>
  <c r="R11" i="151"/>
  <c r="R8" i="151" s="1"/>
  <c r="R10" i="151" s="1"/>
  <c r="P11" i="151"/>
  <c r="P8" i="151" s="1"/>
  <c r="P10" i="151" s="1"/>
  <c r="O11" i="151"/>
  <c r="O8" i="151" l="1"/>
  <c r="O10" i="151" s="1"/>
  <c r="M11" i="151"/>
  <c r="J11" i="151" s="1"/>
  <c r="M23" i="151"/>
  <c r="J23" i="151" s="1"/>
  <c r="D23" i="151" s="1"/>
  <c r="M8" i="151"/>
  <c r="M10" i="151" s="1"/>
  <c r="D143" i="150"/>
  <c r="L142" i="150"/>
  <c r="L145" i="150" s="1"/>
  <c r="L147" i="150" s="1"/>
  <c r="E142" i="150"/>
  <c r="E141" i="150"/>
  <c r="D141" i="150" s="1"/>
  <c r="E140" i="150"/>
  <c r="D140" i="150" s="1"/>
  <c r="E139" i="150"/>
  <c r="D139" i="150" s="1"/>
  <c r="E138" i="150"/>
  <c r="D138" i="150" s="1"/>
  <c r="E137" i="150"/>
  <c r="D137" i="150" s="1"/>
  <c r="E136" i="150"/>
  <c r="D136" i="150" s="1"/>
  <c r="E135" i="150"/>
  <c r="D135" i="150" s="1"/>
  <c r="E134" i="150"/>
  <c r="D134" i="150" s="1"/>
  <c r="E133" i="150"/>
  <c r="D133" i="150" s="1"/>
  <c r="E132" i="150"/>
  <c r="D132" i="150" s="1"/>
  <c r="E131" i="150"/>
  <c r="D131" i="150" s="1"/>
  <c r="E130" i="150"/>
  <c r="D130" i="150" s="1"/>
  <c r="E129" i="150"/>
  <c r="D129" i="150" s="1"/>
  <c r="E128" i="150"/>
  <c r="D128" i="150" s="1"/>
  <c r="E127" i="150"/>
  <c r="D127" i="150" s="1"/>
  <c r="E126" i="150"/>
  <c r="D126" i="150" s="1"/>
  <c r="E125" i="150"/>
  <c r="D125" i="150" s="1"/>
  <c r="E124" i="150"/>
  <c r="D124" i="150" s="1"/>
  <c r="E123" i="150"/>
  <c r="D123" i="150" s="1"/>
  <c r="E122" i="150"/>
  <c r="D122" i="150" s="1"/>
  <c r="E121" i="150"/>
  <c r="D121" i="150" s="1"/>
  <c r="E120" i="150"/>
  <c r="D120" i="150" s="1"/>
  <c r="E119" i="150"/>
  <c r="D119" i="150" s="1"/>
  <c r="E118" i="150"/>
  <c r="D118" i="150" s="1"/>
  <c r="E117" i="150"/>
  <c r="D117" i="150" s="1"/>
  <c r="E116" i="150"/>
  <c r="D116" i="150" s="1"/>
  <c r="E115" i="150"/>
  <c r="D115" i="150" s="1"/>
  <c r="E114" i="150"/>
  <c r="D114" i="150" s="1"/>
  <c r="E113" i="150"/>
  <c r="D113" i="150" s="1"/>
  <c r="E112" i="150"/>
  <c r="D112" i="150" s="1"/>
  <c r="E111" i="150"/>
  <c r="D111" i="150" s="1"/>
  <c r="E110" i="150"/>
  <c r="D110" i="150" s="1"/>
  <c r="E109" i="150"/>
  <c r="D109" i="150" s="1"/>
  <c r="E108" i="150"/>
  <c r="D108" i="150" s="1"/>
  <c r="E107" i="150"/>
  <c r="D107" i="150" s="1"/>
  <c r="E106" i="150"/>
  <c r="D106" i="150" s="1"/>
  <c r="E105" i="150"/>
  <c r="D105" i="150" s="1"/>
  <c r="E104" i="150"/>
  <c r="D104" i="150" s="1"/>
  <c r="E103" i="150"/>
  <c r="D103" i="150" s="1"/>
  <c r="E102" i="150"/>
  <c r="D102" i="150" s="1"/>
  <c r="E101" i="150"/>
  <c r="D101" i="150" s="1"/>
  <c r="E100" i="150"/>
  <c r="D100" i="150" s="1"/>
  <c r="E99" i="150"/>
  <c r="D99" i="150" s="1"/>
  <c r="E98" i="150"/>
  <c r="D98" i="150" s="1"/>
  <c r="E97" i="150"/>
  <c r="D97" i="150" s="1"/>
  <c r="E96" i="150"/>
  <c r="D96" i="150" s="1"/>
  <c r="E95" i="150"/>
  <c r="D95" i="150" s="1"/>
  <c r="E94" i="150"/>
  <c r="D94" i="150" s="1"/>
  <c r="E93" i="150"/>
  <c r="D93" i="150" s="1"/>
  <c r="E92" i="150"/>
  <c r="D92" i="150" s="1"/>
  <c r="E91" i="150"/>
  <c r="D91" i="150" s="1"/>
  <c r="E90" i="150"/>
  <c r="D90" i="150" s="1"/>
  <c r="E89" i="150"/>
  <c r="D89" i="150" s="1"/>
  <c r="E88" i="150"/>
  <c r="D88" i="150" s="1"/>
  <c r="E87" i="150"/>
  <c r="D87" i="150" s="1"/>
  <c r="E86" i="150"/>
  <c r="D86" i="150" s="1"/>
  <c r="E85" i="150"/>
  <c r="D85" i="150" s="1"/>
  <c r="E84" i="150"/>
  <c r="D84" i="150" s="1"/>
  <c r="E83" i="150"/>
  <c r="D83" i="150" s="1"/>
  <c r="E82" i="150"/>
  <c r="D82" i="150" s="1"/>
  <c r="E81" i="150"/>
  <c r="D81" i="150" s="1"/>
  <c r="E80" i="150"/>
  <c r="D80" i="150" s="1"/>
  <c r="E79" i="150"/>
  <c r="D79" i="150" s="1"/>
  <c r="E78" i="150"/>
  <c r="D78" i="150" s="1"/>
  <c r="E77" i="150"/>
  <c r="D77" i="150" s="1"/>
  <c r="E76" i="150"/>
  <c r="D76" i="150" s="1"/>
  <c r="E75" i="150"/>
  <c r="D75" i="150" s="1"/>
  <c r="E74" i="150"/>
  <c r="D74" i="150" s="1"/>
  <c r="E73" i="150"/>
  <c r="D73" i="150" s="1"/>
  <c r="E72" i="150"/>
  <c r="D72" i="150" s="1"/>
  <c r="E71" i="150"/>
  <c r="D71" i="150" s="1"/>
  <c r="E70" i="150"/>
  <c r="D70" i="150" s="1"/>
  <c r="E69" i="150"/>
  <c r="D69" i="150" s="1"/>
  <c r="E68" i="150"/>
  <c r="D68" i="150" s="1"/>
  <c r="E67" i="150"/>
  <c r="D67" i="150" s="1"/>
  <c r="E66" i="150"/>
  <c r="D66" i="150" s="1"/>
  <c r="E65" i="150"/>
  <c r="D65" i="150" s="1"/>
  <c r="E64" i="150"/>
  <c r="D64" i="150" s="1"/>
  <c r="E63" i="150"/>
  <c r="D63" i="150" s="1"/>
  <c r="E62" i="150"/>
  <c r="D62" i="150" s="1"/>
  <c r="E61" i="150"/>
  <c r="D61" i="150" s="1"/>
  <c r="E60" i="150"/>
  <c r="D60" i="150" s="1"/>
  <c r="E59" i="150"/>
  <c r="D59" i="150"/>
  <c r="E58" i="150"/>
  <c r="D58" i="150" s="1"/>
  <c r="E57" i="150"/>
  <c r="D57" i="150" s="1"/>
  <c r="E56" i="150"/>
  <c r="D56" i="150" s="1"/>
  <c r="E55" i="150"/>
  <c r="D55" i="150" s="1"/>
  <c r="E54" i="150"/>
  <c r="D54" i="150" s="1"/>
  <c r="E53" i="150"/>
  <c r="D53" i="150" s="1"/>
  <c r="E52" i="150"/>
  <c r="D52" i="150" s="1"/>
  <c r="E51" i="150"/>
  <c r="D51" i="150" s="1"/>
  <c r="E50" i="150"/>
  <c r="D50" i="150" s="1"/>
  <c r="E49" i="150"/>
  <c r="D49" i="150" s="1"/>
  <c r="E48" i="150"/>
  <c r="D48" i="150" s="1"/>
  <c r="E47" i="150"/>
  <c r="D47" i="150" s="1"/>
  <c r="E46" i="150"/>
  <c r="D46" i="150" s="1"/>
  <c r="E45" i="150"/>
  <c r="D45" i="150" s="1"/>
  <c r="E44" i="150"/>
  <c r="D44" i="150" s="1"/>
  <c r="E43" i="150"/>
  <c r="D43" i="150" s="1"/>
  <c r="E42" i="150"/>
  <c r="D42" i="150" s="1"/>
  <c r="E41" i="150"/>
  <c r="D41" i="150" s="1"/>
  <c r="E40" i="150"/>
  <c r="D40" i="150" s="1"/>
  <c r="E39" i="150"/>
  <c r="D39" i="150" s="1"/>
  <c r="E38" i="150"/>
  <c r="D38" i="150" s="1"/>
  <c r="E37" i="150"/>
  <c r="D37" i="150" s="1"/>
  <c r="E36" i="150"/>
  <c r="D36" i="150" s="1"/>
  <c r="E35" i="150"/>
  <c r="D35" i="150" s="1"/>
  <c r="E34" i="150"/>
  <c r="D34" i="150" s="1"/>
  <c r="E33" i="150"/>
  <c r="D33" i="150" s="1"/>
  <c r="E32" i="150"/>
  <c r="D32" i="150" s="1"/>
  <c r="E31" i="150"/>
  <c r="D31" i="150" s="1"/>
  <c r="E30" i="150"/>
  <c r="D30" i="150" s="1"/>
  <c r="E29" i="150"/>
  <c r="D29" i="150" s="1"/>
  <c r="E28" i="150"/>
  <c r="D28" i="150" s="1"/>
  <c r="E27" i="150"/>
  <c r="D27" i="150" s="1"/>
  <c r="E26" i="150"/>
  <c r="D26" i="150" s="1"/>
  <c r="E25" i="150"/>
  <c r="D25" i="150" s="1"/>
  <c r="E24" i="150"/>
  <c r="D24" i="150" s="1"/>
  <c r="E23" i="150"/>
  <c r="D23" i="150" s="1"/>
  <c r="E22" i="150"/>
  <c r="D22" i="150" s="1"/>
  <c r="E21" i="150"/>
  <c r="D21" i="150" s="1"/>
  <c r="E20" i="150"/>
  <c r="D20" i="150" s="1"/>
  <c r="E19" i="150"/>
  <c r="D19" i="150" s="1"/>
  <c r="E18" i="150"/>
  <c r="D18" i="150" s="1"/>
  <c r="E17" i="150"/>
  <c r="D17" i="150" s="1"/>
  <c r="E16" i="150"/>
  <c r="D16" i="150" s="1"/>
  <c r="E15" i="150"/>
  <c r="D15" i="150" s="1"/>
  <c r="E14" i="150"/>
  <c r="D14" i="150" s="1"/>
  <c r="E13" i="150"/>
  <c r="D13" i="150" s="1"/>
  <c r="E12" i="150"/>
  <c r="D12" i="150" s="1"/>
  <c r="E11" i="150"/>
  <c r="D11" i="150" s="1"/>
  <c r="E10" i="150"/>
  <c r="D10" i="150" s="1"/>
  <c r="E9" i="150"/>
  <c r="D9" i="150" s="1"/>
  <c r="E8" i="150"/>
  <c r="D8" i="150" s="1"/>
  <c r="E7" i="150"/>
  <c r="D7" i="150" s="1"/>
  <c r="E6" i="150"/>
  <c r="D6" i="150" l="1"/>
  <c r="E145" i="150"/>
  <c r="E147" i="150" s="1"/>
  <c r="J8" i="151"/>
  <c r="J10" i="151" s="1"/>
  <c r="D11" i="151"/>
  <c r="D8" i="151" s="1"/>
  <c r="D10" i="151" s="1"/>
  <c r="D142" i="150"/>
  <c r="D145" i="150" l="1"/>
  <c r="D147" i="150" s="1"/>
  <c r="P95" i="143" l="1"/>
  <c r="G95" i="143"/>
  <c r="D95" i="143"/>
  <c r="E94" i="143"/>
  <c r="K94" i="143" s="1"/>
  <c r="K93" i="143"/>
  <c r="Y92" i="143"/>
  <c r="Y8" i="143" s="1"/>
  <c r="Y6" i="143" s="1"/>
  <c r="K92" i="143"/>
  <c r="D91" i="143"/>
  <c r="K91" i="143" s="1"/>
  <c r="P90" i="143"/>
  <c r="G90" i="143"/>
  <c r="K90" i="143" s="1"/>
  <c r="P89" i="143"/>
  <c r="G89" i="143"/>
  <c r="E89" i="143"/>
  <c r="D89" i="143"/>
  <c r="K88" i="143"/>
  <c r="K87" i="143"/>
  <c r="K86" i="143"/>
  <c r="K85" i="143"/>
  <c r="G84" i="143"/>
  <c r="D84" i="143"/>
  <c r="K83" i="143"/>
  <c r="K82" i="143"/>
  <c r="K81" i="143"/>
  <c r="K80" i="143"/>
  <c r="K79" i="143"/>
  <c r="K78" i="143"/>
  <c r="K77" i="143"/>
  <c r="K76" i="143"/>
  <c r="K75" i="143"/>
  <c r="K74" i="143"/>
  <c r="G73" i="143"/>
  <c r="D73" i="143"/>
  <c r="K72" i="143"/>
  <c r="K71" i="143"/>
  <c r="G70" i="143"/>
  <c r="E70" i="143"/>
  <c r="K69" i="143"/>
  <c r="P68" i="143"/>
  <c r="G68" i="143"/>
  <c r="K68" i="143" s="1"/>
  <c r="K67" i="143"/>
  <c r="G66" i="143"/>
  <c r="E66" i="143"/>
  <c r="D65" i="143"/>
  <c r="K65" i="143" s="1"/>
  <c r="K64" i="143"/>
  <c r="E63" i="143"/>
  <c r="D63" i="143"/>
  <c r="K62" i="143"/>
  <c r="K61" i="143"/>
  <c r="K60" i="143"/>
  <c r="K59" i="143"/>
  <c r="K58" i="143"/>
  <c r="K57" i="143"/>
  <c r="K56" i="143"/>
  <c r="K55" i="143"/>
  <c r="P54" i="143"/>
  <c r="K54" i="143"/>
  <c r="K53" i="143"/>
  <c r="K52" i="143"/>
  <c r="K51" i="143"/>
  <c r="P50" i="143"/>
  <c r="K50" i="143"/>
  <c r="D49" i="143"/>
  <c r="K49" i="143" s="1"/>
  <c r="K48" i="143"/>
  <c r="P47" i="143"/>
  <c r="K47" i="143"/>
  <c r="K46" i="143"/>
  <c r="P45" i="143"/>
  <c r="G45" i="143"/>
  <c r="K45" i="143" s="1"/>
  <c r="P44" i="143"/>
  <c r="K44" i="143"/>
  <c r="K43" i="143"/>
  <c r="K42" i="143"/>
  <c r="K41" i="143"/>
  <c r="K40" i="143"/>
  <c r="K39" i="143"/>
  <c r="P38" i="143"/>
  <c r="K38" i="143"/>
  <c r="K37" i="143"/>
  <c r="P36" i="143"/>
  <c r="G36" i="143"/>
  <c r="D36" i="143"/>
  <c r="P35" i="143"/>
  <c r="G35" i="143"/>
  <c r="K35" i="143" s="1"/>
  <c r="K34" i="143"/>
  <c r="K33" i="143"/>
  <c r="G32" i="143"/>
  <c r="D32" i="143"/>
  <c r="P31" i="143"/>
  <c r="G31" i="143"/>
  <c r="K31" i="143" s="1"/>
  <c r="G30" i="143"/>
  <c r="K30" i="143" s="1"/>
  <c r="G29" i="143"/>
  <c r="K29" i="143" s="1"/>
  <c r="G28" i="143"/>
  <c r="K28" i="143" s="1"/>
  <c r="G27" i="143"/>
  <c r="K27" i="143" s="1"/>
  <c r="K26" i="143"/>
  <c r="P25" i="143"/>
  <c r="J25" i="143"/>
  <c r="J8" i="143" s="1"/>
  <c r="J6" i="143" s="1"/>
  <c r="I25" i="143"/>
  <c r="I8" i="143" s="1"/>
  <c r="I6" i="143" s="1"/>
  <c r="H25" i="143"/>
  <c r="G24" i="143"/>
  <c r="K24" i="143" s="1"/>
  <c r="K23" i="143"/>
  <c r="G22" i="143"/>
  <c r="K22" i="143" s="1"/>
  <c r="K21" i="143"/>
  <c r="G20" i="143"/>
  <c r="K20" i="143" s="1"/>
  <c r="K19" i="143"/>
  <c r="K18" i="143"/>
  <c r="K17" i="143"/>
  <c r="K16" i="143"/>
  <c r="G15" i="143"/>
  <c r="D15" i="143"/>
  <c r="P14" i="143"/>
  <c r="G14" i="143"/>
  <c r="D14" i="143"/>
  <c r="K13" i="143"/>
  <c r="K12" i="143"/>
  <c r="P11" i="143"/>
  <c r="K11" i="143"/>
  <c r="K10" i="143"/>
  <c r="K9" i="143"/>
  <c r="X8" i="143"/>
  <c r="X6" i="143" s="1"/>
  <c r="W8" i="143"/>
  <c r="W6" i="143" s="1"/>
  <c r="V8" i="143"/>
  <c r="V6" i="143" s="1"/>
  <c r="U8" i="143"/>
  <c r="U6" i="143" s="1"/>
  <c r="T8" i="143"/>
  <c r="T6" i="143" s="1"/>
  <c r="S8" i="143"/>
  <c r="S6" i="143" s="1"/>
  <c r="R8" i="143"/>
  <c r="R6" i="143" s="1"/>
  <c r="Q8" i="143"/>
  <c r="Q6" i="143" s="1"/>
  <c r="O8" i="143"/>
  <c r="O6" i="143" s="1"/>
  <c r="N8" i="143"/>
  <c r="N6" i="143" s="1"/>
  <c r="M8" i="143"/>
  <c r="M6" i="143" s="1"/>
  <c r="L8" i="143"/>
  <c r="L6" i="143" s="1"/>
  <c r="F8" i="143"/>
  <c r="F6" i="143" s="1"/>
  <c r="K63" i="143" l="1"/>
  <c r="K66" i="143"/>
  <c r="K32" i="143"/>
  <c r="K95" i="143"/>
  <c r="K73" i="143"/>
  <c r="K15" i="143"/>
  <c r="K70" i="143"/>
  <c r="K84" i="143"/>
  <c r="H8" i="143"/>
  <c r="H6" i="143" s="1"/>
  <c r="K36" i="143"/>
  <c r="K89" i="143"/>
  <c r="K14" i="143"/>
  <c r="G25" i="143"/>
  <c r="K25" i="143" s="1"/>
  <c r="E8" i="143"/>
  <c r="E6" i="143" s="1"/>
  <c r="P8" i="143"/>
  <c r="P6" i="143" s="1"/>
  <c r="D8" i="143"/>
  <c r="D6" i="143" s="1"/>
  <c r="K8" i="143" l="1"/>
  <c r="K6" i="143" s="1"/>
  <c r="G8" i="143"/>
  <c r="G6" i="143" s="1"/>
  <c r="F8" i="134" l="1"/>
  <c r="G8" i="134"/>
  <c r="H8" i="134"/>
  <c r="I8" i="134"/>
  <c r="J8" i="134"/>
  <c r="E8" i="134"/>
</calcChain>
</file>

<file path=xl/sharedStrings.xml><?xml version="1.0" encoding="utf-8"?>
<sst xmlns="http://schemas.openxmlformats.org/spreadsheetml/2006/main" count="5853" uniqueCount="2343">
  <si>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</si>
  <si>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</si>
  <si>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</si>
  <si>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</si>
  <si>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</si>
  <si>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</si>
  <si>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</si>
  <si>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</si>
  <si>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</si>
  <si>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</si>
  <si>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</si>
  <si>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</si>
  <si>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</si>
  <si>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</si>
  <si>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</si>
  <si>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</si>
  <si>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</si>
  <si>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</si>
  <si>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</si>
  <si>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</si>
  <si>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</si>
  <si>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</si>
  <si>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</si>
  <si>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</si>
  <si>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</si>
  <si>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</si>
  <si>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</si>
  <si>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</si>
  <si>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</si>
  <si>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</si>
  <si>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</si>
  <si>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</si>
  <si>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</si>
  <si>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</si>
  <si>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</si>
  <si>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</si>
  <si>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</si>
  <si>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</si>
  <si>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</si>
  <si>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</si>
  <si>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</si>
  <si>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</si>
  <si>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</si>
  <si>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</si>
  <si>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</si>
  <si>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</si>
  <si>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</si>
  <si>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</si>
  <si>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</si>
  <si>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</si>
  <si>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</si>
  <si>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</si>
  <si>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</si>
  <si>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</si>
  <si>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</si>
  <si>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</si>
  <si>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</si>
  <si>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</si>
  <si>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</si>
  <si>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</si>
  <si>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</si>
  <si>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</si>
  <si>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</si>
  <si>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</si>
  <si>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</si>
  <si>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</si>
  <si>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</si>
  <si>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</si>
  <si>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</si>
  <si>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</si>
  <si>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</si>
  <si>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</si>
  <si>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</si>
  <si>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</si>
  <si>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</si>
  <si>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</si>
  <si>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</si>
  <si>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</si>
  <si>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</si>
  <si>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</si>
  <si>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</si>
  <si>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</si>
  <si>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</si>
  <si>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</si>
  <si>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</si>
  <si>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</si>
  <si>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</si>
  <si>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</si>
  <si>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</si>
  <si>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</si>
  <si>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</si>
  <si>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</si>
  <si>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</si>
  <si>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</si>
  <si>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</si>
  <si>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</si>
  <si>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</si>
  <si>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</si>
  <si>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</si>
  <si>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</si>
  <si>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</si>
  <si>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</si>
  <si>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</si>
  <si>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</si>
  <si>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</si>
  <si>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</si>
  <si>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</si>
  <si>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</si>
  <si>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</si>
  <si>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</si>
  <si>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</si>
  <si>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</si>
  <si>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</si>
  <si>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</si>
  <si>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</si>
  <si>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</si>
  <si>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</si>
  <si>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</si>
  <si>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</si>
  <si>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</si>
  <si>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</si>
  <si>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</si>
  <si>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</si>
  <si>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</si>
  <si>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</si>
  <si>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</si>
  <si>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</si>
  <si>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</si>
  <si>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</si>
  <si>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</si>
  <si>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</si>
  <si>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</si>
  <si>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</si>
  <si>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</si>
  <si>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</si>
  <si>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</si>
  <si>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</si>
  <si>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</si>
  <si>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</si>
  <si>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</si>
  <si>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</si>
  <si>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</si>
  <si>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</si>
  <si>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</si>
  <si>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</si>
  <si>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</si>
  <si>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</si>
  <si>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</si>
  <si>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</si>
  <si>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</si>
  <si>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</si>
  <si>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</si>
  <si>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</si>
  <si>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</si>
  <si>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</si>
  <si>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</si>
  <si>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</si>
  <si>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</si>
  <si>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</si>
  <si>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</si>
  <si>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</si>
  <si>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</si>
  <si>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</si>
  <si>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</si>
  <si>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</si>
  <si>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</si>
  <si>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</si>
  <si>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</si>
  <si>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</si>
  <si>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</si>
  <si>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</si>
  <si>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</si>
  <si>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</si>
  <si>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</si>
  <si>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</si>
  <si>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</si>
  <si>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</si>
  <si>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</si>
  <si>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</si>
  <si>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</si>
  <si>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</si>
  <si>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</si>
  <si>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</si>
  <si>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</si>
  <si>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</si>
  <si>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</si>
  <si>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</si>
  <si>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</si>
  <si>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</si>
  <si>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</si>
  <si>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</si>
  <si>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</si>
  <si>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</si>
  <si>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</si>
  <si>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</si>
  <si>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</si>
  <si>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</si>
  <si>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</si>
  <si>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</si>
  <si>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</si>
  <si>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</si>
  <si>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</si>
  <si>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</si>
  <si>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</si>
  <si>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</si>
  <si>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</si>
  <si>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</si>
  <si>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</si>
  <si>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</si>
  <si>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</si>
  <si>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</si>
  <si>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</si>
  <si>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</si>
  <si>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</si>
  <si>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</si>
  <si>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</si>
  <si>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</si>
  <si>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</si>
  <si>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</si>
  <si>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</si>
  <si>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</si>
  <si>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021200</t>
  </si>
  <si>
    <t>ГБУЗ РБ ГДКБ №17 г.Уфа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</si>
  <si>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</si>
  <si>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</si>
  <si>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</si>
  <si>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</si>
  <si>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</si>
  <si>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</si>
  <si>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</si>
  <si>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</si>
  <si>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</si>
  <si>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</si>
  <si>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</si>
  <si>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</si>
  <si>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</si>
  <si>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</si>
  <si>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</si>
  <si>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</si>
  <si>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</si>
  <si>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</si>
  <si>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</si>
  <si>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</si>
  <si>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</si>
  <si>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</si>
  <si>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</si>
  <si>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</si>
  <si>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</si>
  <si>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</si>
  <si>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</si>
  <si>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</si>
  <si>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</si>
  <si>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</si>
  <si>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</si>
  <si>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</si>
  <si>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</si>
  <si>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</si>
  <si>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</si>
  <si>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</si>
  <si>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</si>
  <si>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</si>
  <si>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</si>
  <si>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</si>
  <si>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</si>
  <si>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</si>
  <si>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</si>
  <si>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</si>
  <si>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</si>
  <si>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</si>
  <si>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</si>
  <si>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</si>
  <si>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</si>
  <si>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</si>
  <si>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</si>
  <si>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</si>
  <si>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</si>
  <si>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</si>
  <si>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</si>
  <si>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</si>
  <si>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</si>
  <si>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</si>
  <si>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</si>
  <si>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</si>
  <si>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</si>
  <si>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</si>
  <si>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</si>
  <si>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</si>
  <si>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</si>
  <si>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</si>
  <si>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</si>
  <si>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</si>
  <si>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</si>
  <si>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</si>
  <si>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</si>
  <si>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</si>
  <si>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 xml:space="preserve">Плановые объемы СМП   на  2022 год. </t>
  </si>
  <si>
    <t>Реестровый номер</t>
  </si>
  <si>
    <t>Наименование медицинской организации</t>
  </si>
  <si>
    <t xml:space="preserve">Уровень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</si>
  <si>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</si>
  <si>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</si>
  <si>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</si>
  <si>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</si>
  <si>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</si>
  <si>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</si>
  <si>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</si>
  <si>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</si>
  <si>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</si>
  <si>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</si>
  <si>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</si>
  <si>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</si>
  <si>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</si>
  <si>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</si>
  <si>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</si>
  <si>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</si>
  <si>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</si>
  <si>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</si>
  <si>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</si>
  <si>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</si>
  <si>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</si>
  <si>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</si>
  <si>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</si>
  <si>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</si>
  <si>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</si>
  <si>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</si>
  <si>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</si>
  <si>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</si>
  <si>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</si>
  <si>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</si>
  <si>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</si>
  <si>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</si>
  <si>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</si>
  <si>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</si>
  <si>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</si>
  <si>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</si>
  <si>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</si>
  <si>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</si>
  <si>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</si>
  <si>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</si>
  <si>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</si>
  <si>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</si>
  <si>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</si>
  <si>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</si>
  <si>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</si>
  <si>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</si>
  <si>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</si>
  <si>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</si>
  <si>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</si>
  <si>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</si>
  <si>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</si>
  <si>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</si>
  <si>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</si>
  <si>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</si>
  <si>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</si>
  <si>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</si>
  <si>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</si>
  <si>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</si>
  <si>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</si>
  <si>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</si>
  <si>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</si>
  <si>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</si>
  <si>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</si>
  <si>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</si>
  <si>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</si>
  <si>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</si>
  <si>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</si>
  <si>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</si>
  <si>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</si>
  <si>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</si>
  <si>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</si>
  <si>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</si>
  <si>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</si>
  <si>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</si>
  <si>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</si>
  <si>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</si>
  <si>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</si>
  <si>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</si>
  <si>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</si>
  <si>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</si>
  <si>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</si>
  <si>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</si>
  <si>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</si>
  <si>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</si>
  <si>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</si>
  <si>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</si>
  <si>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</si>
  <si>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</si>
  <si>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</si>
  <si>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</si>
  <si>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</si>
  <si>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</si>
  <si>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</si>
  <si>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</si>
  <si>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</si>
  <si>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</si>
  <si>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</si>
  <si>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</si>
  <si>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</si>
  <si>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</si>
  <si>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</si>
  <si>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</si>
  <si>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</si>
  <si>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</si>
  <si>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</si>
  <si>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</si>
  <si>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</si>
  <si>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</si>
  <si>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</si>
  <si>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</si>
  <si>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</si>
  <si>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</si>
  <si>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</si>
  <si>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</si>
  <si>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</si>
  <si>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</si>
  <si>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</si>
  <si>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</si>
  <si>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</si>
  <si>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</si>
  <si>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</si>
  <si>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</si>
  <si>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</si>
  <si>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</si>
  <si>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</si>
  <si>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</si>
  <si>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</si>
  <si>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</si>
  <si>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</si>
  <si>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</si>
  <si>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</si>
  <si>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</si>
  <si>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</si>
  <si>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</si>
  <si>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</si>
  <si>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</si>
  <si>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</si>
  <si>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</si>
  <si>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</si>
  <si>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</si>
  <si>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</si>
  <si>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</si>
  <si>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</si>
  <si>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</si>
  <si>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</si>
  <si>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</si>
  <si>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</si>
  <si>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</si>
  <si>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</si>
  <si>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</si>
  <si>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</si>
  <si>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</si>
  <si>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</si>
  <si>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</si>
  <si>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</si>
  <si>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</si>
  <si>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</si>
  <si>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</si>
  <si>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</si>
  <si>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</si>
  <si>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</si>
  <si>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</si>
  <si>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</si>
  <si>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</si>
  <si>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</si>
  <si>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</si>
  <si>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</si>
  <si>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</si>
  <si>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</si>
  <si>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</si>
  <si>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</si>
  <si>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</si>
  <si>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</si>
  <si>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</si>
  <si>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</si>
  <si>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</si>
  <si>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</si>
  <si>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</si>
  <si>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</si>
  <si>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</si>
  <si>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</si>
  <si>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</si>
  <si>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</si>
  <si>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</si>
  <si>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</si>
  <si>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</si>
  <si>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</si>
  <si>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</si>
  <si>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</si>
  <si>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</si>
  <si>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</si>
  <si>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</si>
  <si>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</si>
  <si>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</si>
  <si>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</si>
  <si>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</si>
  <si>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</si>
  <si>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</si>
  <si>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</si>
  <si>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ГБУЗ РКВД № 1</t>
  </si>
  <si>
    <t>ГБУ  "УфНИИ ГБ АН РБ"</t>
  </si>
  <si>
    <t>ГБУЗ РБ ГБ                              г. Кумертау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</si>
  <si>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</si>
  <si>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</si>
  <si>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</si>
  <si>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</si>
  <si>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</si>
  <si>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</si>
  <si>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Стоимость ВМП (руб.)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</si>
  <si>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</si>
  <si>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</si>
  <si>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</si>
  <si>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</si>
  <si>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</si>
  <si>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</si>
  <si>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</si>
  <si>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</si>
  <si>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</si>
  <si>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</si>
  <si>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</si>
  <si>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</si>
  <si>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</si>
  <si>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</si>
  <si>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</si>
  <si>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</si>
  <si>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</si>
  <si>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</si>
  <si>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</si>
  <si>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</si>
  <si>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</si>
  <si>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</si>
  <si>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ИТОГО с МТР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</si>
  <si>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</si>
  <si>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</si>
  <si>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</si>
  <si>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</si>
  <si>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</si>
  <si>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</si>
  <si>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</si>
  <si>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</si>
  <si>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</si>
  <si>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</si>
  <si>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</si>
  <si>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</si>
  <si>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</si>
  <si>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</si>
  <si>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</si>
  <si>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</si>
  <si>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</si>
  <si>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</si>
  <si>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</si>
  <si>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</si>
  <si>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</si>
  <si>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</si>
  <si>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</si>
  <si>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</si>
  <si>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</si>
  <si>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</si>
  <si>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</si>
  <si>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</si>
  <si>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</si>
  <si>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</si>
  <si>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</si>
  <si>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</si>
  <si>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</si>
  <si>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</si>
  <si>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</si>
  <si>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</si>
  <si>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</si>
  <si>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</si>
  <si>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</si>
  <si>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</si>
  <si>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</si>
  <si>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</si>
  <si>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</si>
  <si>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</si>
  <si>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</si>
  <si>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</si>
  <si>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</si>
  <si>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</si>
  <si>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</si>
  <si>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</si>
  <si>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</si>
  <si>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</si>
  <si>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</si>
  <si>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</si>
  <si>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</si>
  <si>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</si>
  <si>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</si>
  <si>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</si>
  <si>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</si>
  <si>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</si>
  <si>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</si>
  <si>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</si>
  <si>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</si>
  <si>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первичное посещение</t>
  </si>
  <si>
    <t>динамическое наблюдение (комплексное)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</si>
  <si>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</si>
  <si>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</si>
  <si>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</si>
  <si>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</si>
  <si>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</si>
  <si>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</si>
  <si>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</si>
  <si>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</si>
  <si>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</si>
  <si>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</si>
  <si>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</si>
  <si>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</si>
  <si>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</si>
  <si>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</si>
  <si>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</si>
  <si>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</si>
  <si>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эхокардиография</t>
  </si>
  <si>
    <t>КТ легких</t>
  </si>
  <si>
    <t>проведение дуплексного сканирования вен нижних конечностей</t>
  </si>
  <si>
    <t>2</t>
  </si>
  <si>
    <t>ФГБУЗ МСЧ 142 ФМБА России</t>
  </si>
  <si>
    <t>ЧУЗ  "РЖД-Медицина" г. Стерлитамак</t>
  </si>
  <si>
    <t>ЧУЗ "КБ "РЖД-Медицина" г. Уфа</t>
  </si>
  <si>
    <t>норматив</t>
  </si>
  <si>
    <t>числ-ть</t>
  </si>
  <si>
    <t xml:space="preserve">объемы 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</si>
  <si>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</si>
  <si>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</si>
  <si>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</si>
  <si>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</si>
  <si>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</si>
  <si>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</si>
  <si>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</si>
  <si>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</si>
  <si>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</si>
  <si>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</si>
  <si>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</si>
  <si>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</si>
  <si>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</si>
  <si>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</si>
  <si>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</si>
  <si>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</si>
  <si>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</si>
  <si>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</si>
  <si>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</si>
  <si>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</si>
  <si>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</si>
  <si>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</si>
  <si>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</si>
  <si>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</si>
  <si>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</si>
  <si>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</si>
  <si>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</si>
  <si>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</si>
  <si>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</si>
  <si>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</si>
  <si>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</si>
  <si>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</si>
  <si>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</si>
  <si>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</si>
  <si>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</si>
  <si>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</si>
  <si>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</si>
  <si>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</si>
  <si>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</si>
  <si>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</si>
  <si>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</si>
  <si>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</si>
  <si>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</si>
  <si>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</si>
  <si>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</si>
  <si>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</si>
  <si>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</si>
  <si>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</si>
  <si>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</si>
  <si>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</si>
  <si>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</si>
  <si>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</si>
  <si>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</si>
  <si>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</si>
  <si>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</si>
  <si>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</si>
  <si>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</si>
  <si>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</si>
  <si>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</si>
  <si>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</si>
  <si>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</si>
  <si>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</si>
  <si>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</si>
  <si>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</si>
  <si>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</si>
  <si>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</si>
  <si>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</si>
  <si>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</si>
  <si>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</si>
  <si>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</si>
  <si>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</si>
  <si>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</si>
  <si>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</si>
  <si>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</si>
  <si>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</si>
  <si>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</si>
  <si>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</si>
  <si>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</si>
  <si>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</si>
  <si>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</si>
  <si>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</si>
  <si>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</si>
  <si>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</si>
  <si>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</si>
  <si>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</si>
  <si>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</si>
  <si>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</si>
  <si>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</si>
  <si>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</si>
  <si>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</si>
  <si>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</si>
  <si>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</si>
  <si>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</si>
  <si>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</si>
  <si>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</si>
  <si>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</si>
  <si>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</si>
  <si>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</si>
  <si>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</si>
  <si>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</si>
  <si>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</si>
  <si>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</si>
  <si>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</si>
  <si>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</si>
  <si>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</si>
  <si>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</si>
  <si>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</si>
  <si>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</si>
  <si>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</si>
  <si>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</si>
  <si>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</si>
  <si>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</si>
  <si>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</si>
  <si>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</si>
  <si>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</si>
  <si>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</si>
  <si>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</si>
  <si>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</si>
  <si>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</si>
  <si>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</si>
  <si>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</si>
  <si>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</si>
  <si>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</si>
  <si>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</si>
  <si>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</si>
  <si>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</si>
  <si>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</si>
  <si>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</si>
  <si>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</si>
  <si>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</si>
  <si>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</si>
  <si>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</si>
  <si>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</si>
  <si>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</si>
  <si>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</si>
  <si>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</si>
  <si>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</si>
  <si>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</si>
  <si>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</si>
  <si>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</si>
  <si>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</si>
  <si>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</si>
  <si>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</si>
  <si>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</si>
  <si>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</si>
  <si>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</si>
  <si>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</si>
  <si>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</si>
  <si>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</si>
  <si>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</si>
  <si>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</si>
  <si>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</si>
  <si>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</si>
  <si>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</si>
  <si>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</si>
  <si>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</si>
  <si>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</si>
  <si>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</si>
  <si>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</si>
  <si>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</si>
  <si>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</si>
  <si>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</si>
  <si>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</si>
  <si>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</si>
  <si>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</si>
  <si>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</si>
  <si>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</si>
  <si>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</si>
  <si>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</si>
  <si>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</si>
  <si>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</si>
  <si>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</si>
  <si>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</si>
  <si>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</si>
  <si>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</si>
  <si>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</si>
  <si>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</si>
  <si>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</si>
  <si>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</si>
  <si>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</si>
  <si>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</si>
  <si>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</si>
  <si>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</si>
  <si>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</si>
  <si>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</si>
  <si>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</si>
  <si>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</si>
  <si>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</si>
  <si>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</si>
  <si>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</si>
  <si>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</si>
  <si>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</si>
  <si>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</si>
  <si>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</si>
  <si>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</si>
  <si>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</si>
  <si>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</si>
  <si>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</si>
  <si>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</si>
  <si>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</si>
  <si>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</si>
  <si>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</si>
  <si>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</si>
  <si>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</si>
  <si>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</si>
  <si>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</si>
  <si>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</si>
  <si>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</si>
  <si>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</si>
  <si>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</si>
  <si>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</si>
  <si>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</si>
  <si>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</si>
  <si>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</si>
  <si>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</si>
  <si>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</si>
  <si>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</si>
  <si>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</si>
  <si>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</si>
  <si>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</si>
  <si>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</si>
  <si>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</si>
  <si>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</si>
  <si>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</si>
  <si>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</si>
  <si>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</si>
  <si>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</si>
  <si>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</si>
  <si>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</si>
  <si>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</si>
  <si>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</si>
  <si>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</si>
  <si>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</si>
  <si>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</si>
  <si>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</si>
  <si>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</si>
  <si>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</si>
  <si>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</si>
  <si>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</si>
  <si>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</si>
  <si>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</si>
  <si>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</si>
  <si>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</si>
  <si>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</si>
  <si>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</si>
  <si>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</si>
  <si>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</si>
  <si>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</si>
  <si>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</si>
  <si>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</si>
  <si>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</si>
  <si>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</si>
  <si>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</si>
  <si>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</si>
  <si>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</si>
  <si>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</si>
  <si>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</si>
  <si>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</si>
  <si>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</si>
  <si>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</si>
  <si>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</si>
  <si>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</si>
  <si>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</si>
  <si>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</si>
  <si>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</si>
  <si>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</si>
  <si>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</si>
  <si>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</si>
  <si>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</si>
  <si>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</si>
  <si>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</si>
  <si>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</si>
  <si>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</si>
  <si>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</si>
  <si>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</si>
  <si>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</si>
  <si>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</si>
  <si>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</si>
  <si>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</si>
  <si>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</si>
  <si>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</si>
  <si>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</si>
  <si>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</si>
  <si>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</si>
  <si>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</si>
  <si>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</si>
  <si>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</si>
  <si>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</si>
  <si>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</si>
  <si>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</si>
  <si>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</si>
  <si>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</si>
  <si>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</si>
  <si>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</si>
  <si>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</si>
  <si>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</si>
  <si>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</si>
  <si>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</si>
  <si>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</si>
  <si>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</si>
  <si>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</si>
  <si>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</si>
  <si>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</si>
  <si>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</si>
  <si>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</si>
  <si>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</si>
  <si>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</si>
  <si>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</si>
  <si>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</si>
  <si>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</si>
  <si>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</si>
  <si>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</si>
  <si>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</si>
  <si>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</si>
  <si>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</si>
  <si>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</si>
  <si>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</si>
  <si>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</si>
  <si>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</si>
  <si>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</si>
  <si>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</si>
  <si>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</si>
  <si>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</si>
  <si>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</si>
  <si>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</si>
  <si>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</si>
  <si>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</si>
  <si>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</si>
  <si>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</si>
  <si>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</si>
  <si>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</si>
  <si>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</si>
  <si>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</si>
  <si>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</si>
  <si>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</si>
  <si>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</si>
  <si>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</si>
  <si>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</si>
  <si>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</si>
  <si>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</si>
  <si>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</si>
  <si>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</si>
  <si>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</si>
  <si>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</si>
  <si>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</si>
  <si>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</si>
  <si>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</si>
  <si>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</si>
  <si>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</si>
  <si>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</si>
  <si>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</si>
  <si>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</si>
  <si>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</si>
  <si>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</si>
  <si>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</si>
  <si>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</si>
  <si>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</si>
  <si>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</si>
  <si>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</si>
  <si>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</si>
  <si>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</si>
  <si>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</si>
  <si>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</si>
  <si>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</si>
  <si>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</si>
  <si>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</si>
  <si>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</si>
  <si>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</si>
  <si>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</si>
  <si>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</si>
  <si>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</si>
  <si>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</si>
  <si>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</si>
  <si>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</si>
  <si>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</si>
  <si>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</si>
  <si>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</si>
  <si>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</si>
  <si>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</si>
  <si>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</si>
  <si>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</si>
  <si>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</si>
  <si>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</si>
  <si>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</si>
  <si>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</si>
  <si>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</si>
  <si>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</si>
  <si>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</si>
  <si>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</si>
  <si>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</si>
  <si>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</si>
  <si>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</si>
  <si>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</si>
  <si>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</si>
  <si>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</si>
  <si>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</si>
  <si>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</si>
  <si>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</si>
  <si>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</si>
  <si>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</si>
  <si>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</si>
  <si>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</si>
  <si>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</si>
  <si>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</si>
  <si>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</si>
  <si>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</si>
  <si>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</si>
  <si>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</si>
  <si>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</si>
  <si>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</si>
  <si>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</si>
  <si>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</si>
  <si>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</si>
  <si>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</si>
  <si>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</si>
  <si>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</si>
  <si>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</si>
  <si>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</si>
  <si>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</si>
  <si>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</si>
  <si>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</si>
  <si>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</si>
  <si>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</si>
  <si>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</si>
  <si>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</si>
  <si>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</si>
  <si>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</si>
  <si>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</si>
  <si>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</si>
  <si>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</si>
  <si>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</si>
  <si>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</si>
  <si>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</si>
  <si>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</si>
  <si>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</si>
  <si>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</si>
  <si>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</si>
  <si>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</si>
  <si>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</si>
  <si>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</si>
  <si>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</si>
  <si>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</si>
  <si>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</si>
  <si>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</si>
  <si>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</si>
  <si>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</si>
  <si>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</si>
  <si>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</si>
  <si>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</si>
  <si>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</si>
  <si>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</si>
  <si>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</si>
  <si>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</si>
  <si>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</si>
  <si>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</si>
  <si>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</si>
  <si>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</si>
  <si>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</si>
  <si>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</si>
  <si>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</si>
  <si>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</si>
  <si>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</si>
  <si>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</si>
  <si>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</si>
  <si>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</si>
  <si>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</si>
  <si>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</si>
  <si>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</si>
  <si>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</si>
  <si>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</si>
  <si>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</si>
  <si>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</si>
  <si>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</si>
  <si>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</si>
  <si>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</si>
  <si>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</si>
  <si>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</si>
  <si>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</si>
  <si>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</si>
  <si>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</si>
  <si>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</si>
  <si>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</si>
  <si>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</si>
  <si>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</si>
  <si>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</si>
  <si>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</si>
  <si>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</si>
  <si>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</si>
  <si>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</si>
  <si>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</si>
  <si>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</si>
  <si>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</si>
  <si>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</si>
  <si>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</si>
  <si>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</si>
  <si>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</si>
  <si>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</si>
  <si>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</si>
  <si>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</si>
  <si>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</si>
  <si>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</si>
  <si>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</si>
  <si>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</si>
  <si>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</si>
  <si>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</si>
  <si>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</si>
  <si>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</si>
  <si>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</si>
  <si>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</si>
  <si>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</si>
  <si>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</si>
  <si>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</si>
  <si>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</si>
  <si>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</si>
  <si>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</si>
  <si>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</si>
  <si>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</si>
  <si>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</si>
  <si>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</si>
  <si>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</si>
  <si>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</si>
  <si>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</si>
  <si>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</si>
  <si>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</si>
  <si>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</si>
  <si>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</si>
  <si>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</si>
  <si>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</si>
  <si>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</si>
  <si>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</si>
  <si>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</si>
  <si>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</si>
  <si>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</si>
  <si>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</si>
  <si>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</si>
  <si>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</si>
  <si>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</si>
  <si>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</si>
  <si>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</si>
  <si>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</si>
  <si>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</si>
  <si>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</si>
  <si>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</si>
  <si>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</si>
  <si>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</si>
  <si>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</si>
  <si>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</si>
  <si>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</si>
  <si>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</si>
  <si>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</si>
  <si>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</si>
  <si>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</si>
  <si>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</si>
  <si>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</si>
  <si>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</si>
  <si>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</si>
  <si>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</si>
  <si>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</si>
  <si>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</si>
  <si>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</si>
  <si>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</si>
  <si>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</si>
  <si>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</si>
  <si>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</si>
  <si>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</si>
  <si>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</si>
  <si>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</si>
  <si>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</si>
  <si>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</si>
  <si>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</si>
  <si>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</si>
  <si>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</si>
  <si>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</si>
  <si>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</si>
  <si>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</si>
  <si>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</si>
  <si>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</si>
  <si>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</si>
  <si>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</si>
  <si>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</si>
  <si>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</si>
  <si>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</si>
  <si>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</si>
  <si>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</si>
  <si>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</si>
  <si>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</si>
  <si>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</si>
  <si>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</si>
  <si>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</si>
  <si>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</si>
  <si>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</si>
  <si>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</si>
  <si>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</si>
  <si>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</si>
  <si>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</si>
  <si>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</si>
  <si>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</si>
  <si>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</si>
  <si>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</si>
  <si>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</si>
  <si>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</si>
  <si>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</si>
  <si>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</si>
  <si>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</si>
  <si>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</si>
  <si>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</si>
  <si>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</si>
  <si>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</si>
  <si>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</si>
  <si>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</si>
  <si>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</si>
  <si>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</si>
  <si>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</si>
  <si>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</si>
  <si>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</si>
  <si>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</si>
  <si>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</si>
  <si>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</si>
  <si>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</si>
  <si>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</si>
  <si>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</si>
  <si>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</si>
  <si>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</si>
  <si>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</si>
  <si>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</si>
  <si>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</si>
  <si>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</si>
  <si>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</si>
  <si>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</si>
  <si>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</si>
  <si>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</si>
  <si>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</si>
  <si>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</si>
  <si>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</si>
  <si>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</si>
  <si>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</si>
  <si>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</si>
  <si>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</si>
  <si>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</si>
  <si>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</si>
  <si>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</si>
  <si>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</si>
  <si>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</si>
  <si>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</si>
  <si>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</si>
  <si>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</si>
  <si>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</si>
  <si>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</si>
  <si>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</si>
  <si>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</si>
  <si>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</si>
  <si>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</si>
  <si>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</si>
  <si>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</si>
  <si>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</si>
  <si>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</si>
  <si>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</si>
  <si>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</si>
  <si>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</si>
  <si>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</si>
  <si>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</si>
  <si>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</si>
  <si>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</si>
  <si>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</si>
  <si>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</si>
  <si>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</si>
  <si>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</si>
  <si>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</si>
  <si>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</si>
  <si>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</si>
  <si>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</si>
  <si>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</si>
  <si>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</si>
  <si>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</si>
  <si>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</si>
  <si>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</si>
  <si>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</si>
  <si>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</si>
  <si>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</si>
  <si>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</si>
  <si>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</si>
  <si>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</si>
  <si>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</si>
  <si>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</si>
  <si>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</si>
  <si>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</si>
  <si>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</si>
  <si>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</si>
  <si>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</si>
  <si>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</si>
  <si>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</si>
  <si>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</si>
  <si>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</si>
  <si>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</si>
  <si>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</si>
  <si>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</si>
  <si>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</si>
  <si>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</si>
  <si>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</si>
  <si>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</si>
  <si>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</si>
  <si>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</si>
  <si>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</si>
  <si>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</si>
  <si>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</si>
  <si>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</si>
  <si>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</si>
  <si>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</si>
  <si>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</si>
  <si>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</si>
  <si>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</si>
  <si>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</si>
  <si>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</si>
  <si>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</si>
  <si>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</si>
  <si>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</si>
  <si>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</si>
  <si>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</si>
  <si>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</si>
  <si>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</si>
  <si>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</si>
  <si>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</si>
  <si>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</si>
  <si>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</si>
  <si>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</si>
  <si>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</si>
  <si>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</si>
  <si>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</si>
  <si>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</si>
  <si>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</si>
  <si>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</si>
  <si>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</si>
  <si>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</si>
  <si>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</si>
  <si>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</si>
  <si>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</si>
  <si>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</si>
  <si>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</si>
  <si>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</si>
  <si>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</si>
  <si>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</si>
  <si>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</si>
  <si>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</si>
  <si>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</si>
  <si>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</si>
  <si>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</si>
  <si>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</si>
  <si>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</si>
  <si>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</si>
  <si>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</si>
  <si>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</si>
  <si>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</si>
  <si>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</si>
  <si>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</si>
  <si>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</si>
  <si>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</si>
  <si>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</si>
  <si>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</si>
  <si>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</si>
  <si>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</si>
  <si>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</si>
  <si>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</si>
  <si>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</si>
  <si>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</si>
  <si>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</si>
  <si>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</si>
  <si>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</si>
  <si>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</si>
  <si>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</si>
  <si>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</si>
  <si>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</si>
  <si>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</si>
  <si>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</si>
  <si>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</si>
  <si>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</si>
  <si>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</si>
  <si>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</si>
  <si>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</si>
  <si>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</si>
  <si>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</si>
  <si>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</si>
  <si>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</si>
  <si>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</si>
  <si>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</si>
  <si>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</si>
  <si>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</si>
  <si>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</si>
  <si>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</si>
  <si>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</si>
  <si>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</si>
  <si>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</si>
  <si>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</si>
  <si>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</si>
  <si>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</si>
  <si>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</si>
  <si>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</si>
  <si>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</si>
  <si>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</si>
  <si>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</si>
  <si>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</si>
  <si>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</si>
  <si>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</si>
  <si>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</si>
  <si>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</si>
  <si>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</si>
  <si>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</si>
  <si>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</si>
  <si>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</si>
  <si>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</si>
  <si>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</si>
  <si>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</si>
  <si>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</si>
  <si>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</si>
  <si>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</si>
  <si>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</si>
  <si>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</si>
  <si>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</si>
  <si>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</si>
  <si>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</si>
  <si>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</si>
  <si>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</si>
  <si>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</si>
  <si>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</si>
  <si>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</si>
  <si>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</si>
  <si>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</si>
  <si>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</si>
  <si>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</si>
  <si>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</si>
  <si>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</si>
  <si>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</si>
  <si>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</si>
  <si>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</si>
  <si>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</si>
  <si>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</si>
  <si>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</si>
  <si>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</si>
  <si>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</si>
  <si>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</si>
  <si>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</si>
  <si>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</si>
  <si>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</si>
  <si>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</si>
  <si>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</si>
  <si>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</si>
  <si>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</si>
  <si>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</si>
  <si>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</si>
  <si>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</si>
  <si>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</si>
  <si>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</si>
  <si>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</si>
  <si>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</si>
  <si>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</si>
  <si>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</si>
  <si>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</si>
  <si>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</si>
  <si>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</si>
  <si>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</si>
  <si>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</si>
  <si>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</si>
  <si>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</si>
  <si>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</si>
  <si>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</si>
  <si>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</si>
  <si>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</si>
  <si>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</si>
  <si>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</si>
  <si>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</si>
  <si>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</si>
  <si>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</si>
  <si>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</si>
  <si>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</si>
  <si>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</si>
  <si>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</si>
  <si>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</si>
  <si>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</si>
  <si>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</si>
  <si>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</si>
  <si>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</si>
  <si>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</si>
  <si>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</si>
  <si>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</si>
  <si>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</si>
  <si>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</si>
  <si>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</si>
  <si>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</si>
  <si>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</si>
  <si>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</si>
  <si>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</si>
  <si>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</si>
  <si>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</si>
  <si>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</si>
  <si>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</si>
  <si>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</si>
  <si>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</si>
  <si>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</si>
  <si>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</si>
  <si>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</si>
  <si>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</si>
  <si>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</si>
  <si>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</si>
  <si>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</si>
  <si>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</si>
  <si>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</si>
  <si>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</si>
  <si>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</si>
  <si>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</si>
  <si>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</si>
  <si>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</si>
  <si>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</si>
  <si>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</si>
  <si>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</si>
  <si>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</si>
  <si>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</si>
  <si>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</si>
  <si>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</si>
  <si>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</si>
  <si>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</si>
  <si>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</si>
  <si>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</si>
  <si>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</si>
  <si>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</si>
  <si>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</si>
  <si>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</si>
  <si>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</si>
  <si>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</si>
  <si>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</si>
  <si>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</si>
  <si>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</si>
  <si>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</si>
  <si>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</si>
  <si>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</si>
  <si>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</si>
  <si>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</si>
  <si>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</si>
  <si>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</si>
  <si>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</si>
  <si>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</si>
  <si>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</si>
  <si>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</si>
  <si>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</si>
  <si>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</si>
  <si>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</si>
  <si>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</si>
  <si>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</si>
  <si>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</si>
  <si>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</si>
  <si>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</si>
  <si>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</si>
  <si>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</si>
  <si>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</si>
  <si>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</si>
  <si>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</si>
  <si>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</si>
  <si>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</si>
  <si>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</si>
  <si>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</si>
  <si>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</si>
  <si>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</si>
  <si>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</si>
  <si>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</si>
  <si>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</si>
  <si>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</si>
  <si>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</si>
  <si>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</si>
  <si>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</si>
  <si>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</si>
  <si>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</si>
  <si>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</si>
  <si>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</si>
  <si>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</si>
  <si>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</si>
  <si>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</si>
  <si>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</si>
  <si>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</si>
  <si>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</si>
  <si>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</si>
  <si>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</si>
  <si>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</si>
  <si>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</si>
  <si>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</si>
  <si>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</si>
  <si>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</si>
  <si>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</si>
  <si>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</si>
  <si>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</si>
  <si>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</si>
  <si>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</si>
  <si>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</si>
  <si>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</si>
  <si>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</si>
  <si>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</si>
  <si>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</si>
  <si>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</si>
  <si>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</si>
  <si>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</si>
  <si>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</si>
  <si>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</si>
  <si>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</si>
  <si>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</si>
  <si>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</si>
  <si>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</si>
  <si>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</si>
  <si>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</si>
  <si>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</si>
  <si>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</si>
  <si>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</si>
  <si>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</si>
  <si>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</si>
  <si>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</si>
  <si>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</si>
  <si>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</si>
  <si>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</si>
  <si>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</si>
  <si>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</si>
  <si>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</si>
  <si>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</si>
  <si>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</si>
  <si>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</si>
  <si>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</si>
  <si>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</si>
  <si>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</si>
  <si>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</si>
  <si>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</si>
  <si>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</si>
  <si>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</si>
  <si>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</si>
  <si>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</si>
  <si>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</si>
  <si>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</si>
  <si>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</si>
  <si>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</si>
  <si>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</si>
  <si>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</si>
  <si>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</si>
  <si>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</si>
  <si>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</si>
  <si>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</si>
  <si>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</si>
  <si>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</si>
  <si>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</si>
  <si>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</si>
  <si>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</si>
  <si>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</si>
  <si>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</si>
  <si>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</si>
  <si>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</si>
  <si>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</si>
  <si>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</si>
  <si>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</si>
  <si>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</si>
  <si>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</si>
  <si>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</si>
  <si>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</si>
  <si>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</si>
  <si>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</si>
  <si>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</si>
  <si>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</si>
  <si>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</si>
  <si>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</si>
  <si>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</si>
  <si>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</si>
  <si>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</si>
  <si>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</si>
  <si>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</si>
  <si>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</si>
  <si>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</si>
  <si>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</si>
  <si>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</si>
  <si>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</si>
  <si>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</si>
  <si>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</si>
  <si>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</si>
  <si>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</si>
  <si>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</si>
  <si>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</si>
  <si>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</si>
  <si>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</si>
  <si>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</si>
  <si>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</si>
  <si>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</si>
  <si>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</si>
  <si>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</si>
  <si>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</si>
  <si>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</si>
  <si>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</si>
  <si>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</si>
  <si>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</si>
  <si>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</si>
  <si>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</si>
  <si>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</si>
  <si>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</si>
  <si>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</si>
  <si>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</si>
  <si>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</si>
  <si>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</si>
  <si>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</si>
  <si>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</si>
  <si>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</si>
  <si>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</si>
  <si>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</si>
  <si>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</si>
  <si>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</si>
  <si>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</si>
  <si>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</si>
  <si>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</si>
  <si>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</si>
  <si>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</si>
  <si>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</si>
  <si>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</si>
  <si>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</si>
  <si>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</si>
  <si>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</si>
  <si>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</si>
  <si>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</si>
  <si>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</si>
  <si>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</si>
  <si>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</si>
  <si>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</si>
  <si>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</si>
  <si>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</si>
  <si>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</si>
  <si>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</si>
  <si>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</si>
  <si>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</si>
  <si>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</si>
  <si>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</si>
  <si>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</si>
  <si>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</si>
  <si>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</si>
  <si>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</si>
  <si>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</si>
  <si>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</si>
  <si>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</si>
  <si>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</si>
  <si>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</si>
  <si>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</si>
  <si>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</si>
  <si>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</si>
  <si>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</si>
  <si>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</si>
  <si>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</si>
  <si>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</si>
  <si>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</si>
  <si>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</si>
  <si>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</si>
  <si>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</si>
  <si>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</si>
  <si>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</si>
  <si>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</si>
  <si>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</si>
  <si>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</si>
  <si>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</si>
  <si>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</si>
  <si>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</si>
  <si>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</si>
  <si>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</si>
  <si>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</si>
  <si>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</si>
  <si>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</si>
  <si>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</si>
  <si>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</si>
  <si>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</si>
  <si>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</si>
  <si>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</si>
  <si>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</si>
  <si>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</si>
  <si>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</si>
  <si>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</si>
  <si>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</si>
  <si>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</si>
  <si>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</si>
  <si>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</si>
  <si>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</si>
  <si>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</si>
  <si>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</si>
  <si>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</si>
  <si>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</si>
  <si>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</si>
  <si>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</si>
  <si>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</si>
  <si>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</si>
  <si>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</si>
  <si>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</si>
  <si>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</si>
  <si>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</si>
  <si>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</si>
  <si>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</si>
  <si>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</si>
  <si>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</si>
  <si>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</si>
  <si>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</si>
  <si>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</si>
  <si>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</si>
  <si>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</si>
  <si>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</si>
  <si>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</si>
  <si>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</si>
  <si>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</si>
  <si>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</si>
  <si>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</si>
  <si>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</si>
  <si>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</si>
  <si>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</si>
  <si>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</si>
  <si>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</si>
  <si>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</si>
  <si>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</si>
  <si>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</si>
  <si>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</si>
  <si>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</si>
  <si>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</si>
  <si>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</si>
  <si>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</si>
  <si>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</si>
  <si>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</si>
  <si>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</si>
  <si>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</si>
  <si>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</si>
  <si>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</si>
  <si>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</si>
  <si>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</si>
  <si>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</si>
  <si>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</si>
  <si>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</si>
  <si>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</si>
  <si>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</si>
  <si>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</si>
  <si>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</si>
  <si>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</si>
  <si>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</si>
  <si>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</si>
  <si>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</si>
  <si>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</si>
  <si>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</si>
  <si>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</si>
  <si>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</si>
  <si>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</si>
  <si>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</si>
  <si>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</si>
  <si>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</si>
  <si>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</si>
  <si>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</si>
  <si>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</si>
  <si>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</si>
  <si>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</si>
  <si>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</si>
  <si>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</si>
  <si>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</si>
  <si>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</si>
  <si>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</si>
  <si>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</si>
  <si>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</si>
  <si>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</si>
  <si>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</si>
  <si>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</si>
  <si>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</si>
  <si>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</si>
  <si>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</si>
  <si>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</si>
  <si>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</si>
  <si>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</si>
  <si>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</si>
  <si>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</si>
  <si>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</si>
  <si>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</si>
  <si>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</si>
  <si>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</si>
  <si>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</si>
  <si>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</si>
  <si>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</si>
  <si>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</si>
  <si>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</si>
  <si>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</si>
  <si>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</si>
  <si>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</si>
  <si>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</si>
  <si>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</si>
  <si>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</si>
  <si>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</si>
  <si>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</si>
  <si>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</si>
  <si>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</si>
  <si>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</si>
  <si>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</si>
  <si>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</si>
  <si>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</si>
  <si>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</si>
  <si>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</si>
  <si>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</si>
  <si>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</si>
  <si>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</si>
  <si>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</si>
  <si>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</si>
  <si>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</si>
  <si>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</si>
  <si>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</si>
  <si>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</si>
  <si>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</si>
  <si>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</si>
  <si>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</si>
  <si>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</si>
  <si>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</si>
  <si>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</si>
  <si>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</si>
  <si>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</si>
  <si>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</si>
  <si>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</si>
  <si>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</si>
  <si>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</si>
  <si>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</si>
  <si>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</si>
  <si>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</si>
  <si>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</si>
  <si>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</si>
  <si>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</si>
  <si>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</si>
  <si>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</si>
  <si>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</si>
  <si>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</si>
  <si>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</si>
  <si>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</si>
  <si>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</si>
  <si>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</si>
  <si>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</si>
  <si>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</si>
  <si>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</si>
  <si>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</si>
  <si>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</si>
  <si>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</si>
  <si>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</si>
  <si>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</si>
  <si>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</si>
  <si>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</si>
  <si>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</si>
  <si>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</si>
  <si>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</si>
  <si>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</si>
  <si>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</si>
  <si>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</si>
  <si>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</si>
  <si>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</si>
  <si>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</si>
  <si>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</si>
  <si>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</si>
  <si>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</si>
  <si>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</si>
  <si>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</si>
  <si>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</si>
  <si>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</si>
  <si>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</si>
  <si>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</si>
  <si>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</si>
  <si>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</si>
  <si>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</si>
  <si>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</si>
  <si>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</si>
  <si>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</si>
  <si>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</si>
  <si>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</si>
  <si>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</si>
  <si>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</si>
  <si>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</si>
  <si>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</si>
  <si>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</si>
  <si>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</si>
  <si>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</si>
  <si>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</si>
  <si>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</si>
  <si>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</si>
  <si>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</si>
  <si>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</si>
  <si>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</si>
  <si>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</si>
  <si>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</si>
  <si>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</si>
  <si>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</si>
  <si>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</si>
  <si>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</si>
  <si>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</si>
  <si>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</si>
  <si>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</si>
  <si>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</si>
  <si>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</si>
  <si>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</si>
  <si>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</si>
  <si>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</si>
  <si>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</si>
  <si>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</si>
  <si>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</si>
  <si>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</si>
  <si>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</si>
  <si>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</si>
  <si>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</si>
  <si>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</si>
  <si>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</si>
  <si>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</si>
  <si>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</si>
  <si>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</si>
  <si>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</si>
  <si>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</si>
  <si>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</si>
  <si>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</si>
  <si>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</si>
  <si>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</si>
  <si>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</si>
  <si>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</si>
  <si>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</si>
  <si>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</si>
  <si>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</si>
  <si>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</si>
  <si>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</si>
  <si>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</si>
  <si>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</si>
  <si>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</si>
  <si>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</si>
  <si>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</si>
  <si>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</si>
  <si>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</si>
  <si>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</si>
  <si>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</si>
  <si>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</si>
  <si>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</si>
  <si>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</si>
  <si>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</si>
  <si>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</si>
  <si>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</si>
  <si>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</si>
  <si>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</si>
  <si>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</si>
  <si>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</si>
  <si>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</si>
  <si>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</si>
  <si>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</si>
  <si>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</si>
  <si>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</si>
  <si>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</si>
  <si>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</si>
  <si>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</si>
  <si>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</si>
  <si>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</si>
  <si>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</si>
  <si>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</si>
  <si>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</si>
  <si>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</si>
  <si>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</si>
  <si>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</si>
  <si>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</si>
  <si>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</si>
  <si>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</si>
  <si>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</si>
  <si>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</si>
  <si>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</si>
  <si>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</si>
  <si>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</si>
  <si>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</si>
  <si>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</si>
  <si>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</si>
  <si>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</si>
  <si>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</si>
  <si>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</si>
  <si>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</si>
  <si>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</si>
  <si>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</si>
  <si>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</si>
  <si>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</si>
  <si>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</si>
  <si>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</si>
  <si>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</si>
  <si>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</si>
  <si>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</si>
  <si>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</si>
  <si>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</si>
  <si>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</si>
  <si>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</si>
  <si>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</si>
  <si>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</si>
  <si>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</si>
  <si>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</si>
  <si>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</si>
  <si>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</si>
  <si>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</si>
  <si>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</si>
  <si>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</si>
  <si>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</si>
  <si>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</si>
  <si>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</si>
  <si>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</si>
  <si>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</si>
  <si>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</si>
  <si>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</si>
  <si>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</si>
  <si>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</si>
  <si>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</si>
  <si>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</si>
  <si>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</si>
  <si>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</si>
  <si>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</si>
  <si>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</si>
  <si>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</si>
  <si>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</si>
  <si>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</si>
  <si>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</si>
  <si>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</si>
  <si>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</si>
  <si>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</si>
  <si>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</si>
  <si>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</si>
  <si>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</si>
  <si>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</si>
  <si>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</si>
  <si>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</si>
  <si>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</si>
  <si>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</si>
  <si>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</si>
  <si>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</si>
  <si>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</si>
  <si>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</si>
  <si>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</si>
  <si>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</si>
  <si>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</si>
  <si>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</si>
  <si>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</si>
  <si>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</si>
  <si>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</si>
  <si>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</si>
  <si>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</si>
  <si>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</si>
  <si>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</si>
  <si>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</si>
  <si>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</si>
  <si>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</si>
  <si>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</si>
  <si>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</si>
  <si>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</si>
  <si>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</si>
  <si>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</si>
  <si>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</si>
  <si>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</si>
  <si>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</si>
  <si>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</si>
  <si>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</si>
  <si>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</si>
  <si>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</si>
  <si>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</si>
  <si>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</si>
  <si>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</si>
  <si>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</si>
  <si>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</si>
  <si>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</si>
  <si>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</si>
  <si>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</si>
  <si>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</si>
  <si>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</si>
  <si>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</si>
  <si>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</si>
  <si>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</si>
  <si>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</si>
  <si>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</si>
  <si>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 xml:space="preserve"> ФАП д.Марьевка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</si>
  <si>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</si>
  <si>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</si>
  <si>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</si>
  <si>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</si>
  <si>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</si>
  <si>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</si>
  <si>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</si>
  <si>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</si>
  <si>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</si>
  <si>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</si>
  <si>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</si>
  <si>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</si>
  <si>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</si>
  <si>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</si>
  <si>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</si>
  <si>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</si>
  <si>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</si>
  <si>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</si>
  <si>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</si>
  <si>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</si>
  <si>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</si>
  <si>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</si>
  <si>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</si>
  <si>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</si>
  <si>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</si>
  <si>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</si>
  <si>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</si>
  <si>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</si>
  <si>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</si>
  <si>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</si>
  <si>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</si>
  <si>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</si>
  <si>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</si>
  <si>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</si>
  <si>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</si>
  <si>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</si>
  <si>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</si>
  <si>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</si>
  <si>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</si>
  <si>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</si>
  <si>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</si>
  <si>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</si>
  <si>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</si>
  <si>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</si>
  <si>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</si>
  <si>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</si>
  <si>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</si>
  <si>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</si>
  <si>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</si>
  <si>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круглосуточного стационара ( случаи госпитализации)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</si>
  <si>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</si>
  <si>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</si>
  <si>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</si>
  <si>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</si>
  <si>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Объемы паллиативной медицинской помощи на 2022 год</t>
  </si>
  <si>
    <t>Посещения с профилактическими и иными целями в амбулаторных условиях</t>
  </si>
  <si>
    <t>Объем медицинской помощи  в условиях круглосуточного стационара</t>
  </si>
  <si>
    <t>Период с 01.01.2022 по 30.06.2023</t>
  </si>
  <si>
    <t>Период с 01.07.2022 по 31.12.2023</t>
  </si>
  <si>
    <t xml:space="preserve">Общий объем посещений </t>
  </si>
  <si>
    <t>Период с 01.01.2022 по 31.06.2023</t>
  </si>
  <si>
    <t xml:space="preserve">Общий объем койко-дней 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</si>
  <si>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</si>
  <si>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</si>
  <si>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(кол-во койко-дней)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</si>
  <si>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</si>
  <si>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</si>
  <si>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</si>
  <si>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</si>
  <si>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</si>
  <si>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</si>
  <si>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</si>
  <si>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</si>
  <si>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</si>
  <si>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</si>
  <si>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</si>
  <si>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</si>
  <si>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</si>
  <si>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</si>
  <si>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</si>
  <si>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</si>
  <si>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</si>
  <si>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</si>
  <si>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</si>
  <si>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</si>
  <si>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 Протокол 4-22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</si>
  <si>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</si>
  <si>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</si>
  <si>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</si>
  <si>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</si>
  <si>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Количество ФАП по состоянию на апрель 2022 года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</si>
  <si>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</si>
  <si>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</si>
  <si>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</si>
  <si>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</si>
  <si>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</si>
  <si>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</si>
  <si>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</si>
  <si>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</si>
  <si>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</si>
  <si>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</si>
  <si>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</si>
  <si>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</si>
  <si>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</si>
  <si>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</si>
  <si>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</si>
  <si>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</si>
  <si>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</si>
  <si>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</si>
  <si>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</si>
  <si>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</si>
  <si>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</si>
  <si>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</si>
  <si>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</si>
  <si>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</si>
  <si>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</si>
  <si>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</si>
  <si>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</si>
  <si>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</si>
  <si>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Юношевский ФАП
</t>
  </si>
  <si>
    <t xml:space="preserve">Михайловский ФАП
</t>
  </si>
  <si>
    <t xml:space="preserve">Чупаевский ФАП
</t>
  </si>
  <si>
    <t xml:space="preserve">Папановский ФАП
</t>
  </si>
  <si>
    <t xml:space="preserve">Мещеревский ФАП
</t>
  </si>
  <si>
    <t xml:space="preserve">Янгауловский ФАП
</t>
  </si>
  <si>
    <t xml:space="preserve">Куртутелевский ФАП
</t>
  </si>
  <si>
    <t xml:space="preserve">Писаревский ФАП
</t>
  </si>
  <si>
    <t xml:space="preserve">Урсаевский ФАП
</t>
  </si>
  <si>
    <t xml:space="preserve">Темняковский ФАП
</t>
  </si>
  <si>
    <t xml:space="preserve">Триключинский ФАП
</t>
  </si>
  <si>
    <t xml:space="preserve">Дюрменевский ФАП
</t>
  </si>
  <si>
    <t xml:space="preserve">Сарсазовский ФАП
</t>
  </si>
  <si>
    <t xml:space="preserve">Сактинский ФАП
</t>
  </si>
  <si>
    <t xml:space="preserve">Емметовский ФАП
</t>
  </si>
  <si>
    <t xml:space="preserve">Еремкинский ФАП
</t>
  </si>
  <si>
    <t xml:space="preserve">Нуреевский ФАП
</t>
  </si>
  <si>
    <t xml:space="preserve">Енахметовский ФАП
</t>
  </si>
  <si>
    <t xml:space="preserve">Юмадыбашевский ФАП
</t>
  </si>
  <si>
    <t xml:space="preserve">Чалмалинский ФАП
</t>
  </si>
  <si>
    <t xml:space="preserve">Кир-Тлявлинский ФАП
</t>
  </si>
  <si>
    <t xml:space="preserve">Дюртюлинский ФАП
</t>
  </si>
  <si>
    <t xml:space="preserve">Базгиевский ФАП
</t>
  </si>
  <si>
    <t xml:space="preserve">Наратастинский ФАП
</t>
  </si>
  <si>
    <t xml:space="preserve">ИТОГО </t>
  </si>
  <si>
    <t>Кол-во ФАП апрель                                 2022 года</t>
  </si>
  <si>
    <t>НСЗ</t>
  </si>
  <si>
    <t>Объем средств с учетом показателей результативности</t>
  </si>
  <si>
    <t>Резерв</t>
  </si>
  <si>
    <t>020228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</si>
  <si>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</si>
  <si>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</si>
  <si>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</si>
  <si>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Комплексные посещения  по профилю "Медицинская реабилитация"</t>
  </si>
  <si>
    <t xml:space="preserve">Количество комплексных посещений всего </t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</si>
  <si>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1 полугодие</t>
    </r>
  </si>
  <si>
    <t>ГБУЗ РБ ГКБ № 8  г. Уфа</t>
  </si>
  <si>
    <t>ГБУЗ РБ ГДКБ № 17 г. Уфа</t>
  </si>
  <si>
    <t>ГБУЗ РБ ГКБ                        № 18 г. Уфа</t>
  </si>
  <si>
    <t>ГБУЗ РБ РД № 3 г. Уфа</t>
  </si>
  <si>
    <t>ГБУЗ РБ ГБ  г. Нефтекакмск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</si>
</sst>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0.000"/>
    <numFmt numFmtId="172" formatCode="_-* #,##0\ _₽_-;\-* #,##0\ _₽_-;_-* &quot;-&quot;??\ _₽_-;_-@_-"/>
  </numFmts>
  <fonts count="1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 Cyr"/>
      <charset val="204"/>
    </font>
    <font>
      <b/>
      <sz val="10"/>
      <color rgb="FFFF0000"/>
      <name val="Times New Roman Cyr"/>
      <charset val="204"/>
    </font>
    <font>
      <b/>
      <i/>
      <sz val="10"/>
      <color theme="1"/>
      <name val="Times New Roman Cyr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8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1"/>
      <name val="Times New Roman Cyr"/>
      <charset val="204"/>
    </font>
    <font>
      <sz val="9"/>
      <color theme="1"/>
      <name val="Calibri"/>
      <family val="2"/>
      <scheme val="minor"/>
    </font>
    <font>
      <b/>
      <sz val="9"/>
      <color theme="1"/>
      <name val="Times New Roman Cyr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1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1316">
    <xf numFmtId="0" fontId="0" fillId="0" borderId="0"/>
    <xf numFmtId="0" fontId="54" fillId="0" borderId="0"/>
    <xf numFmtId="0" fontId="53" fillId="0" borderId="0"/>
    <xf numFmtId="0" fontId="53" fillId="0" borderId="0"/>
    <xf numFmtId="0" fontId="55" fillId="0" borderId="0"/>
    <xf numFmtId="164" fontId="55" fillId="0" borderId="0" applyFont="0" applyFill="0" applyBorder="0" applyAlignment="0" applyProtection="0"/>
    <xf numFmtId="0" fontId="55" fillId="0" borderId="0"/>
    <xf numFmtId="0" fontId="56" fillId="0" borderId="0"/>
    <xf numFmtId="0" fontId="56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7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6" fillId="0" borderId="0"/>
    <xf numFmtId="0" fontId="64" fillId="28" borderId="0" applyNumberFormat="0" applyBorder="0" applyAlignment="0" applyProtection="0"/>
    <xf numFmtId="0" fontId="64" fillId="29" borderId="0"/>
    <xf numFmtId="0" fontId="64" fillId="30" borderId="0" applyNumberFormat="0" applyBorder="0" applyAlignment="0" applyProtection="0"/>
    <xf numFmtId="0" fontId="64" fillId="31" borderId="0"/>
    <xf numFmtId="0" fontId="64" fillId="32" borderId="0" applyNumberFormat="0" applyBorder="0" applyAlignment="0" applyProtection="0"/>
    <xf numFmtId="0" fontId="64" fillId="33" borderId="0"/>
    <xf numFmtId="0" fontId="64" fillId="34" borderId="0" applyNumberFormat="0" applyBorder="0" applyAlignment="0" applyProtection="0"/>
    <xf numFmtId="0" fontId="64" fillId="35" borderId="0"/>
    <xf numFmtId="0" fontId="64" fillId="36" borderId="0" applyNumberFormat="0" applyBorder="0" applyAlignment="0" applyProtection="0"/>
    <xf numFmtId="0" fontId="64" fillId="37" borderId="0"/>
    <xf numFmtId="0" fontId="64" fillId="38" borderId="0" applyNumberFormat="0" applyBorder="0" applyAlignment="0" applyProtection="0"/>
    <xf numFmtId="0" fontId="64" fillId="39" borderId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64" fillId="40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64" fillId="29" borderId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4" fillId="38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4" fillId="31" borderId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64" fillId="41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64" fillId="33" borderId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64" fillId="4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64" fillId="35" borderId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64" fillId="36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64" fillId="37" borderId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64" fillId="38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64" fillId="39" borderId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/>
    <xf numFmtId="0" fontId="64" fillId="44" borderId="0" applyNumberFormat="0" applyBorder="0" applyAlignment="0" applyProtection="0"/>
    <xf numFmtId="0" fontId="64" fillId="45" borderId="0"/>
    <xf numFmtId="0" fontId="64" fillId="46" borderId="0" applyNumberFormat="0" applyBorder="0" applyAlignment="0" applyProtection="0"/>
    <xf numFmtId="0" fontId="64" fillId="47" borderId="0"/>
    <xf numFmtId="0" fontId="64" fillId="34" borderId="0" applyNumberFormat="0" applyBorder="0" applyAlignment="0" applyProtection="0"/>
    <xf numFmtId="0" fontId="64" fillId="35" borderId="0"/>
    <xf numFmtId="0" fontId="64" fillId="42" borderId="0" applyNumberFormat="0" applyBorder="0" applyAlignment="0" applyProtection="0"/>
    <xf numFmtId="0" fontId="64" fillId="43" borderId="0"/>
    <xf numFmtId="0" fontId="64" fillId="48" borderId="0" applyNumberFormat="0" applyBorder="0" applyAlignment="0" applyProtection="0"/>
    <xf numFmtId="0" fontId="64" fillId="49" borderId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4" fillId="50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4" fillId="43" borderId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4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4" fillId="45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64" fillId="51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64" fillId="47" borderId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64" fillId="50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64" fillId="35" borderId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64" fillId="4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64" fillId="43" borderId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4" fillId="38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4" fillId="49" borderId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5" fillId="52" borderId="0" applyNumberFormat="0" applyBorder="0" applyAlignment="0" applyProtection="0"/>
    <xf numFmtId="0" fontId="65" fillId="53" borderId="0"/>
    <xf numFmtId="0" fontId="65" fillId="44" borderId="0" applyNumberFormat="0" applyBorder="0" applyAlignment="0" applyProtection="0"/>
    <xf numFmtId="0" fontId="65" fillId="45" borderId="0"/>
    <xf numFmtId="0" fontId="65" fillId="46" borderId="0" applyNumberFormat="0" applyBorder="0" applyAlignment="0" applyProtection="0"/>
    <xf numFmtId="0" fontId="65" fillId="47" borderId="0"/>
    <xf numFmtId="0" fontId="65" fillId="54" borderId="0" applyNumberFormat="0" applyBorder="0" applyAlignment="0" applyProtection="0"/>
    <xf numFmtId="0" fontId="65" fillId="55" borderId="0"/>
    <xf numFmtId="0" fontId="65" fillId="56" borderId="0" applyNumberFormat="0" applyBorder="0" applyAlignment="0" applyProtection="0"/>
    <xf numFmtId="0" fontId="65" fillId="57" borderId="0"/>
    <xf numFmtId="0" fontId="65" fillId="58" borderId="0" applyNumberFormat="0" applyBorder="0" applyAlignment="0" applyProtection="0"/>
    <xf numFmtId="0" fontId="65" fillId="59" borderId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7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5" fillId="56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5" fillId="53" borderId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1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5" fillId="44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5" fillId="45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3" fillId="1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5" fillId="51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5" fillId="47" borderId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19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5" fillId="50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5" fillId="55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3" fillId="23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5" fillId="56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5" fillId="57" borderId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27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5" fillId="38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5" fillId="59" borderId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5" fillId="60" borderId="0" applyNumberFormat="0" applyBorder="0" applyAlignment="0" applyProtection="0"/>
    <xf numFmtId="0" fontId="65" fillId="61" borderId="0"/>
    <xf numFmtId="0" fontId="65" fillId="62" borderId="0" applyNumberFormat="0" applyBorder="0" applyAlignment="0" applyProtection="0"/>
    <xf numFmtId="0" fontId="65" fillId="63" borderId="0"/>
    <xf numFmtId="0" fontId="65" fillId="64" borderId="0" applyNumberFormat="0" applyBorder="0" applyAlignment="0" applyProtection="0"/>
    <xf numFmtId="0" fontId="65" fillId="65" borderId="0"/>
    <xf numFmtId="0" fontId="65" fillId="54" borderId="0" applyNumberFormat="0" applyBorder="0" applyAlignment="0" applyProtection="0"/>
    <xf numFmtId="0" fontId="65" fillId="55" borderId="0"/>
    <xf numFmtId="0" fontId="65" fillId="56" borderId="0" applyNumberFormat="0" applyBorder="0" applyAlignment="0" applyProtection="0"/>
    <xf numFmtId="0" fontId="65" fillId="57" borderId="0"/>
    <xf numFmtId="0" fontId="65" fillId="66" borderId="0" applyNumberFormat="0" applyBorder="0" applyAlignment="0" applyProtection="0"/>
    <xf numFmtId="0" fontId="65" fillId="67" borderId="0"/>
    <xf numFmtId="0" fontId="66" fillId="30" borderId="0" applyNumberFormat="0" applyBorder="0" applyAlignment="0" applyProtection="0"/>
    <xf numFmtId="0" fontId="66" fillId="31" borderId="0"/>
    <xf numFmtId="0" fontId="67" fillId="50" borderId="12" applyNumberFormat="0" applyAlignment="0" applyProtection="0"/>
    <xf numFmtId="0" fontId="67" fillId="68" borderId="12"/>
    <xf numFmtId="0" fontId="68" fillId="69" borderId="13" applyNumberFormat="0" applyAlignment="0" applyProtection="0"/>
    <xf numFmtId="0" fontId="68" fillId="70" borderId="0"/>
    <xf numFmtId="165" fontId="69" fillId="0" borderId="0"/>
    <xf numFmtId="166" fontId="69" fillId="0" borderId="0" applyBorder="0" applyProtection="0"/>
    <xf numFmtId="165" fontId="69" fillId="0" borderId="0" applyBorder="0" applyProtection="0"/>
    <xf numFmtId="165" fontId="69" fillId="0" borderId="0"/>
    <xf numFmtId="0" fontId="70" fillId="0" borderId="0"/>
    <xf numFmtId="0" fontId="70" fillId="0" borderId="0"/>
    <xf numFmtId="0" fontId="71" fillId="0" borderId="0" applyNumberFormat="0" applyFill="0" applyBorder="0" applyAlignment="0" applyProtection="0"/>
    <xf numFmtId="0" fontId="71" fillId="0" borderId="0"/>
    <xf numFmtId="0" fontId="72" fillId="32" borderId="0" applyNumberFormat="0" applyBorder="0" applyAlignment="0" applyProtection="0"/>
    <xf numFmtId="0" fontId="72" fillId="33" borderId="0"/>
    <xf numFmtId="0" fontId="73" fillId="0" borderId="0" applyNumberFormat="0" applyBorder="0" applyProtection="0">
      <alignment horizontal="center"/>
    </xf>
    <xf numFmtId="0" fontId="74" fillId="0" borderId="14" applyNumberFormat="0" applyFill="0" applyAlignment="0" applyProtection="0"/>
    <xf numFmtId="0" fontId="74" fillId="0" borderId="14"/>
    <xf numFmtId="0" fontId="75" fillId="0" borderId="15" applyNumberFormat="0" applyFill="0" applyAlignment="0" applyProtection="0"/>
    <xf numFmtId="0" fontId="75" fillId="0" borderId="15"/>
    <xf numFmtId="0" fontId="76" fillId="0" borderId="16" applyNumberFormat="0" applyFill="0" applyAlignment="0" applyProtection="0"/>
    <xf numFmtId="0" fontId="76" fillId="0" borderId="16"/>
    <xf numFmtId="0" fontId="76" fillId="0" borderId="0" applyNumberFormat="0" applyFill="0" applyBorder="0" applyAlignment="0" applyProtection="0"/>
    <xf numFmtId="0" fontId="76" fillId="0" borderId="0"/>
    <xf numFmtId="0" fontId="73" fillId="0" borderId="0" applyNumberFormat="0" applyBorder="0" applyProtection="0">
      <alignment horizontal="center" textRotation="90"/>
    </xf>
    <xf numFmtId="0" fontId="77" fillId="38" borderId="12" applyNumberFormat="0" applyAlignment="0" applyProtection="0"/>
    <xf numFmtId="0" fontId="77" fillId="39" borderId="12"/>
    <xf numFmtId="0" fontId="78" fillId="0" borderId="17" applyNumberFormat="0" applyFill="0" applyAlignment="0" applyProtection="0"/>
    <xf numFmtId="0" fontId="78" fillId="0" borderId="0"/>
    <xf numFmtId="0" fontId="79" fillId="51" borderId="0" applyNumberFormat="0" applyBorder="0" applyAlignment="0" applyProtection="0"/>
    <xf numFmtId="0" fontId="79" fillId="71" borderId="0"/>
    <xf numFmtId="0" fontId="55" fillId="41" borderId="18" applyNumberFormat="0" applyFont="0" applyAlignment="0" applyProtection="0"/>
    <xf numFmtId="0" fontId="80" fillId="72" borderId="18"/>
    <xf numFmtId="0" fontId="81" fillId="50" borderId="19" applyNumberFormat="0" applyAlignment="0" applyProtection="0"/>
    <xf numFmtId="0" fontId="81" fillId="68" borderId="19"/>
    <xf numFmtId="0" fontId="82" fillId="0" borderId="0" applyNumberFormat="0" applyBorder="0" applyProtection="0"/>
    <xf numFmtId="167" fontId="82" fillId="0" borderId="0" applyBorder="0" applyProtection="0"/>
    <xf numFmtId="0" fontId="83" fillId="0" borderId="0" applyNumberFormat="0" applyFill="0" applyBorder="0" applyAlignment="0" applyProtection="0"/>
    <xf numFmtId="0" fontId="83" fillId="0" borderId="0"/>
    <xf numFmtId="0" fontId="84" fillId="0" borderId="20" applyNumberFormat="0" applyFill="0" applyAlignment="0" applyProtection="0"/>
    <xf numFmtId="0" fontId="84" fillId="0" borderId="21"/>
    <xf numFmtId="0" fontId="85" fillId="0" borderId="0" applyNumberFormat="0" applyFill="0" applyBorder="0" applyAlignment="0" applyProtection="0"/>
    <xf numFmtId="0" fontId="85" fillId="0" borderId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3" fillId="4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5" fillId="56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5" fillId="61" borderId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3" fillId="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5" fillId="62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5" fillId="63" borderId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3" fillId="1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5" fillId="64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5" fillId="65" borderId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16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5" fillId="73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5" fillId="55" borderId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3" fillId="20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5" fillId="56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5" fillId="57" borderId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3" fillId="24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5" fillId="66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5" fillId="67" borderId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60" fillId="2" borderId="6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77" fillId="38" borderId="12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77" fillId="38" borderId="12" applyNumberFormat="0" applyAlignment="0" applyProtection="0"/>
    <xf numFmtId="0" fontId="77" fillId="38" borderId="12" applyNumberFormat="0" applyAlignment="0" applyProtection="0"/>
    <xf numFmtId="0" fontId="77" fillId="39" borderId="12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0" fillId="2" borderId="6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61" fillId="3" borderId="7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81" fillId="40" borderId="19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81" fillId="50" borderId="19" applyNumberFormat="0" applyAlignment="0" applyProtection="0"/>
    <xf numFmtId="0" fontId="81" fillId="50" borderId="19" applyNumberFormat="0" applyAlignment="0" applyProtection="0"/>
    <xf numFmtId="0" fontId="81" fillId="68" borderId="19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1" fillId="3" borderId="7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2" fillId="3" borderId="6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7" fillId="40" borderId="12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7" fillId="50" borderId="12" applyNumberFormat="0" applyAlignment="0" applyProtection="0"/>
    <xf numFmtId="0" fontId="67" fillId="50" borderId="12" applyNumberFormat="0" applyAlignment="0" applyProtection="0"/>
    <xf numFmtId="0" fontId="67" fillId="68" borderId="12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62" fillId="3" borderId="6" applyNumberFormat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58" fillId="0" borderId="3" applyNumberFormat="0" applyFill="0" applyAlignment="0" applyProtection="0"/>
    <xf numFmtId="0" fontId="74" fillId="0" borderId="14" applyNumberFormat="0" applyFill="0" applyAlignment="0" applyProtection="0"/>
    <xf numFmtId="0" fontId="74" fillId="0" borderId="14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88" fillId="0" borderId="22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74" fillId="0" borderId="14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59" fillId="0" borderId="4" applyNumberFormat="0" applyFill="0" applyAlignment="0" applyProtection="0"/>
    <xf numFmtId="0" fontId="75" fillId="0" borderId="15" applyNumberFormat="0" applyFill="0" applyAlignment="0" applyProtection="0"/>
    <xf numFmtId="0" fontId="75" fillId="0" borderId="15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89" fillId="0" borderId="15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75" fillId="0" borderId="15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59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4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90" fillId="0" borderId="5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76" fillId="0" borderId="16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1" fillId="0" borderId="23" applyNumberFormat="0" applyFill="0" applyAlignment="0" applyProtection="0"/>
    <xf numFmtId="0" fontId="76" fillId="0" borderId="16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5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76" fillId="0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92" fillId="0" borderId="11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84" fillId="0" borderId="20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84" fillId="0" borderId="24" applyNumberFormat="0" applyFill="0" applyAlignment="0" applyProtection="0"/>
    <xf numFmtId="0" fontId="84" fillId="0" borderId="21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2" fillId="0" borderId="11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93" fillId="0" borderId="9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68" fillId="69" borderId="13" applyNumberFormat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68" fillId="69" borderId="13" applyNumberFormat="0" applyAlignment="0" applyProtection="0"/>
    <xf numFmtId="0" fontId="68" fillId="70" borderId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3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96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79" fillId="51" borderId="0" applyNumberFormat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79" fillId="51" borderId="0" applyNumberFormat="0" applyBorder="0" applyAlignment="0" applyProtection="0"/>
    <xf numFmtId="0" fontId="79" fillId="71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2" fillId="0" borderId="0"/>
    <xf numFmtId="0" fontId="10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8" fillId="0" borderId="0"/>
    <xf numFmtId="0" fontId="56" fillId="0" borderId="0"/>
    <xf numFmtId="0" fontId="104" fillId="0" borderId="0"/>
    <xf numFmtId="0" fontId="55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5" fillId="0" borderId="0"/>
    <xf numFmtId="0" fontId="55" fillId="0" borderId="0"/>
    <xf numFmtId="0" fontId="55" fillId="0" borderId="0"/>
    <xf numFmtId="0" fontId="55" fillId="0" borderId="0"/>
    <xf numFmtId="0" fontId="97" fillId="0" borderId="0"/>
    <xf numFmtId="0" fontId="48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6" fillId="0" borderId="0"/>
    <xf numFmtId="0" fontId="5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5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57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8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48" fillId="0" borderId="0"/>
    <xf numFmtId="0" fontId="10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10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64" fillId="0" borderId="0"/>
    <xf numFmtId="0" fontId="6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5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7" fillId="0" borderId="0"/>
    <xf numFmtId="0" fontId="57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6" fillId="0" borderId="0"/>
    <xf numFmtId="0" fontId="104" fillId="0" borderId="0"/>
    <xf numFmtId="0" fontId="48" fillId="0" borderId="0"/>
    <xf numFmtId="0" fontId="97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7" fillId="0" borderId="0"/>
    <xf numFmtId="0" fontId="48" fillId="0" borderId="0"/>
    <xf numFmtId="0" fontId="48" fillId="0" borderId="0"/>
    <xf numFmtId="0" fontId="48" fillId="0" borderId="0"/>
    <xf numFmtId="0" fontId="97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66" fillId="30" borderId="0" applyNumberFormat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66" fillId="30" borderId="0" applyNumberFormat="0" applyBorder="0" applyAlignment="0" applyProtection="0"/>
    <xf numFmtId="0" fontId="66" fillId="31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41" borderId="18" applyNumberFormat="0" applyFont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41" borderId="18" applyNumberFormat="0" applyFont="0" applyAlignment="0" applyProtection="0"/>
    <xf numFmtId="0" fontId="56" fillId="41" borderId="18" applyNumberFormat="0" applyFont="0" applyAlignment="0" applyProtection="0"/>
    <xf numFmtId="0" fontId="97" fillId="41" borderId="18" applyNumberFormat="0" applyFont="0" applyAlignment="0" applyProtection="0"/>
    <xf numFmtId="0" fontId="55" fillId="41" borderId="18" applyNumberFormat="0" applyFont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0" fontId="55" fillId="0" borderId="10" applyNumberFormat="0" applyFont="0" applyFill="0" applyAlignment="0" applyProtection="0"/>
    <xf numFmtId="9" fontId="64" fillId="0" borderId="0" applyFont="0" applyFill="0" applyBorder="0" applyAlignment="0" applyProtection="0"/>
    <xf numFmtId="9" fontId="64" fillId="0" borderId="0" applyFill="0" applyBorder="0" applyAlignment="0" applyProtection="0"/>
    <xf numFmtId="9" fontId="9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109" fillId="0" borderId="8" applyNumberFormat="0" applyFill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78" fillId="0" borderId="17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78" fillId="0" borderId="17" applyNumberFormat="0" applyFill="0" applyAlignment="0" applyProtection="0"/>
    <xf numFmtId="0" fontId="78" fillId="0" borderId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09" fillId="0" borderId="8" applyNumberFormat="0" applyFill="0" applyAlignment="0" applyProtection="0"/>
    <xf numFmtId="0" fontId="110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64" fontId="5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105" fillId="0" borderId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105" fillId="0" borderId="0"/>
    <xf numFmtId="168" fontId="112" fillId="0" borderId="0"/>
    <xf numFmtId="164" fontId="64" fillId="0" borderId="0" applyFont="0" applyFill="0" applyBorder="0" applyAlignment="0" applyProtection="0"/>
    <xf numFmtId="166" fontId="105" fillId="0" borderId="0"/>
    <xf numFmtId="166" fontId="105" fillId="0" borderId="0" applyFill="0" applyBorder="0" applyAlignment="0" applyProtection="0"/>
    <xf numFmtId="166" fontId="105" fillId="0" borderId="0"/>
    <xf numFmtId="169" fontId="9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113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  <xf numFmtId="0" fontId="72" fillId="32" borderId="0" applyNumberFormat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72" fillId="32" borderId="0" applyNumberFormat="0" applyBorder="0" applyAlignment="0" applyProtection="0"/>
    <xf numFmtId="0" fontId="72" fillId="33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7" fillId="0" borderId="0"/>
    <xf numFmtId="0" fontId="47" fillId="0" borderId="0"/>
    <xf numFmtId="0" fontId="56" fillId="0" borderId="0"/>
    <xf numFmtId="0" fontId="64" fillId="28" borderId="0" applyNumberFormat="0" applyBorder="0" applyAlignment="0" applyProtection="0"/>
    <xf numFmtId="0" fontId="64" fillId="30" borderId="0" applyNumberFormat="0" applyBorder="0" applyAlignment="0" applyProtection="0"/>
    <xf numFmtId="0" fontId="64" fillId="32" borderId="0" applyNumberFormat="0" applyBorder="0" applyAlignment="0" applyProtection="0"/>
    <xf numFmtId="0" fontId="64" fillId="34" borderId="0" applyNumberFormat="0" applyBorder="0" applyAlignment="0" applyProtection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28" borderId="0" applyNumberFormat="0" applyBorder="0" applyAlignment="0" applyProtection="0"/>
    <xf numFmtId="0" fontId="64" fillId="30" borderId="0" applyNumberFormat="0" applyBorder="0" applyAlignment="0" applyProtection="0"/>
    <xf numFmtId="0" fontId="64" fillId="32" borderId="0" applyNumberFormat="0" applyBorder="0" applyAlignment="0" applyProtection="0"/>
    <xf numFmtId="0" fontId="64" fillId="34" borderId="0" applyNumberFormat="0" applyBorder="0" applyAlignment="0" applyProtection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42" borderId="0" applyNumberFormat="0" applyBorder="0" applyAlignment="0" applyProtection="0"/>
    <xf numFmtId="0" fontId="64" fillId="44" borderId="0" applyNumberFormat="0" applyBorder="0" applyAlignment="0" applyProtection="0"/>
    <xf numFmtId="0" fontId="64" fillId="46" borderId="0" applyNumberFormat="0" applyBorder="0" applyAlignment="0" applyProtection="0"/>
    <xf numFmtId="0" fontId="64" fillId="34" borderId="0" applyNumberFormat="0" applyBorder="0" applyAlignment="0" applyProtection="0"/>
    <xf numFmtId="0" fontId="64" fillId="42" borderId="0" applyNumberFormat="0" applyBorder="0" applyAlignment="0" applyProtection="0"/>
    <xf numFmtId="0" fontId="64" fillId="48" borderId="0" applyNumberFormat="0" applyBorder="0" applyAlignment="0" applyProtection="0"/>
    <xf numFmtId="0" fontId="64" fillId="42" borderId="0" applyNumberFormat="0" applyBorder="0" applyAlignment="0" applyProtection="0"/>
    <xf numFmtId="0" fontId="64" fillId="44" borderId="0" applyNumberFormat="0" applyBorder="0" applyAlignment="0" applyProtection="0"/>
    <xf numFmtId="0" fontId="64" fillId="46" borderId="0" applyNumberFormat="0" applyBorder="0" applyAlignment="0" applyProtection="0"/>
    <xf numFmtId="0" fontId="64" fillId="34" borderId="0" applyNumberFormat="0" applyBorder="0" applyAlignment="0" applyProtection="0"/>
    <xf numFmtId="0" fontId="64" fillId="42" borderId="0" applyNumberFormat="0" applyBorder="0" applyAlignment="0" applyProtection="0"/>
    <xf numFmtId="0" fontId="64" fillId="48" borderId="0" applyNumberFormat="0" applyBorder="0" applyAlignment="0" applyProtection="0"/>
    <xf numFmtId="0" fontId="8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64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64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56" fillId="0" borderId="0"/>
    <xf numFmtId="0" fontId="105" fillId="0" borderId="0"/>
    <xf numFmtId="0" fontId="97" fillId="0" borderId="0"/>
    <xf numFmtId="0" fontId="105" fillId="0" borderId="0"/>
    <xf numFmtId="0" fontId="55" fillId="0" borderId="0"/>
    <xf numFmtId="0" fontId="56" fillId="0" borderId="0"/>
    <xf numFmtId="0" fontId="56" fillId="0" borderId="0"/>
    <xf numFmtId="0" fontId="56" fillId="0" borderId="0"/>
    <xf numFmtId="166" fontId="105" fillId="0" borderId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2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55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04">
    <xf numFmtId="0" fontId="0" fillId="0" borderId="0" xfId="0"/>
    <xf numFmtId="49" fontId="116" fillId="74" borderId="1" xfId="18" applyNumberFormat="1" applyFont="1" applyFill="1" applyBorder="1" applyAlignment="1">
      <alignment horizontal="center" vertical="center" wrapText="1"/>
    </xf>
    <xf numFmtId="0" fontId="121" fillId="74" borderId="1" xfId="18" applyFont="1" applyFill="1" applyBorder="1" applyAlignment="1">
      <alignment horizontal="left" vertical="center" wrapText="1"/>
    </xf>
    <xf numFmtId="0" fontId="116" fillId="74" borderId="1" xfId="18" applyFont="1" applyFill="1" applyBorder="1" applyAlignment="1">
      <alignment horizontal="center" vertical="center" wrapText="1"/>
    </xf>
    <xf numFmtId="49" fontId="116" fillId="74" borderId="1" xfId="18" applyNumberFormat="1" applyFont="1" applyFill="1" applyBorder="1" applyAlignment="1">
      <alignment horizontal="center" vertical="center"/>
    </xf>
    <xf numFmtId="0" fontId="116" fillId="74" borderId="1" xfId="18" applyFont="1" applyFill="1" applyBorder="1" applyAlignment="1">
      <alignment horizontal="left" vertical="center" wrapText="1"/>
    </xf>
    <xf numFmtId="49" fontId="120" fillId="74" borderId="1" xfId="18" applyNumberFormat="1" applyFont="1" applyFill="1" applyBorder="1" applyAlignment="1">
      <alignment horizontal="center" vertical="center" wrapText="1"/>
    </xf>
    <xf numFmtId="0" fontId="120" fillId="74" borderId="1" xfId="18" applyFont="1" applyFill="1" applyBorder="1" applyAlignment="1">
      <alignment horizontal="left" vertical="center" wrapText="1"/>
    </xf>
    <xf numFmtId="0" fontId="120" fillId="0" borderId="1" xfId="0" applyFont="1" applyBorder="1" applyAlignment="1">
      <alignment horizontal="center" vertical="center"/>
    </xf>
    <xf numFmtId="0" fontId="116" fillId="0" borderId="1" xfId="18" applyFont="1" applyFill="1" applyBorder="1" applyAlignment="1">
      <alignment horizontal="left" vertical="center" wrapText="1"/>
    </xf>
    <xf numFmtId="49" fontId="116" fillId="74" borderId="1" xfId="0" applyNumberFormat="1" applyFont="1" applyFill="1" applyBorder="1" applyAlignment="1">
      <alignment horizontal="center" vertical="center"/>
    </xf>
    <xf numFmtId="0" fontId="116" fillId="0" borderId="1" xfId="0" applyFont="1" applyFill="1" applyBorder="1" applyAlignment="1">
      <alignment horizontal="left" vertical="center" wrapText="1"/>
    </xf>
    <xf numFmtId="49" fontId="116" fillId="0" borderId="1" xfId="18" applyNumberFormat="1" applyFont="1" applyFill="1" applyBorder="1" applyAlignment="1">
      <alignment horizontal="center" vertical="center"/>
    </xf>
    <xf numFmtId="0" fontId="120" fillId="0" borderId="1" xfId="58523" applyFont="1" applyFill="1" applyBorder="1" applyAlignment="1">
      <alignment horizontal="center" vertical="center"/>
    </xf>
    <xf numFmtId="0" fontId="120" fillId="0" borderId="0" xfId="58523" applyFont="1" applyFill="1" applyAlignment="1">
      <alignment horizontal="center" vertical="center"/>
    </xf>
    <xf numFmtId="0" fontId="120" fillId="75" borderId="0" xfId="58523" applyFont="1" applyFill="1" applyAlignment="1">
      <alignment horizontal="right" vertical="center"/>
    </xf>
    <xf numFmtId="0" fontId="120" fillId="75" borderId="0" xfId="58523" applyNumberFormat="1" applyFont="1" applyFill="1" applyBorder="1" applyAlignment="1">
      <alignment horizontal="center" vertical="center" wrapText="1"/>
    </xf>
    <xf numFmtId="0" fontId="114" fillId="75" borderId="0" xfId="58523" applyFont="1" applyFill="1" applyAlignment="1">
      <alignment horizontal="right" vertical="center"/>
    </xf>
    <xf numFmtId="3" fontId="114" fillId="76" borderId="1" xfId="58523" applyNumberFormat="1" applyFont="1" applyFill="1" applyBorder="1" applyAlignment="1">
      <alignment horizontal="right" vertical="center"/>
    </xf>
    <xf numFmtId="3" fontId="114" fillId="75" borderId="1" xfId="58523" applyNumberFormat="1" applyFont="1" applyFill="1" applyBorder="1" applyAlignment="1">
      <alignment horizontal="right" vertical="center"/>
    </xf>
    <xf numFmtId="0" fontId="114" fillId="0" borderId="1" xfId="58523" applyFont="1" applyBorder="1" applyAlignment="1">
      <alignment horizontal="center" vertical="center"/>
    </xf>
    <xf numFmtId="4" fontId="114" fillId="74" borderId="1" xfId="58523" applyNumberFormat="1" applyFont="1" applyFill="1" applyBorder="1" applyAlignment="1">
      <alignment vertical="center" wrapText="1"/>
    </xf>
    <xf numFmtId="4" fontId="114" fillId="74" borderId="1" xfId="58523" applyNumberFormat="1" applyFont="1" applyFill="1" applyBorder="1" applyAlignment="1">
      <alignment horizontal="center" vertical="center" wrapText="1"/>
    </xf>
    <xf numFmtId="0" fontId="114" fillId="74" borderId="1" xfId="58523" applyFont="1" applyFill="1" applyBorder="1" applyAlignment="1">
      <alignment horizontal="right" vertical="center"/>
    </xf>
    <xf numFmtId="3" fontId="120" fillId="74" borderId="1" xfId="58523" applyNumberFormat="1" applyFont="1" applyFill="1" applyBorder="1" applyAlignment="1">
      <alignment horizontal="right" vertical="center"/>
    </xf>
    <xf numFmtId="0" fontId="114" fillId="74" borderId="0" xfId="58523" applyFont="1" applyFill="1" applyAlignment="1">
      <alignment horizontal="right" vertical="center"/>
    </xf>
    <xf numFmtId="3" fontId="114" fillId="74" borderId="1" xfId="58523" applyNumberFormat="1" applyFont="1" applyFill="1" applyBorder="1" applyAlignment="1">
      <alignment horizontal="right" vertical="center"/>
    </xf>
    <xf numFmtId="0" fontId="120" fillId="0" borderId="1" xfId="58523" applyFont="1" applyBorder="1" applyAlignment="1">
      <alignment horizontal="center" vertical="center"/>
    </xf>
    <xf numFmtId="4" fontId="120" fillId="74" borderId="1" xfId="58523" applyNumberFormat="1" applyFont="1" applyFill="1" applyBorder="1" applyAlignment="1">
      <alignment horizontal="center" vertical="center" wrapText="1"/>
    </xf>
    <xf numFmtId="1" fontId="120" fillId="74" borderId="0" xfId="58523" applyNumberFormat="1" applyFont="1" applyFill="1" applyAlignment="1">
      <alignment horizontal="right" vertical="center"/>
    </xf>
    <xf numFmtId="171" fontId="120" fillId="74" borderId="0" xfId="58523" applyNumberFormat="1" applyFont="1" applyFill="1" applyAlignment="1">
      <alignment horizontal="right" vertical="center"/>
    </xf>
    <xf numFmtId="0" fontId="120" fillId="74" borderId="0" xfId="58523" applyFont="1" applyFill="1" applyAlignment="1">
      <alignment horizontal="right" vertical="center"/>
    </xf>
    <xf numFmtId="0" fontId="120" fillId="74" borderId="0" xfId="58523" applyFont="1" applyFill="1" applyAlignment="1">
      <alignment horizontal="left" vertical="center"/>
    </xf>
    <xf numFmtId="0" fontId="120" fillId="75" borderId="0" xfId="58523" applyFont="1" applyFill="1" applyAlignment="1">
      <alignment horizontal="center" vertical="center"/>
    </xf>
    <xf numFmtId="3" fontId="120" fillId="75" borderId="0" xfId="58523" applyNumberFormat="1" applyFont="1" applyFill="1" applyAlignment="1">
      <alignment horizontal="right" vertical="center"/>
    </xf>
    <xf numFmtId="0" fontId="120" fillId="0" borderId="1" xfId="0" applyFont="1" applyFill="1" applyBorder="1" applyAlignment="1">
      <alignment horizontal="center" vertical="center"/>
    </xf>
    <xf numFmtId="49" fontId="116" fillId="0" borderId="1" xfId="18" applyNumberFormat="1" applyFont="1" applyFill="1" applyBorder="1" applyAlignment="1">
      <alignment horizontal="center" vertical="center" wrapText="1"/>
    </xf>
    <xf numFmtId="0" fontId="121" fillId="0" borderId="1" xfId="18" applyFont="1" applyFill="1" applyBorder="1" applyAlignment="1">
      <alignment horizontal="left" vertical="center" wrapText="1"/>
    </xf>
    <xf numFmtId="0" fontId="116" fillId="0" borderId="1" xfId="18" applyFont="1" applyFill="1" applyBorder="1" applyAlignment="1">
      <alignment horizontal="center" vertical="center" wrapText="1"/>
    </xf>
    <xf numFmtId="49" fontId="120" fillId="0" borderId="1" xfId="18" applyNumberFormat="1" applyFont="1" applyFill="1" applyBorder="1" applyAlignment="1">
      <alignment horizontal="center" vertical="center" wrapText="1"/>
    </xf>
    <xf numFmtId="0" fontId="120" fillId="0" borderId="1" xfId="18" applyFont="1" applyFill="1" applyBorder="1" applyAlignment="1">
      <alignment horizontal="left" vertical="center" wrapText="1"/>
    </xf>
    <xf numFmtId="49" fontId="116" fillId="0" borderId="1" xfId="0" applyNumberFormat="1" applyFont="1" applyFill="1" applyBorder="1" applyAlignment="1">
      <alignment horizontal="center" vertical="center" wrapText="1"/>
    </xf>
    <xf numFmtId="0" fontId="121" fillId="0" borderId="1" xfId="0" applyFont="1" applyFill="1" applyBorder="1" applyAlignment="1">
      <alignment horizontal="left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49" fontId="116" fillId="0" borderId="1" xfId="18" applyNumberFormat="1" applyFont="1" applyFill="1" applyBorder="1" applyAlignment="1">
      <alignment horizontal="left" vertical="center" wrapText="1"/>
    </xf>
    <xf numFmtId="49" fontId="115" fillId="0" borderId="1" xfId="18" applyNumberFormat="1" applyFont="1" applyFill="1" applyBorder="1" applyAlignment="1">
      <alignment horizontal="center" vertical="center"/>
    </xf>
    <xf numFmtId="0" fontId="115" fillId="0" borderId="1" xfId="18" applyFont="1" applyFill="1" applyBorder="1" applyAlignment="1">
      <alignment horizontal="left" vertical="center" wrapText="1"/>
    </xf>
    <xf numFmtId="0" fontId="123" fillId="0" borderId="0" xfId="0" applyFont="1" applyFill="1" applyAlignment="1">
      <alignment vertical="center"/>
    </xf>
    <xf numFmtId="0" fontId="123" fillId="0" borderId="0" xfId="0" applyFont="1" applyFill="1" applyAlignment="1">
      <alignment horizontal="center" vertical="center"/>
    </xf>
    <xf numFmtId="49" fontId="123" fillId="0" borderId="0" xfId="0" applyNumberFormat="1" applyFont="1" applyFill="1" applyAlignment="1">
      <alignment horizontal="center" vertical="center"/>
    </xf>
    <xf numFmtId="3" fontId="123" fillId="0" borderId="0" xfId="0" applyNumberFormat="1" applyFont="1" applyFill="1" applyAlignment="1">
      <alignment horizontal="center" vertical="center"/>
    </xf>
    <xf numFmtId="3" fontId="129" fillId="0" borderId="0" xfId="0" applyNumberFormat="1" applyFont="1" applyFill="1" applyAlignment="1">
      <alignment horizontal="center" vertical="center"/>
    </xf>
    <xf numFmtId="0" fontId="123" fillId="0" borderId="42" xfId="0" applyFont="1" applyFill="1" applyBorder="1" applyAlignment="1">
      <alignment horizontal="center" vertical="center" wrapText="1"/>
    </xf>
    <xf numFmtId="3" fontId="123" fillId="0" borderId="45" xfId="0" applyNumberFormat="1" applyFont="1" applyFill="1" applyBorder="1" applyAlignment="1">
      <alignment horizontal="center" vertical="center"/>
    </xf>
    <xf numFmtId="3" fontId="123" fillId="0" borderId="45" xfId="0" applyNumberFormat="1" applyFont="1" applyFill="1" applyBorder="1" applyAlignment="1">
      <alignment horizontal="center" vertical="center" wrapText="1"/>
    </xf>
    <xf numFmtId="3" fontId="123" fillId="0" borderId="42" xfId="0" applyNumberFormat="1" applyFont="1" applyFill="1" applyBorder="1" applyAlignment="1">
      <alignment horizontal="center" vertical="center"/>
    </xf>
    <xf numFmtId="3" fontId="129" fillId="0" borderId="46" xfId="0" applyNumberFormat="1" applyFont="1" applyFill="1" applyBorder="1" applyAlignment="1">
      <alignment horizontal="center" vertical="center" wrapText="1"/>
    </xf>
    <xf numFmtId="3" fontId="129" fillId="0" borderId="2" xfId="0" applyNumberFormat="1" applyFont="1" applyFill="1" applyBorder="1" applyAlignment="1">
      <alignment horizontal="center" vertical="center" wrapText="1"/>
    </xf>
    <xf numFmtId="4" fontId="129" fillId="0" borderId="49" xfId="0" applyNumberFormat="1" applyFont="1" applyFill="1" applyBorder="1" applyAlignment="1">
      <alignment vertical="center" wrapText="1"/>
    </xf>
    <xf numFmtId="3" fontId="123" fillId="0" borderId="48" xfId="59670" applyNumberFormat="1" applyFont="1" applyFill="1" applyBorder="1" applyAlignment="1">
      <alignment horizontal="center" vertical="center" wrapText="1"/>
    </xf>
    <xf numFmtId="3" fontId="123" fillId="0" borderId="1" xfId="59670" applyNumberFormat="1" applyFont="1" applyFill="1" applyBorder="1" applyAlignment="1">
      <alignment horizontal="center" vertical="center" wrapText="1"/>
    </xf>
    <xf numFmtId="3" fontId="129" fillId="0" borderId="50" xfId="0" applyNumberFormat="1" applyFont="1" applyFill="1" applyBorder="1" applyAlignment="1">
      <alignment horizontal="center" vertical="center"/>
    </xf>
    <xf numFmtId="3" fontId="123" fillId="0" borderId="48" xfId="0" applyNumberFormat="1" applyFont="1" applyFill="1" applyBorder="1" applyAlignment="1">
      <alignment horizontal="center" vertical="center"/>
    </xf>
    <xf numFmtId="3" fontId="123" fillId="0" borderId="1" xfId="0" applyNumberFormat="1" applyFont="1" applyFill="1" applyBorder="1" applyAlignment="1">
      <alignment horizontal="center" vertical="center"/>
    </xf>
    <xf numFmtId="3" fontId="129" fillId="0" borderId="1" xfId="0" applyNumberFormat="1" applyFont="1" applyFill="1" applyBorder="1" applyAlignment="1">
      <alignment horizontal="center" vertical="center"/>
    </xf>
    <xf numFmtId="3" fontId="129" fillId="0" borderId="48" xfId="0" applyNumberFormat="1" applyFont="1" applyFill="1" applyBorder="1" applyAlignment="1">
      <alignment horizontal="center" vertical="center" wrapText="1"/>
    </xf>
    <xf numFmtId="3" fontId="129" fillId="0" borderId="1" xfId="0" applyNumberFormat="1" applyFont="1" applyFill="1" applyBorder="1" applyAlignment="1">
      <alignment horizontal="center" vertical="center" wrapText="1"/>
    </xf>
    <xf numFmtId="3" fontId="129" fillId="0" borderId="50" xfId="0" applyNumberFormat="1" applyFont="1" applyFill="1" applyBorder="1" applyAlignment="1">
      <alignment horizontal="center" vertical="center" wrapText="1"/>
    </xf>
    <xf numFmtId="3" fontId="131" fillId="0" borderId="1" xfId="59670" applyNumberFormat="1" applyFont="1" applyFill="1" applyBorder="1" applyAlignment="1">
      <alignment horizontal="center" vertical="center" wrapText="1"/>
    </xf>
    <xf numFmtId="3" fontId="129" fillId="0" borderId="44" xfId="0" applyNumberFormat="1" applyFont="1" applyFill="1" applyBorder="1" applyAlignment="1">
      <alignment horizontal="center" vertical="center"/>
    </xf>
    <xf numFmtId="3" fontId="123" fillId="0" borderId="0" xfId="0" applyNumberFormat="1" applyFont="1" applyFill="1" applyAlignment="1">
      <alignment horizontal="left" vertical="center"/>
    </xf>
    <xf numFmtId="3" fontId="129" fillId="0" borderId="56" xfId="0" applyNumberFormat="1" applyFont="1" applyFill="1" applyBorder="1" applyAlignment="1">
      <alignment horizontal="center" vertical="center"/>
    </xf>
    <xf numFmtId="4" fontId="129" fillId="0" borderId="26" xfId="0" applyNumberFormat="1" applyFont="1" applyFill="1" applyBorder="1" applyAlignment="1">
      <alignment vertical="center" wrapText="1"/>
    </xf>
    <xf numFmtId="3" fontId="123" fillId="0" borderId="48" xfId="0" applyNumberFormat="1" applyFont="1" applyFill="1" applyBorder="1" applyAlignment="1">
      <alignment horizontal="center" vertical="center" wrapText="1"/>
    </xf>
    <xf numFmtId="3" fontId="123" fillId="0" borderId="1" xfId="0" applyNumberFormat="1" applyFont="1" applyFill="1" applyBorder="1" applyAlignment="1">
      <alignment horizontal="center" vertical="center" wrapText="1"/>
    </xf>
    <xf numFmtId="3" fontId="129" fillId="0" borderId="58" xfId="0" applyNumberFormat="1" applyFont="1" applyFill="1" applyBorder="1" applyAlignment="1">
      <alignment horizontal="center" vertical="center" wrapText="1"/>
    </xf>
    <xf numFmtId="0" fontId="123" fillId="0" borderId="53" xfId="0" applyFont="1" applyFill="1" applyBorder="1" applyAlignment="1">
      <alignment horizontal="center" vertical="center" wrapText="1"/>
    </xf>
    <xf numFmtId="3" fontId="123" fillId="0" borderId="46" xfId="0" applyNumberFormat="1" applyFont="1" applyFill="1" applyBorder="1" applyAlignment="1">
      <alignment horizontal="center" vertical="center" wrapText="1"/>
    </xf>
    <xf numFmtId="3" fontId="123" fillId="0" borderId="2" xfId="0" applyNumberFormat="1" applyFont="1" applyFill="1" applyBorder="1" applyAlignment="1">
      <alignment horizontal="center" vertical="center" wrapText="1"/>
    </xf>
    <xf numFmtId="3" fontId="129" fillId="0" borderId="47" xfId="0" applyNumberFormat="1" applyFont="1" applyFill="1" applyBorder="1" applyAlignment="1">
      <alignment horizontal="center" vertical="center"/>
    </xf>
    <xf numFmtId="0" fontId="123" fillId="0" borderId="57" xfId="0" applyFont="1" applyFill="1" applyBorder="1" applyAlignment="1">
      <alignment horizontal="center" vertical="center" wrapText="1"/>
    </xf>
    <xf numFmtId="0" fontId="135" fillId="0" borderId="0" xfId="0" applyFont="1" applyFill="1" applyAlignment="1">
      <alignment horizontal="center" vertical="center"/>
    </xf>
    <xf numFmtId="0" fontId="135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center" vertical="center"/>
    </xf>
    <xf numFmtId="0" fontId="136" fillId="0" borderId="0" xfId="0" applyFont="1" applyFill="1" applyAlignment="1">
      <alignment horizontal="center" vertical="center"/>
    </xf>
    <xf numFmtId="0" fontId="137" fillId="0" borderId="0" xfId="0" applyFont="1" applyFill="1" applyAlignment="1">
      <alignment horizontal="center" vertical="center"/>
    </xf>
    <xf numFmtId="0" fontId="138" fillId="0" borderId="0" xfId="0" applyFont="1" applyFill="1" applyAlignment="1">
      <alignment horizontal="center" vertical="center"/>
    </xf>
    <xf numFmtId="0" fontId="138" fillId="0" borderId="61" xfId="0" applyFont="1" applyFill="1" applyBorder="1" applyAlignment="1">
      <alignment vertical="center"/>
    </xf>
    <xf numFmtId="0" fontId="135" fillId="0" borderId="61" xfId="0" applyFont="1" applyFill="1" applyBorder="1" applyAlignment="1">
      <alignment vertical="center"/>
    </xf>
    <xf numFmtId="3" fontId="135" fillId="0" borderId="46" xfId="0" applyNumberFormat="1" applyFont="1" applyFill="1" applyBorder="1" applyAlignment="1">
      <alignment horizontal="center" vertical="center" wrapText="1"/>
    </xf>
    <xf numFmtId="3" fontId="137" fillId="0" borderId="2" xfId="0" applyNumberFormat="1" applyFont="1" applyFill="1" applyBorder="1" applyAlignment="1">
      <alignment horizontal="center" vertical="center" wrapText="1"/>
    </xf>
    <xf numFmtId="3" fontId="137" fillId="0" borderId="1" xfId="0" applyNumberFormat="1" applyFont="1" applyFill="1" applyBorder="1" applyAlignment="1">
      <alignment horizontal="center" vertical="center" wrapText="1"/>
    </xf>
    <xf numFmtId="3" fontId="137" fillId="0" borderId="47" xfId="0" applyNumberFormat="1" applyFont="1" applyFill="1" applyBorder="1" applyAlignment="1">
      <alignment horizontal="center" vertical="center"/>
    </xf>
    <xf numFmtId="3" fontId="137" fillId="0" borderId="47" xfId="0" applyNumberFormat="1" applyFont="1" applyFill="1" applyBorder="1" applyAlignment="1">
      <alignment horizontal="center" vertical="center" wrapText="1"/>
    </xf>
    <xf numFmtId="3" fontId="137" fillId="0" borderId="46" xfId="0" applyNumberFormat="1" applyFont="1" applyFill="1" applyBorder="1" applyAlignment="1">
      <alignment horizontal="center" vertical="center" wrapText="1"/>
    </xf>
    <xf numFmtId="3" fontId="135" fillId="0" borderId="0" xfId="0" applyNumberFormat="1" applyFont="1" applyFill="1" applyAlignment="1">
      <alignment horizontal="center" vertical="center"/>
    </xf>
    <xf numFmtId="3" fontId="139" fillId="0" borderId="26" xfId="0" applyNumberFormat="1" applyFont="1" applyFill="1" applyBorder="1" applyAlignment="1">
      <alignment vertical="center" wrapText="1"/>
    </xf>
    <xf numFmtId="3" fontId="137" fillId="0" borderId="50" xfId="0" applyNumberFormat="1" applyFont="1" applyFill="1" applyBorder="1" applyAlignment="1">
      <alignment horizontal="center" vertical="center" wrapText="1"/>
    </xf>
    <xf numFmtId="3" fontId="115" fillId="0" borderId="46" xfId="0" applyNumberFormat="1" applyFont="1" applyFill="1" applyBorder="1" applyAlignment="1">
      <alignment horizontal="center" vertical="center" wrapText="1"/>
    </xf>
    <xf numFmtId="3" fontId="135" fillId="0" borderId="2" xfId="0" applyNumberFormat="1" applyFont="1" applyFill="1" applyBorder="1" applyAlignment="1">
      <alignment horizontal="center" vertical="center" wrapText="1"/>
    </xf>
    <xf numFmtId="3" fontId="136" fillId="0" borderId="1" xfId="0" applyNumberFormat="1" applyFont="1" applyFill="1" applyBorder="1" applyAlignment="1">
      <alignment horizontal="center" vertical="center"/>
    </xf>
    <xf numFmtId="3" fontId="137" fillId="0" borderId="1" xfId="0" applyNumberFormat="1" applyFont="1" applyFill="1" applyBorder="1" applyAlignment="1">
      <alignment horizontal="center" vertical="center"/>
    </xf>
    <xf numFmtId="3" fontId="135" fillId="0" borderId="1" xfId="0" applyNumberFormat="1" applyFont="1" applyFill="1" applyBorder="1" applyAlignment="1">
      <alignment horizontal="center" vertical="center" wrapText="1"/>
    </xf>
    <xf numFmtId="3" fontId="138" fillId="0" borderId="47" xfId="0" applyNumberFormat="1" applyFont="1" applyFill="1" applyBorder="1" applyAlignment="1">
      <alignment horizontal="center" vertical="center"/>
    </xf>
    <xf numFmtId="3" fontId="115" fillId="0" borderId="2" xfId="0" applyNumberFormat="1" applyFont="1" applyFill="1" applyBorder="1" applyAlignment="1">
      <alignment horizontal="center" vertical="center" wrapText="1"/>
    </xf>
    <xf numFmtId="3" fontId="138" fillId="0" borderId="47" xfId="0" applyNumberFormat="1" applyFont="1" applyFill="1" applyBorder="1" applyAlignment="1">
      <alignment horizontal="center" vertical="center" wrapText="1"/>
    </xf>
    <xf numFmtId="3" fontId="135" fillId="0" borderId="28" xfId="0" applyNumberFormat="1" applyFont="1" applyFill="1" applyBorder="1" applyAlignment="1">
      <alignment horizontal="center" vertical="center" wrapText="1"/>
    </xf>
    <xf numFmtId="3" fontId="136" fillId="0" borderId="2" xfId="0" applyNumberFormat="1" applyFont="1" applyFill="1" applyBorder="1" applyAlignment="1">
      <alignment horizontal="center" vertical="center" wrapText="1"/>
    </xf>
    <xf numFmtId="3" fontId="136" fillId="0" borderId="1" xfId="0" applyNumberFormat="1" applyFont="1" applyFill="1" applyBorder="1" applyAlignment="1">
      <alignment horizontal="center" vertical="center" wrapText="1"/>
    </xf>
    <xf numFmtId="3" fontId="136" fillId="0" borderId="46" xfId="0" applyNumberFormat="1" applyFont="1" applyFill="1" applyBorder="1" applyAlignment="1">
      <alignment horizontal="center" vertical="center" wrapText="1"/>
    </xf>
    <xf numFmtId="3" fontId="136" fillId="0" borderId="28" xfId="0" applyNumberFormat="1" applyFont="1" applyFill="1" applyBorder="1" applyAlignment="1">
      <alignment horizontal="center" vertical="center" wrapText="1"/>
    </xf>
    <xf numFmtId="3" fontId="137" fillId="0" borderId="45" xfId="0" applyNumberFormat="1" applyFont="1" applyFill="1" applyBorder="1" applyAlignment="1">
      <alignment horizontal="center" vertical="center"/>
    </xf>
    <xf numFmtId="3" fontId="138" fillId="0" borderId="44" xfId="0" applyNumberFormat="1" applyFont="1" applyFill="1" applyBorder="1" applyAlignment="1">
      <alignment horizontal="center" vertical="center"/>
    </xf>
    <xf numFmtId="3" fontId="140" fillId="0" borderId="0" xfId="0" applyNumberFormat="1" applyFont="1" applyFill="1" applyBorder="1" applyAlignment="1">
      <alignment horizontal="right" vertical="center"/>
    </xf>
    <xf numFmtId="3" fontId="140" fillId="0" borderId="0" xfId="0" applyNumberFormat="1" applyFont="1" applyFill="1" applyBorder="1" applyAlignment="1">
      <alignment horizontal="center" vertical="center"/>
    </xf>
    <xf numFmtId="3" fontId="141" fillId="0" borderId="0" xfId="0" applyNumberFormat="1" applyFont="1" applyFill="1" applyBorder="1" applyAlignment="1">
      <alignment horizontal="center" vertical="center"/>
    </xf>
    <xf numFmtId="3" fontId="135" fillId="0" borderId="0" xfId="0" applyNumberFormat="1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center" vertical="center"/>
    </xf>
    <xf numFmtId="3" fontId="138" fillId="0" borderId="0" xfId="0" applyNumberFormat="1" applyFont="1" applyFill="1" applyBorder="1" applyAlignment="1">
      <alignment horizontal="right" vertical="center"/>
    </xf>
    <xf numFmtId="3" fontId="138" fillId="0" borderId="0" xfId="0" applyNumberFormat="1" applyFont="1" applyFill="1" applyBorder="1" applyAlignment="1">
      <alignment horizontal="center" vertical="center"/>
    </xf>
    <xf numFmtId="3" fontId="137" fillId="0" borderId="0" xfId="0" applyNumberFormat="1" applyFont="1" applyFill="1" applyBorder="1" applyAlignment="1">
      <alignment horizontal="center" vertical="center"/>
    </xf>
    <xf numFmtId="0" fontId="135" fillId="0" borderId="1" xfId="0" applyFont="1" applyFill="1" applyBorder="1" applyAlignment="1">
      <alignment horizontal="center" vertical="center"/>
    </xf>
    <xf numFmtId="3" fontId="135" fillId="0" borderId="1" xfId="0" applyNumberFormat="1" applyFont="1" applyFill="1" applyBorder="1" applyAlignment="1">
      <alignment horizontal="center" vertical="center"/>
    </xf>
    <xf numFmtId="3" fontId="142" fillId="0" borderId="1" xfId="0" applyNumberFormat="1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horizontal="right" vertical="center"/>
    </xf>
    <xf numFmtId="0" fontId="138" fillId="0" borderId="0" xfId="0" applyFont="1" applyFill="1" applyBorder="1" applyAlignment="1">
      <alignment horizontal="right" vertical="center"/>
    </xf>
    <xf numFmtId="3" fontId="138" fillId="0" borderId="1" xfId="0" applyNumberFormat="1" applyFont="1" applyFill="1" applyBorder="1" applyAlignment="1">
      <alignment horizontal="center" vertical="center"/>
    </xf>
    <xf numFmtId="0" fontId="135" fillId="0" borderId="1" xfId="0" applyFont="1" applyFill="1" applyBorder="1" applyAlignment="1">
      <alignment horizontal="left" vertical="center"/>
    </xf>
    <xf numFmtId="0" fontId="143" fillId="0" borderId="0" xfId="61298" applyFont="1" applyAlignment="1">
      <alignment vertical="center"/>
    </xf>
    <xf numFmtId="0" fontId="10" fillId="0" borderId="0" xfId="61298"/>
    <xf numFmtId="0" fontId="118" fillId="0" borderId="1" xfId="61298" applyFont="1" applyBorder="1" applyAlignment="1">
      <alignment horizontal="center" vertical="center" wrapText="1"/>
    </xf>
    <xf numFmtId="0" fontId="117" fillId="0" borderId="1" xfId="61298" applyFont="1" applyBorder="1" applyAlignment="1">
      <alignment horizontal="center" vertical="center"/>
    </xf>
    <xf numFmtId="3" fontId="114" fillId="74" borderId="1" xfId="0" applyNumberFormat="1" applyFont="1" applyFill="1" applyBorder="1" applyAlignment="1">
      <alignment vertical="center"/>
    </xf>
    <xf numFmtId="3" fontId="145" fillId="0" borderId="1" xfId="61298" applyNumberFormat="1" applyFont="1" applyBorder="1" applyAlignment="1">
      <alignment horizontal="center" vertical="center"/>
    </xf>
    <xf numFmtId="0" fontId="146" fillId="0" borderId="1" xfId="61298" applyFont="1" applyBorder="1" applyAlignment="1">
      <alignment horizontal="center" vertical="center" wrapText="1"/>
    </xf>
    <xf numFmtId="0" fontId="146" fillId="0" borderId="1" xfId="61298" applyFont="1" applyBorder="1" applyAlignment="1">
      <alignment vertical="center" wrapText="1"/>
    </xf>
    <xf numFmtId="3" fontId="147" fillId="0" borderId="1" xfId="61298" applyNumberFormat="1" applyFont="1" applyBorder="1" applyAlignment="1">
      <alignment horizontal="center" vertical="center"/>
    </xf>
    <xf numFmtId="3" fontId="148" fillId="74" borderId="26" xfId="0" applyNumberFormat="1" applyFont="1" applyFill="1" applyBorder="1" applyAlignment="1" applyProtection="1">
      <alignment horizontal="left" vertical="center" wrapText="1"/>
      <protection locked="0"/>
    </xf>
    <xf numFmtId="3" fontId="10" fillId="0" borderId="0" xfId="61298" applyNumberFormat="1"/>
    <xf numFmtId="3" fontId="147" fillId="74" borderId="1" xfId="61298" applyNumberFormat="1" applyFont="1" applyFill="1" applyBorder="1" applyAlignment="1">
      <alignment horizontal="center" vertical="center"/>
    </xf>
    <xf numFmtId="3" fontId="114" fillId="74" borderId="48" xfId="0" applyNumberFormat="1" applyFont="1" applyFill="1" applyBorder="1" applyAlignment="1">
      <alignment vertical="center"/>
    </xf>
    <xf numFmtId="3" fontId="114" fillId="74" borderId="25" xfId="0" applyNumberFormat="1" applyFont="1" applyFill="1" applyBorder="1" applyAlignment="1">
      <alignment vertical="center"/>
    </xf>
    <xf numFmtId="0" fontId="120" fillId="74" borderId="1" xfId="58755" applyFont="1" applyFill="1" applyBorder="1" applyAlignment="1">
      <alignment horizontal="center" vertical="center" wrapText="1"/>
    </xf>
    <xf numFmtId="49" fontId="120" fillId="74" borderId="1" xfId="58755" applyNumberFormat="1" applyFont="1" applyFill="1" applyBorder="1" applyAlignment="1">
      <alignment horizontal="center" vertical="center" wrapText="1"/>
    </xf>
    <xf numFmtId="0" fontId="114" fillId="74" borderId="1" xfId="58755" applyFont="1" applyFill="1" applyBorder="1" applyAlignment="1">
      <alignment horizontal="center" vertical="center" wrapText="1"/>
    </xf>
    <xf numFmtId="49" fontId="114" fillId="74" borderId="1" xfId="58755" applyNumberFormat="1" applyFont="1" applyFill="1" applyBorder="1" applyAlignment="1">
      <alignment horizontal="center" vertical="center"/>
    </xf>
    <xf numFmtId="0" fontId="120" fillId="74" borderId="0" xfId="58791" applyFont="1" applyFill="1" applyProtection="1">
      <protection locked="0"/>
    </xf>
    <xf numFmtId="0" fontId="114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20" fillId="74" borderId="1" xfId="58791" applyFont="1" applyFill="1" applyBorder="1" applyAlignment="1" applyProtection="1">
      <alignment horizontal="center" vertical="center" wrapText="1"/>
      <protection locked="0"/>
    </xf>
    <xf numFmtId="0" fontId="120" fillId="74" borderId="55" xfId="58791" applyFont="1" applyFill="1" applyBorder="1" applyAlignment="1" applyProtection="1">
      <alignment vertical="center" wrapText="1"/>
      <protection locked="0"/>
    </xf>
    <xf numFmtId="3" fontId="120" fillId="74" borderId="55" xfId="58791" applyNumberFormat="1" applyFont="1" applyFill="1" applyBorder="1" applyAlignment="1" applyProtection="1">
      <alignment horizontal="center" vertical="center"/>
      <protection locked="0"/>
    </xf>
    <xf numFmtId="3" fontId="120" fillId="74" borderId="1" xfId="58791" applyNumberFormat="1" applyFont="1" applyFill="1" applyBorder="1" applyAlignment="1" applyProtection="1">
      <alignment horizontal="center" vertical="center"/>
      <protection locked="0"/>
    </xf>
    <xf numFmtId="0" fontId="120" fillId="74" borderId="32" xfId="58791" applyFont="1" applyFill="1" applyBorder="1" applyAlignment="1" applyProtection="1">
      <alignment vertical="center" wrapText="1"/>
      <protection locked="0"/>
    </xf>
    <xf numFmtId="0" fontId="120" fillId="74" borderId="1" xfId="58791" applyFont="1" applyFill="1" applyBorder="1" applyAlignment="1" applyProtection="1">
      <alignment vertical="center" wrapText="1"/>
      <protection locked="0"/>
    </xf>
    <xf numFmtId="3" fontId="120" fillId="74" borderId="1" xfId="58791" applyNumberFormat="1" applyFont="1" applyFill="1" applyBorder="1" applyAlignment="1" applyProtection="1">
      <alignment vertical="center"/>
      <protection locked="0"/>
    </xf>
    <xf numFmtId="0" fontId="120" fillId="74" borderId="1" xfId="58791" applyFont="1" applyFill="1" applyBorder="1" applyAlignment="1" applyProtection="1">
      <alignment horizontal="center"/>
      <protection locked="0"/>
    </xf>
    <xf numFmtId="3" fontId="120" fillId="74" borderId="27" xfId="58791" applyNumberFormat="1" applyFont="1" applyFill="1" applyBorder="1" applyAlignment="1" applyProtection="1">
      <alignment horizontal="center" vertical="center"/>
      <protection locked="0"/>
    </xf>
    <xf numFmtId="3" fontId="120" fillId="74" borderId="27" xfId="58791" applyNumberFormat="1" applyFont="1" applyFill="1" applyBorder="1" applyAlignment="1" applyProtection="1">
      <alignment vertical="center"/>
      <protection locked="0"/>
    </xf>
    <xf numFmtId="3" fontId="120" fillId="74" borderId="55" xfId="58791" applyNumberFormat="1" applyFont="1" applyFill="1" applyBorder="1" applyAlignment="1" applyProtection="1">
      <alignment vertical="center"/>
      <protection locked="0"/>
    </xf>
    <xf numFmtId="3" fontId="120" fillId="74" borderId="2" xfId="58791" applyNumberFormat="1" applyFont="1" applyFill="1" applyBorder="1" applyAlignment="1" applyProtection="1">
      <alignment horizontal="center" vertical="center"/>
      <protection locked="0"/>
    </xf>
    <xf numFmtId="3" fontId="120" fillId="74" borderId="2" xfId="58791" applyNumberFormat="1" applyFont="1" applyFill="1" applyBorder="1" applyAlignment="1" applyProtection="1">
      <alignment vertical="center"/>
      <protection locked="0"/>
    </xf>
    <xf numFmtId="0" fontId="120" fillId="74" borderId="25" xfId="58791" applyFont="1" applyFill="1" applyBorder="1" applyAlignment="1" applyProtection="1">
      <alignment vertical="center" wrapText="1"/>
      <protection locked="0"/>
    </xf>
    <xf numFmtId="0" fontId="129" fillId="74" borderId="0" xfId="58791" applyFont="1" applyFill="1"/>
    <xf numFmtId="0" fontId="123" fillId="74" borderId="0" xfId="58791" applyFont="1" applyFill="1" applyAlignment="1">
      <alignment horizontal="center"/>
    </xf>
    <xf numFmtId="3" fontId="155" fillId="74" borderId="0" xfId="58791" applyNumberFormat="1" applyFont="1" applyFill="1" applyAlignment="1">
      <alignment horizontal="center"/>
    </xf>
    <xf numFmtId="3" fontId="155" fillId="74" borderId="0" xfId="58791" applyNumberFormat="1" applyFont="1" applyFill="1"/>
    <xf numFmtId="4" fontId="154" fillId="74" borderId="0" xfId="58791" applyNumberFormat="1" applyFont="1" applyFill="1"/>
    <xf numFmtId="4" fontId="156" fillId="74" borderId="0" xfId="58791" applyNumberFormat="1" applyFont="1" applyFill="1" applyAlignment="1">
      <alignment horizontal="center"/>
    </xf>
    <xf numFmtId="4" fontId="156" fillId="74" borderId="0" xfId="58791" applyNumberFormat="1" applyFont="1" applyFill="1"/>
    <xf numFmtId="0" fontId="123" fillId="74" borderId="0" xfId="58791" applyFont="1" applyFill="1"/>
    <xf numFmtId="0" fontId="158" fillId="74" borderId="0" xfId="61302" applyFont="1" applyFill="1" applyAlignment="1">
      <alignment horizontal="center"/>
    </xf>
    <xf numFmtId="0" fontId="115" fillId="74" borderId="0" xfId="61302" applyFont="1" applyFill="1" applyAlignment="1">
      <alignment horizontal="center"/>
    </xf>
    <xf numFmtId="3" fontId="139" fillId="74" borderId="29" xfId="61302" applyNumberFormat="1" applyFont="1" applyFill="1" applyBorder="1" applyAlignment="1">
      <alignment horizontal="center" vertical="center" wrapText="1"/>
    </xf>
    <xf numFmtId="3" fontId="115" fillId="74" borderId="29" xfId="61302" applyNumberFormat="1" applyFont="1" applyFill="1" applyBorder="1" applyAlignment="1">
      <alignment horizontal="center" vertical="center" wrapText="1"/>
    </xf>
    <xf numFmtId="3" fontId="139" fillId="74" borderId="0" xfId="61302" applyNumberFormat="1" applyFont="1" applyFill="1" applyBorder="1" applyAlignment="1">
      <alignment horizontal="center" vertical="center" wrapText="1"/>
    </xf>
    <xf numFmtId="0" fontId="118" fillId="74" borderId="0" xfId="61302" applyFont="1" applyFill="1" applyAlignment="1">
      <alignment horizontal="center"/>
    </xf>
    <xf numFmtId="3" fontId="156" fillId="74" borderId="55" xfId="0" applyNumberFormat="1" applyFont="1" applyFill="1" applyBorder="1" applyAlignment="1">
      <alignment horizontal="center" vertical="center" wrapText="1"/>
    </xf>
    <xf numFmtId="3" fontId="156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6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6" fillId="74" borderId="55" xfId="61303" applyNumberFormat="1" applyFont="1" applyFill="1" applyBorder="1" applyAlignment="1" applyProtection="1">
      <alignment horizontal="center" vertical="center" wrapText="1"/>
      <protection locked="0"/>
    </xf>
    <xf numFmtId="0" fontId="116" fillId="74" borderId="1" xfId="61302" applyFont="1" applyFill="1" applyBorder="1" applyAlignment="1">
      <alignment horizontal="center"/>
    </xf>
    <xf numFmtId="0" fontId="119" fillId="74" borderId="1" xfId="61302" applyFont="1" applyFill="1" applyBorder="1" applyAlignment="1">
      <alignment horizontal="center" vertical="center" wrapText="1"/>
    </xf>
    <xf numFmtId="0" fontId="116" fillId="74" borderId="0" xfId="61302" applyFont="1" applyFill="1" applyAlignment="1">
      <alignment horizontal="center"/>
    </xf>
    <xf numFmtId="3" fontId="120" fillId="74" borderId="1" xfId="0" applyNumberFormat="1" applyFont="1" applyFill="1" applyBorder="1" applyAlignment="1">
      <alignment horizontal="center" vertical="center"/>
    </xf>
    <xf numFmtId="3" fontId="116" fillId="74" borderId="1" xfId="18" applyNumberFormat="1" applyFont="1" applyFill="1" applyBorder="1" applyAlignment="1">
      <alignment horizontal="center" vertical="center" wrapText="1"/>
    </xf>
    <xf numFmtId="3" fontId="121" fillId="74" borderId="1" xfId="18" applyNumberFormat="1" applyFont="1" applyFill="1" applyBorder="1" applyAlignment="1">
      <alignment horizontal="left" vertical="center" wrapText="1"/>
    </xf>
    <xf numFmtId="3" fontId="119" fillId="74" borderId="1" xfId="61302" applyNumberFormat="1" applyFont="1" applyFill="1" applyBorder="1" applyAlignment="1">
      <alignment horizontal="center" vertical="center" wrapText="1"/>
    </xf>
    <xf numFmtId="0" fontId="148" fillId="74" borderId="1" xfId="61302" applyFont="1" applyFill="1" applyBorder="1" applyAlignment="1">
      <alignment horizontal="center"/>
    </xf>
    <xf numFmtId="0" fontId="148" fillId="74" borderId="0" xfId="61302" applyFont="1" applyFill="1" applyAlignment="1">
      <alignment horizontal="center"/>
    </xf>
    <xf numFmtId="3" fontId="121" fillId="74" borderId="25" xfId="18" applyNumberFormat="1" applyFont="1" applyFill="1" applyBorder="1" applyAlignment="1">
      <alignment horizontal="left" vertical="center" wrapText="1"/>
    </xf>
    <xf numFmtId="3" fontId="116" fillId="74" borderId="1" xfId="18" applyNumberFormat="1" applyFont="1" applyFill="1" applyBorder="1" applyAlignment="1">
      <alignment horizontal="center" vertical="center"/>
    </xf>
    <xf numFmtId="3" fontId="116" fillId="74" borderId="25" xfId="18" applyNumberFormat="1" applyFont="1" applyFill="1" applyBorder="1" applyAlignment="1">
      <alignment horizontal="left" vertical="center" wrapText="1"/>
    </xf>
    <xf numFmtId="3" fontId="120" fillId="74" borderId="1" xfId="18" applyNumberFormat="1" applyFont="1" applyFill="1" applyBorder="1" applyAlignment="1">
      <alignment horizontal="center" vertical="center" wrapText="1"/>
    </xf>
    <xf numFmtId="3" fontId="120" fillId="74" borderId="25" xfId="18" applyNumberFormat="1" applyFont="1" applyFill="1" applyBorder="1" applyAlignment="1">
      <alignment horizontal="left" vertical="center" wrapText="1"/>
    </xf>
    <xf numFmtId="49" fontId="116" fillId="74" borderId="1" xfId="7" applyNumberFormat="1" applyFont="1" applyFill="1" applyBorder="1" applyAlignment="1">
      <alignment horizontal="center" vertical="center" wrapText="1"/>
    </xf>
    <xf numFmtId="0" fontId="116" fillId="74" borderId="1" xfId="7" applyFont="1" applyFill="1" applyBorder="1" applyAlignment="1">
      <alignment horizontal="left" vertical="center" wrapText="1"/>
    </xf>
    <xf numFmtId="49" fontId="116" fillId="74" borderId="1" xfId="7" applyNumberFormat="1" applyFont="1" applyFill="1" applyBorder="1" applyAlignment="1">
      <alignment horizontal="center" vertical="center"/>
    </xf>
    <xf numFmtId="3" fontId="150" fillId="74" borderId="1" xfId="61302" applyNumberFormat="1" applyFont="1" applyFill="1" applyBorder="1" applyAlignment="1">
      <alignment horizontal="center" vertical="center" wrapText="1"/>
    </xf>
    <xf numFmtId="3" fontId="116" fillId="74" borderId="1" xfId="0" applyNumberFormat="1" applyFont="1" applyFill="1" applyBorder="1" applyAlignment="1">
      <alignment horizontal="center" vertical="center" wrapText="1"/>
    </xf>
    <xf numFmtId="3" fontId="121" fillId="74" borderId="25" xfId="0" applyNumberFormat="1" applyFont="1" applyFill="1" applyBorder="1" applyAlignment="1">
      <alignment horizontal="left" vertical="center" wrapText="1"/>
    </xf>
    <xf numFmtId="3" fontId="116" fillId="74" borderId="55" xfId="18" applyNumberFormat="1" applyFont="1" applyFill="1" applyBorder="1" applyAlignment="1">
      <alignment horizontal="center" vertical="center"/>
    </xf>
    <xf numFmtId="3" fontId="116" fillId="74" borderId="32" xfId="18" applyNumberFormat="1" applyFont="1" applyFill="1" applyBorder="1" applyAlignment="1">
      <alignment horizontal="left" vertical="center" wrapText="1"/>
    </xf>
    <xf numFmtId="0" fontId="119" fillId="74" borderId="1" xfId="61302" applyFont="1" applyFill="1" applyBorder="1" applyAlignment="1">
      <alignment horizontal="left" vertical="center" wrapText="1"/>
    </xf>
    <xf numFmtId="3" fontId="116" fillId="74" borderId="1" xfId="61302" applyNumberFormat="1" applyFont="1" applyFill="1" applyBorder="1" applyAlignment="1">
      <alignment horizontal="center"/>
    </xf>
    <xf numFmtId="3" fontId="116" fillId="74" borderId="55" xfId="18" applyNumberFormat="1" applyFont="1" applyFill="1" applyBorder="1" applyAlignment="1">
      <alignment horizontal="center" vertical="center" wrapText="1"/>
    </xf>
    <xf numFmtId="3" fontId="121" fillId="74" borderId="32" xfId="18" applyNumberFormat="1" applyFont="1" applyFill="1" applyBorder="1" applyAlignment="1">
      <alignment horizontal="left" vertical="center" wrapText="1"/>
    </xf>
    <xf numFmtId="3" fontId="116" fillId="74" borderId="1" xfId="0" applyNumberFormat="1" applyFont="1" applyFill="1" applyBorder="1" applyAlignment="1">
      <alignment horizontal="center" vertical="center"/>
    </xf>
    <xf numFmtId="3" fontId="120" fillId="74" borderId="30" xfId="0" applyNumberFormat="1" applyFont="1" applyFill="1" applyBorder="1" applyAlignment="1">
      <alignment horizontal="center" vertical="center"/>
    </xf>
    <xf numFmtId="3" fontId="116" fillId="74" borderId="30" xfId="18" applyNumberFormat="1" applyFont="1" applyFill="1" applyBorder="1" applyAlignment="1">
      <alignment horizontal="center" vertical="center"/>
    </xf>
    <xf numFmtId="3" fontId="116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15" fillId="74" borderId="0" xfId="61302" applyFont="1" applyFill="1" applyAlignment="1">
      <alignment horizontal="left"/>
    </xf>
    <xf numFmtId="3" fontId="116" fillId="74" borderId="25" xfId="0" applyNumberFormat="1" applyFont="1" applyFill="1" applyBorder="1" applyAlignment="1">
      <alignment horizontal="left" vertical="center" wrapText="1"/>
    </xf>
    <xf numFmtId="49" fontId="118" fillId="74" borderId="1" xfId="18" applyNumberFormat="1" applyFont="1" applyFill="1" applyBorder="1" applyAlignment="1">
      <alignment horizontal="center" vertical="center"/>
    </xf>
    <xf numFmtId="49" fontId="118" fillId="74" borderId="1" xfId="18" applyNumberFormat="1" applyFont="1" applyFill="1" applyBorder="1" applyAlignment="1">
      <alignment horizontal="center" vertical="center" wrapText="1"/>
    </xf>
    <xf numFmtId="0" fontId="118" fillId="74" borderId="1" xfId="61304" applyFont="1" applyFill="1" applyBorder="1" applyAlignment="1" applyProtection="1">
      <alignment vertical="center"/>
      <protection locked="0"/>
    </xf>
    <xf numFmtId="49" fontId="156" fillId="74" borderId="1" xfId="18" applyNumberFormat="1" applyFont="1" applyFill="1" applyBorder="1" applyAlignment="1">
      <alignment horizontal="center" vertical="center" wrapText="1"/>
    </xf>
    <xf numFmtId="0" fontId="118" fillId="74" borderId="1" xfId="18" applyFont="1" applyFill="1" applyBorder="1" applyAlignment="1">
      <alignment horizontal="center" vertical="center" wrapText="1"/>
    </xf>
    <xf numFmtId="0" fontId="118" fillId="74" borderId="1" xfId="61304" applyFont="1" applyFill="1" applyBorder="1" applyAlignment="1" applyProtection="1">
      <alignment vertical="center" wrapText="1"/>
      <protection locked="0"/>
    </xf>
    <xf numFmtId="0" fontId="118" fillId="74" borderId="1" xfId="61304" applyFont="1" applyFill="1" applyBorder="1" applyAlignment="1" applyProtection="1">
      <alignment horizontal="center" vertical="center"/>
      <protection locked="0"/>
    </xf>
    <xf numFmtId="3" fontId="126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18" fillId="74" borderId="1" xfId="61304" applyNumberFormat="1" applyFont="1" applyFill="1" applyBorder="1" applyAlignment="1">
      <alignment horizontal="center" vertical="center" wrapText="1"/>
    </xf>
    <xf numFmtId="3" fontId="118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18" fillId="74" borderId="0" xfId="61304" applyFont="1" applyFill="1"/>
    <xf numFmtId="0" fontId="126" fillId="74" borderId="1" xfId="61304" applyFont="1" applyFill="1" applyBorder="1" applyAlignment="1" applyProtection="1">
      <alignment horizontal="center" vertical="center"/>
      <protection locked="0"/>
    </xf>
    <xf numFmtId="0" fontId="126" fillId="74" borderId="1" xfId="61304" applyFont="1" applyFill="1" applyBorder="1" applyAlignment="1" applyProtection="1">
      <alignment vertical="center"/>
      <protection locked="0"/>
    </xf>
    <xf numFmtId="0" fontId="126" fillId="74" borderId="1" xfId="61304" applyFont="1" applyFill="1" applyBorder="1" applyAlignment="1" applyProtection="1">
      <alignment vertical="center" wrapText="1"/>
      <protection locked="0"/>
    </xf>
    <xf numFmtId="0" fontId="158" fillId="74" borderId="0" xfId="61304" applyFont="1" applyFill="1"/>
    <xf numFmtId="0" fontId="157" fillId="74" borderId="0" xfId="61304" applyFont="1" applyFill="1" applyAlignment="1">
      <alignment horizontal="center" vertical="center"/>
    </xf>
    <xf numFmtId="3" fontId="157" fillId="74" borderId="0" xfId="61304" applyNumberFormat="1" applyFont="1" applyFill="1" applyAlignment="1">
      <alignment horizontal="center" vertical="center"/>
    </xf>
    <xf numFmtId="3" fontId="159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6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26" fillId="74" borderId="0" xfId="61304" applyFont="1" applyFill="1"/>
    <xf numFmtId="0" fontId="115" fillId="0" borderId="0" xfId="58791" applyFont="1" applyFill="1" applyAlignment="1">
      <alignment vertical="center"/>
    </xf>
    <xf numFmtId="0" fontId="157" fillId="0" borderId="0" xfId="58791" applyFont="1" applyFill="1" applyBorder="1" applyAlignment="1">
      <alignment horizontal="center" vertical="center" wrapText="1"/>
    </xf>
    <xf numFmtId="0" fontId="157" fillId="0" borderId="29" xfId="58791" applyFont="1" applyFill="1" applyBorder="1" applyAlignment="1">
      <alignment horizontal="center" vertical="center" wrapText="1"/>
    </xf>
    <xf numFmtId="0" fontId="148" fillId="0" borderId="1" xfId="58791" applyFont="1" applyFill="1" applyBorder="1" applyAlignment="1" applyProtection="1">
      <alignment horizontal="center" vertical="center" wrapText="1"/>
      <protection locked="0"/>
    </xf>
    <xf numFmtId="0" fontId="116" fillId="0" borderId="0" xfId="58791" applyFont="1" applyFill="1" applyAlignment="1" applyProtection="1">
      <alignment vertical="center"/>
      <protection locked="0"/>
    </xf>
    <xf numFmtId="0" fontId="150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0" fillId="0" borderId="1" xfId="58791" applyFont="1" applyFill="1" applyBorder="1" applyAlignment="1" applyProtection="1">
      <alignment horizontal="center" vertical="center" wrapText="1"/>
      <protection locked="0"/>
    </xf>
    <xf numFmtId="3" fontId="148" fillId="0" borderId="1" xfId="58791" applyNumberFormat="1" applyFont="1" applyFill="1" applyBorder="1" applyAlignment="1" applyProtection="1">
      <alignment horizontal="center" vertical="center"/>
      <protection locked="0"/>
    </xf>
    <xf numFmtId="0" fontId="162" fillId="0" borderId="1" xfId="58791" applyFont="1" applyFill="1" applyBorder="1" applyAlignment="1" applyProtection="1">
      <alignment horizontal="center" vertical="center" wrapText="1"/>
      <protection locked="0"/>
    </xf>
    <xf numFmtId="3" fontId="116" fillId="0" borderId="1" xfId="58791" applyNumberFormat="1" applyFont="1" applyFill="1" applyBorder="1" applyAlignment="1" applyProtection="1">
      <alignment horizontal="center" vertical="center"/>
      <protection locked="0"/>
    </xf>
    <xf numFmtId="0" fontId="115" fillId="0" borderId="1" xfId="58791" applyFont="1" applyBorder="1" applyAlignment="1">
      <alignment horizontal="center" vertical="center"/>
    </xf>
    <xf numFmtId="0" fontId="139" fillId="0" borderId="0" xfId="58791" applyFont="1" applyFill="1" applyAlignment="1">
      <alignment vertical="center"/>
    </xf>
    <xf numFmtId="0" fontId="102" fillId="0" borderId="0" xfId="58594"/>
    <xf numFmtId="0" fontId="163" fillId="0" borderId="1" xfId="58594" applyFont="1" applyBorder="1" applyAlignment="1">
      <alignment horizontal="center"/>
    </xf>
    <xf numFmtId="0" fontId="163" fillId="0" borderId="1" xfId="58594" applyFont="1" applyBorder="1" applyAlignment="1">
      <alignment horizontal="center" vertical="center" wrapText="1"/>
    </xf>
    <xf numFmtId="0" fontId="163" fillId="0" borderId="1" xfId="58594" applyFont="1" applyBorder="1" applyAlignment="1">
      <alignment horizontal="center" vertical="center"/>
    </xf>
    <xf numFmtId="0" fontId="163" fillId="0" borderId="1" xfId="58594" applyFont="1" applyFill="1" applyBorder="1" applyAlignment="1">
      <alignment horizontal="center" vertical="center"/>
    </xf>
    <xf numFmtId="0" fontId="164" fillId="0" borderId="0" xfId="58594" applyFont="1"/>
    <xf numFmtId="3" fontId="126" fillId="0" borderId="1" xfId="58594" applyNumberFormat="1" applyFont="1" applyBorder="1" applyAlignment="1">
      <alignment horizontal="center" vertical="center"/>
    </xf>
    <xf numFmtId="3" fontId="126" fillId="0" borderId="1" xfId="58594" applyNumberFormat="1" applyFont="1" applyFill="1" applyBorder="1" applyAlignment="1">
      <alignment horizontal="center" vertical="center"/>
    </xf>
    <xf numFmtId="0" fontId="102" fillId="0" borderId="1" xfId="58594" applyBorder="1" applyAlignment="1">
      <alignment horizontal="center"/>
    </xf>
    <xf numFmtId="0" fontId="115" fillId="0" borderId="1" xfId="58594" applyFont="1" applyFill="1" applyBorder="1" applyAlignment="1">
      <alignment vertical="center" wrapText="1"/>
    </xf>
    <xf numFmtId="3" fontId="102" fillId="0" borderId="1" xfId="58594" applyNumberFormat="1" applyFill="1" applyBorder="1" applyAlignment="1">
      <alignment horizontal="center" vertical="center"/>
    </xf>
    <xf numFmtId="3" fontId="102" fillId="0" borderId="1" xfId="58594" applyNumberFormat="1" applyBorder="1" applyAlignment="1">
      <alignment horizontal="center" vertical="center"/>
    </xf>
    <xf numFmtId="3" fontId="102" fillId="0" borderId="0" xfId="58594" applyNumberFormat="1"/>
    <xf numFmtId="0" fontId="115" fillId="0" borderId="1" xfId="58594" applyFont="1" applyBorder="1" applyAlignment="1">
      <alignment vertical="center" wrapText="1"/>
    </xf>
    <xf numFmtId="49" fontId="102" fillId="0" borderId="1" xfId="58594" applyNumberFormat="1" applyBorder="1" applyAlignment="1">
      <alignment horizontal="center"/>
    </xf>
    <xf numFmtId="0" fontId="115" fillId="0" borderId="0" xfId="0" applyFont="1" applyFill="1"/>
    <xf numFmtId="0" fontId="151" fillId="0" borderId="0" xfId="0" applyFont="1" applyFill="1" applyAlignment="1">
      <alignment vertical="center"/>
    </xf>
    <xf numFmtId="0" fontId="139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justify" vertical="center"/>
    </xf>
    <xf numFmtId="0" fontId="139" fillId="0" borderId="29" xfId="0" applyFont="1" applyFill="1" applyBorder="1" applyAlignment="1">
      <alignment horizontal="center" wrapText="1"/>
    </xf>
    <xf numFmtId="0" fontId="146" fillId="0" borderId="29" xfId="0" applyFont="1" applyFill="1" applyBorder="1" applyAlignment="1">
      <alignment horizontal="right" wrapText="1"/>
    </xf>
    <xf numFmtId="0" fontId="146" fillId="0" borderId="1" xfId="0" applyFont="1" applyFill="1" applyBorder="1" applyAlignment="1">
      <alignment horizontal="center" vertical="center" wrapText="1"/>
    </xf>
    <xf numFmtId="0" fontId="116" fillId="0" borderId="0" xfId="0" applyFont="1" applyFill="1"/>
    <xf numFmtId="0" fontId="116" fillId="0" borderId="0" xfId="0" applyFont="1" applyFill="1" applyBorder="1" applyAlignment="1">
      <alignment horizontal="center"/>
    </xf>
    <xf numFmtId="0" fontId="147" fillId="0" borderId="1" xfId="0" applyFont="1" applyFill="1" applyBorder="1" applyAlignment="1">
      <alignment horizontal="center" vertical="center" wrapText="1"/>
    </xf>
    <xf numFmtId="0" fontId="117" fillId="0" borderId="27" xfId="0" applyFont="1" applyFill="1" applyBorder="1" applyAlignment="1">
      <alignment horizontal="center" vertical="center" wrapText="1"/>
    </xf>
    <xf numFmtId="0" fontId="117" fillId="0" borderId="70" xfId="0" applyFont="1" applyFill="1" applyBorder="1" applyAlignment="1">
      <alignment horizontal="center" vertical="center" wrapText="1"/>
    </xf>
    <xf numFmtId="0" fontId="117" fillId="0" borderId="34" xfId="0" applyFont="1" applyFill="1" applyBorder="1" applyAlignment="1">
      <alignment horizontal="center" vertical="center" wrapText="1"/>
    </xf>
    <xf numFmtId="0" fontId="117" fillId="0" borderId="2" xfId="0" applyFont="1" applyFill="1" applyBorder="1" applyAlignment="1">
      <alignment horizontal="center" vertical="center" wrapText="1"/>
    </xf>
    <xf numFmtId="0" fontId="118" fillId="0" borderId="0" xfId="0" applyFont="1" applyFill="1"/>
    <xf numFmtId="3" fontId="147" fillId="0" borderId="2" xfId="0" applyNumberFormat="1" applyFont="1" applyFill="1" applyBorder="1" applyAlignment="1">
      <alignment horizontal="center" vertical="center" wrapText="1"/>
    </xf>
    <xf numFmtId="3" fontId="118" fillId="0" borderId="0" xfId="0" applyNumberFormat="1" applyFont="1" applyFill="1"/>
    <xf numFmtId="0" fontId="130" fillId="0" borderId="55" xfId="0" applyFont="1" applyFill="1" applyBorder="1" applyAlignment="1">
      <alignment horizontal="center" vertical="center"/>
    </xf>
    <xf numFmtId="0" fontId="130" fillId="0" borderId="1" xfId="0" applyFont="1" applyFill="1" applyBorder="1" applyAlignment="1">
      <alignment horizontal="center" vertical="center"/>
    </xf>
    <xf numFmtId="4" fontId="130" fillId="0" borderId="1" xfId="61307" applyNumberFormat="1" applyFont="1" applyFill="1" applyBorder="1" applyAlignment="1">
      <alignment vertical="center" wrapText="1"/>
    </xf>
    <xf numFmtId="3" fontId="147" fillId="0" borderId="1" xfId="0" applyNumberFormat="1" applyFont="1" applyFill="1" applyBorder="1" applyAlignment="1">
      <alignment horizontal="center" vertical="center" wrapText="1"/>
    </xf>
    <xf numFmtId="3" fontId="115" fillId="0" borderId="0" xfId="0" applyNumberFormat="1" applyFont="1" applyFill="1"/>
    <xf numFmtId="49" fontId="146" fillId="74" borderId="1" xfId="18" applyNumberFormat="1" applyFont="1" applyFill="1" applyBorder="1" applyAlignment="1">
      <alignment horizontal="center" vertical="center"/>
    </xf>
    <xf numFmtId="4" fontId="130" fillId="0" borderId="1" xfId="61307" applyNumberFormat="1" applyFont="1" applyFill="1" applyBorder="1" applyAlignment="1">
      <alignment horizontal="left" vertical="center" wrapText="1"/>
    </xf>
    <xf numFmtId="3" fontId="130" fillId="0" borderId="1" xfId="61307" applyNumberFormat="1" applyFont="1" applyFill="1" applyBorder="1" applyAlignment="1">
      <alignment vertical="center" wrapText="1"/>
    </xf>
    <xf numFmtId="0" fontId="130" fillId="74" borderId="1" xfId="18" applyFont="1" applyFill="1" applyBorder="1" applyAlignment="1">
      <alignment horizontal="left" vertical="center" wrapText="1"/>
    </xf>
    <xf numFmtId="0" fontId="130" fillId="0" borderId="0" xfId="0" applyFont="1" applyFill="1" applyBorder="1" applyAlignment="1">
      <alignment horizontal="center" vertical="center"/>
    </xf>
    <xf numFmtId="0" fontId="158" fillId="0" borderId="0" xfId="61308" applyFont="1" applyFill="1"/>
    <xf numFmtId="0" fontId="158" fillId="0" borderId="0" xfId="61308" applyFont="1" applyFill="1" applyAlignment="1">
      <alignment horizontal="center" vertical="center"/>
    </xf>
    <xf numFmtId="49" fontId="158" fillId="0" borderId="0" xfId="61308" applyNumberFormat="1" applyFont="1" applyFill="1" applyAlignment="1">
      <alignment horizontal="center"/>
    </xf>
    <xf numFmtId="2" fontId="158" fillId="0" borderId="0" xfId="61308" applyNumberFormat="1" applyFont="1" applyFill="1"/>
    <xf numFmtId="2" fontId="158" fillId="0" borderId="0" xfId="61308" applyNumberFormat="1" applyFont="1" applyFill="1" applyAlignment="1">
      <alignment horizontal="center"/>
    </xf>
    <xf numFmtId="0" fontId="158" fillId="0" borderId="30" xfId="61308" applyFont="1" applyFill="1" applyBorder="1" applyAlignment="1">
      <alignment horizontal="center" vertical="center" wrapText="1"/>
    </xf>
    <xf numFmtId="0" fontId="158" fillId="0" borderId="1" xfId="61308" applyFont="1" applyFill="1" applyBorder="1" applyAlignment="1">
      <alignment horizontal="center" vertical="center" wrapText="1"/>
    </xf>
    <xf numFmtId="0" fontId="158" fillId="0" borderId="1" xfId="61308" applyFont="1" applyFill="1" applyBorder="1" applyAlignment="1">
      <alignment horizontal="center" vertical="center"/>
    </xf>
    <xf numFmtId="49" fontId="158" fillId="0" borderId="1" xfId="61308" applyNumberFormat="1" applyFont="1" applyFill="1" applyBorder="1" applyAlignment="1">
      <alignment horizontal="center" vertical="center" wrapText="1"/>
    </xf>
    <xf numFmtId="172" fontId="158" fillId="0" borderId="30" xfId="61308" applyNumberFormat="1" applyFont="1" applyFill="1" applyBorder="1" applyAlignment="1">
      <alignment horizontal="center" vertical="center" wrapText="1"/>
    </xf>
    <xf numFmtId="49" fontId="158" fillId="0" borderId="1" xfId="61308" applyNumberFormat="1" applyFont="1" applyFill="1" applyBorder="1" applyAlignment="1">
      <alignment horizontal="center"/>
    </xf>
    <xf numFmtId="0" fontId="158" fillId="0" borderId="1" xfId="61308" applyFont="1" applyFill="1" applyBorder="1" applyAlignment="1"/>
    <xf numFmtId="172" fontId="158" fillId="0" borderId="1" xfId="61309" applyNumberFormat="1" applyFont="1" applyFill="1" applyBorder="1" applyAlignment="1">
      <alignment horizontal="center" vertical="center"/>
    </xf>
    <xf numFmtId="49" fontId="158" fillId="0" borderId="1" xfId="61308" applyNumberFormat="1" applyFont="1" applyFill="1" applyBorder="1" applyAlignment="1">
      <alignment horizontal="center" vertical="center"/>
    </xf>
    <xf numFmtId="0" fontId="158" fillId="0" borderId="1" xfId="61308" applyFont="1" applyFill="1" applyBorder="1" applyAlignment="1">
      <alignment wrapText="1"/>
    </xf>
    <xf numFmtId="0" fontId="166" fillId="74" borderId="1" xfId="18" applyFont="1" applyFill="1" applyBorder="1" applyAlignment="1">
      <alignment vertical="center" wrapText="1"/>
    </xf>
    <xf numFmtId="172" fontId="158" fillId="0" borderId="0" xfId="61309" applyNumberFormat="1" applyFont="1" applyFill="1"/>
    <xf numFmtId="172" fontId="167" fillId="0" borderId="0" xfId="61309" applyNumberFormat="1" applyFont="1" applyFill="1" applyAlignment="1">
      <alignment horizontal="center"/>
    </xf>
    <xf numFmtId="170" fontId="158" fillId="0" borderId="0" xfId="61308" applyNumberFormat="1" applyFont="1" applyFill="1"/>
    <xf numFmtId="49" fontId="158" fillId="0" borderId="0" xfId="61308" quotePrefix="1" applyNumberFormat="1" applyFont="1" applyFill="1" applyAlignment="1">
      <alignment horizontal="center"/>
    </xf>
    <xf numFmtId="0" fontId="158" fillId="0" borderId="0" xfId="61308" applyFont="1" applyFill="1" applyAlignment="1">
      <alignment horizontal="center"/>
    </xf>
    <xf numFmtId="172" fontId="158" fillId="0" borderId="0" xfId="61308" applyNumberFormat="1" applyFont="1" applyFill="1" applyAlignment="1">
      <alignment horizontal="center"/>
    </xf>
    <xf numFmtId="0" fontId="158" fillId="0" borderId="0" xfId="61308" applyFont="1" applyFill="1" applyAlignment="1">
      <alignment wrapText="1"/>
    </xf>
    <xf numFmtId="0" fontId="115" fillId="0" borderId="0" xfId="0" applyFont="1" applyFill="1" applyAlignment="1">
      <alignment horizontal="center" vertical="center"/>
    </xf>
    <xf numFmtId="0" fontId="115" fillId="0" borderId="0" xfId="0" applyFont="1" applyFill="1" applyAlignment="1">
      <alignment horizontal="left" vertical="center"/>
    </xf>
    <xf numFmtId="0" fontId="156" fillId="0" borderId="0" xfId="0" applyFont="1" applyFill="1" applyAlignment="1">
      <alignment vertical="center"/>
    </xf>
    <xf numFmtId="3" fontId="156" fillId="0" borderId="42" xfId="0" applyNumberFormat="1" applyFont="1" applyFill="1" applyBorder="1" applyAlignment="1">
      <alignment horizontal="center" vertical="center" wrapText="1" shrinkToFit="1"/>
    </xf>
    <xf numFmtId="3" fontId="156" fillId="0" borderId="45" xfId="0" applyNumberFormat="1" applyFont="1" applyFill="1" applyBorder="1" applyAlignment="1">
      <alignment horizontal="center" vertical="center" wrapText="1" shrinkToFit="1"/>
    </xf>
    <xf numFmtId="3" fontId="154" fillId="0" borderId="45" xfId="0" applyNumberFormat="1" applyFont="1" applyFill="1" applyBorder="1" applyAlignment="1">
      <alignment horizontal="center" vertical="center" wrapText="1" shrinkToFit="1"/>
    </xf>
    <xf numFmtId="3" fontId="129" fillId="0" borderId="35" xfId="0" applyNumberFormat="1" applyFont="1" applyFill="1" applyBorder="1" applyAlignment="1">
      <alignment horizontal="center" vertical="center" wrapText="1" shrinkToFit="1"/>
    </xf>
    <xf numFmtId="3" fontId="129" fillId="0" borderId="2" xfId="0" applyNumberFormat="1" applyFont="1" applyFill="1" applyBorder="1" applyAlignment="1">
      <alignment horizontal="center" vertical="center" wrapText="1" shrinkToFit="1"/>
    </xf>
    <xf numFmtId="3" fontId="129" fillId="0" borderId="28" xfId="0" applyNumberFormat="1" applyFont="1" applyFill="1" applyBorder="1" applyAlignment="1">
      <alignment horizontal="center" vertical="center" wrapText="1"/>
    </xf>
    <xf numFmtId="3" fontId="129" fillId="0" borderId="53" xfId="0" applyNumberFormat="1" applyFont="1" applyFill="1" applyBorder="1" applyAlignment="1">
      <alignment horizontal="center" vertical="center"/>
    </xf>
    <xf numFmtId="3" fontId="129" fillId="0" borderId="35" xfId="0" applyNumberFormat="1" applyFont="1" applyFill="1" applyBorder="1" applyAlignment="1">
      <alignment horizontal="center" vertical="center" wrapText="1"/>
    </xf>
    <xf numFmtId="3" fontId="129" fillId="0" borderId="53" xfId="0" applyNumberFormat="1" applyFont="1" applyFill="1" applyBorder="1" applyAlignment="1">
      <alignment horizontal="center" vertical="center" wrapText="1"/>
    </xf>
    <xf numFmtId="3" fontId="129" fillId="0" borderId="30" xfId="0" applyNumberFormat="1" applyFont="1" applyFill="1" applyBorder="1" applyAlignment="1">
      <alignment horizontal="center" vertical="center" wrapText="1" shrinkToFit="1"/>
    </xf>
    <xf numFmtId="3" fontId="129" fillId="0" borderId="1" xfId="0" applyNumberFormat="1" applyFont="1" applyFill="1" applyBorder="1" applyAlignment="1">
      <alignment horizontal="center" vertical="center" wrapText="1" shrinkToFit="1"/>
    </xf>
    <xf numFmtId="3" fontId="129" fillId="0" borderId="25" xfId="0" applyNumberFormat="1" applyFont="1" applyFill="1" applyBorder="1" applyAlignment="1">
      <alignment horizontal="center" vertical="center" wrapText="1"/>
    </xf>
    <xf numFmtId="3" fontId="129" fillId="0" borderId="57" xfId="0" applyNumberFormat="1" applyFont="1" applyFill="1" applyBorder="1" applyAlignment="1">
      <alignment horizontal="center" vertical="center"/>
    </xf>
    <xf numFmtId="3" fontId="129" fillId="0" borderId="30" xfId="0" applyNumberFormat="1" applyFont="1" applyFill="1" applyBorder="1" applyAlignment="1">
      <alignment horizontal="center" vertical="center" wrapText="1"/>
    </xf>
    <xf numFmtId="3" fontId="129" fillId="0" borderId="57" xfId="0" applyNumberFormat="1" applyFont="1" applyFill="1" applyBorder="1" applyAlignment="1">
      <alignment horizontal="center" vertical="center" wrapText="1"/>
    </xf>
    <xf numFmtId="3" fontId="123" fillId="0" borderId="46" xfId="0" applyNumberFormat="1" applyFont="1" applyFill="1" applyBorder="1" applyAlignment="1">
      <alignment horizontal="center" vertical="center"/>
    </xf>
    <xf numFmtId="3" fontId="123" fillId="0" borderId="35" xfId="0" applyNumberFormat="1" applyFont="1" applyFill="1" applyBorder="1" applyAlignment="1">
      <alignment horizontal="center" vertical="center"/>
    </xf>
    <xf numFmtId="3" fontId="129" fillId="0" borderId="35" xfId="0" applyNumberFormat="1" applyFont="1" applyFill="1" applyBorder="1" applyAlignment="1">
      <alignment horizontal="center" vertical="center"/>
    </xf>
    <xf numFmtId="3" fontId="123" fillId="0" borderId="2" xfId="0" applyNumberFormat="1" applyFont="1" applyFill="1" applyBorder="1" applyAlignment="1">
      <alignment horizontal="center" vertical="center"/>
    </xf>
    <xf numFmtId="3" fontId="129" fillId="0" borderId="28" xfId="0" applyNumberFormat="1" applyFont="1" applyFill="1" applyBorder="1" applyAlignment="1">
      <alignment horizontal="center" vertical="center"/>
    </xf>
    <xf numFmtId="3" fontId="123" fillId="0" borderId="79" xfId="0" applyNumberFormat="1" applyFont="1" applyFill="1" applyBorder="1" applyAlignment="1">
      <alignment horizontal="center" vertical="center"/>
    </xf>
    <xf numFmtId="3" fontId="129" fillId="0" borderId="80" xfId="0" applyNumberFormat="1" applyFont="1" applyFill="1" applyBorder="1" applyAlignment="1">
      <alignment horizontal="center" vertical="center"/>
    </xf>
    <xf numFmtId="3" fontId="123" fillId="0" borderId="30" xfId="0" applyNumberFormat="1" applyFont="1" applyFill="1" applyBorder="1" applyAlignment="1">
      <alignment horizontal="center" vertical="center"/>
    </xf>
    <xf numFmtId="3" fontId="123" fillId="0" borderId="58" xfId="0" applyNumberFormat="1" applyFont="1" applyFill="1" applyBorder="1" applyAlignment="1">
      <alignment horizontal="center" vertical="center"/>
    </xf>
    <xf numFmtId="3" fontId="123" fillId="0" borderId="54" xfId="0" applyNumberFormat="1" applyFont="1" applyFill="1" applyBorder="1" applyAlignment="1">
      <alignment horizontal="center" vertical="center"/>
    </xf>
    <xf numFmtId="3" fontId="123" fillId="0" borderId="34" xfId="0" applyNumberFormat="1" applyFont="1" applyFill="1" applyBorder="1" applyAlignment="1">
      <alignment horizontal="center" vertical="center"/>
    </xf>
    <xf numFmtId="3" fontId="123" fillId="0" borderId="55" xfId="0" applyNumberFormat="1" applyFont="1" applyFill="1" applyBorder="1" applyAlignment="1">
      <alignment horizontal="center" vertical="center"/>
    </xf>
    <xf numFmtId="3" fontId="123" fillId="0" borderId="81" xfId="0" applyNumberFormat="1" applyFont="1" applyFill="1" applyBorder="1" applyAlignment="1">
      <alignment horizontal="center" vertical="center"/>
    </xf>
    <xf numFmtId="0" fontId="129" fillId="0" borderId="0" xfId="59101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left" vertical="top"/>
    </xf>
    <xf numFmtId="0" fontId="115" fillId="0" borderId="1" xfId="0" applyFont="1" applyFill="1" applyBorder="1" applyAlignment="1">
      <alignment horizontal="center" vertical="top"/>
    </xf>
    <xf numFmtId="0" fontId="115" fillId="0" borderId="0" xfId="0" applyFont="1" applyFill="1" applyBorder="1" applyAlignment="1">
      <alignment horizontal="center" vertical="top"/>
    </xf>
    <xf numFmtId="49" fontId="123" fillId="74" borderId="1" xfId="18" applyNumberFormat="1" applyFont="1" applyFill="1" applyBorder="1" applyAlignment="1">
      <alignment horizontal="center" vertical="center" wrapText="1"/>
    </xf>
    <xf numFmtId="0" fontId="120" fillId="74" borderId="1" xfId="7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0" fontId="123" fillId="0" borderId="0" xfId="0" applyFont="1" applyAlignment="1">
      <alignment horizontal="left" vertical="center"/>
    </xf>
    <xf numFmtId="3" fontId="120" fillId="0" borderId="0" xfId="7" applyNumberFormat="1" applyFont="1" applyFill="1" applyBorder="1" applyAlignment="1">
      <alignment horizontal="center" vertical="center" wrapText="1"/>
    </xf>
    <xf numFmtId="3" fontId="123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20" fillId="0" borderId="1" xfId="16" applyFont="1" applyFill="1" applyBorder="1" applyAlignment="1">
      <alignment horizontal="center" vertical="center" wrapText="1"/>
    </xf>
    <xf numFmtId="3" fontId="120" fillId="0" borderId="1" xfId="7" applyNumberFormat="1" applyFont="1" applyFill="1" applyBorder="1" applyAlignment="1">
      <alignment horizontal="center" vertical="center"/>
    </xf>
    <xf numFmtId="3" fontId="120" fillId="0" borderId="1" xfId="16" applyNumberFormat="1" applyFont="1" applyFill="1" applyBorder="1" applyAlignment="1">
      <alignment horizontal="center" vertical="center" wrapText="1"/>
    </xf>
    <xf numFmtId="0" fontId="120" fillId="74" borderId="25" xfId="7" applyFont="1" applyFill="1" applyBorder="1" applyAlignment="1">
      <alignment horizontal="center" vertical="center" wrapText="1"/>
    </xf>
    <xf numFmtId="3" fontId="120" fillId="0" borderId="1" xfId="61297" applyNumberFormat="1" applyFont="1" applyFill="1" applyBorder="1" applyAlignment="1">
      <alignment horizontal="center" vertical="center" wrapText="1"/>
    </xf>
    <xf numFmtId="3" fontId="114" fillId="0" borderId="1" xfId="0" applyNumberFormat="1" applyFont="1" applyBorder="1" applyAlignment="1">
      <alignment horizontal="center" vertical="center"/>
    </xf>
    <xf numFmtId="49" fontId="115" fillId="74" borderId="1" xfId="18" applyNumberFormat="1" applyFont="1" applyFill="1" applyBorder="1" applyAlignment="1">
      <alignment horizontal="center" vertical="center"/>
    </xf>
    <xf numFmtId="3" fontId="123" fillId="0" borderId="73" xfId="0" applyNumberFormat="1" applyFont="1" applyFill="1" applyBorder="1" applyAlignment="1">
      <alignment horizontal="center" vertical="center"/>
    </xf>
    <xf numFmtId="3" fontId="129" fillId="0" borderId="73" xfId="0" applyNumberFormat="1" applyFont="1" applyFill="1" applyBorder="1" applyAlignment="1">
      <alignment horizontal="center" vertical="center"/>
    </xf>
    <xf numFmtId="3" fontId="129" fillId="0" borderId="67" xfId="0" applyNumberFormat="1" applyFont="1" applyFill="1" applyBorder="1" applyAlignment="1">
      <alignment horizontal="center" vertical="center"/>
    </xf>
    <xf numFmtId="3" fontId="123" fillId="0" borderId="77" xfId="0" applyNumberFormat="1" applyFont="1" applyFill="1" applyBorder="1" applyAlignment="1">
      <alignment horizontal="center" vertical="center"/>
    </xf>
    <xf numFmtId="3" fontId="129" fillId="0" borderId="78" xfId="0" applyNumberFormat="1" applyFont="1" applyFill="1" applyBorder="1" applyAlignment="1">
      <alignment horizontal="center" vertical="center"/>
    </xf>
    <xf numFmtId="3" fontId="115" fillId="0" borderId="42" xfId="0" applyNumberFormat="1" applyFont="1" applyFill="1" applyBorder="1" applyAlignment="1">
      <alignment horizontal="center" vertical="center" wrapText="1"/>
    </xf>
    <xf numFmtId="3" fontId="135" fillId="0" borderId="45" xfId="0" applyNumberFormat="1" applyFont="1" applyFill="1" applyBorder="1" applyAlignment="1">
      <alignment horizontal="center" vertical="center" wrapText="1"/>
    </xf>
    <xf numFmtId="3" fontId="136" fillId="0" borderId="45" xfId="0" applyNumberFormat="1" applyFont="1" applyFill="1" applyBorder="1" applyAlignment="1">
      <alignment horizontal="center" vertical="center"/>
    </xf>
    <xf numFmtId="3" fontId="115" fillId="0" borderId="45" xfId="0" applyNumberFormat="1" applyFont="1" applyFill="1" applyBorder="1" applyAlignment="1">
      <alignment horizontal="center" vertical="center" wrapText="1"/>
    </xf>
    <xf numFmtId="3" fontId="138" fillId="0" borderId="44" xfId="0" applyNumberFormat="1" applyFont="1" applyFill="1" applyBorder="1" applyAlignment="1">
      <alignment horizontal="center" vertical="center" wrapText="1"/>
    </xf>
    <xf numFmtId="3" fontId="135" fillId="0" borderId="42" xfId="0" applyNumberFormat="1" applyFont="1" applyFill="1" applyBorder="1" applyAlignment="1">
      <alignment horizontal="center" vertical="center" wrapText="1"/>
    </xf>
    <xf numFmtId="3" fontId="135" fillId="0" borderId="67" xfId="0" applyNumberFormat="1" applyFont="1" applyFill="1" applyBorder="1" applyAlignment="1">
      <alignment horizontal="center" vertical="center" wrapText="1"/>
    </xf>
    <xf numFmtId="0" fontId="129" fillId="0" borderId="28" xfId="0" applyFont="1" applyFill="1" applyBorder="1" applyAlignment="1">
      <alignment vertical="center"/>
    </xf>
    <xf numFmtId="3" fontId="123" fillId="0" borderId="42" xfId="59670" applyNumberFormat="1" applyFont="1" applyFill="1" applyBorder="1" applyAlignment="1">
      <alignment horizontal="center" vertical="center" wrapText="1"/>
    </xf>
    <xf numFmtId="3" fontId="123" fillId="0" borderId="45" xfId="59670" applyNumberFormat="1" applyFont="1" applyFill="1" applyBorder="1" applyAlignment="1">
      <alignment horizontal="center" vertical="center" wrapText="1"/>
    </xf>
    <xf numFmtId="0" fontId="123" fillId="74" borderId="0" xfId="0" applyFont="1" applyFill="1" applyAlignment="1">
      <alignment horizontal="right" vertical="center"/>
    </xf>
    <xf numFmtId="0" fontId="129" fillId="74" borderId="0" xfId="0" applyNumberFormat="1" applyFont="1" applyFill="1" applyBorder="1" applyAlignment="1">
      <alignment horizontal="center" vertical="center" wrapText="1"/>
    </xf>
    <xf numFmtId="0" fontId="129" fillId="74" borderId="0" xfId="0" applyFont="1" applyFill="1" applyAlignment="1">
      <alignment horizontal="right" vertical="center"/>
    </xf>
    <xf numFmtId="0" fontId="123" fillId="74" borderId="0" xfId="0" applyFont="1" applyFill="1" applyAlignment="1">
      <alignment horizontal="center" vertical="center"/>
    </xf>
    <xf numFmtId="0" fontId="123" fillId="74" borderId="0" xfId="0" applyFont="1" applyFill="1" applyAlignment="1">
      <alignment horizontal="left" vertical="center"/>
    </xf>
    <xf numFmtId="3" fontId="123" fillId="74" borderId="0" xfId="0" applyNumberFormat="1" applyFont="1" applyFill="1" applyAlignment="1">
      <alignment horizontal="center" vertical="center"/>
    </xf>
    <xf numFmtId="3" fontId="114" fillId="74" borderId="1" xfId="0" applyNumberFormat="1" applyFont="1" applyFill="1" applyBorder="1" applyAlignment="1">
      <alignment horizontal="center" vertical="center" wrapText="1"/>
    </xf>
    <xf numFmtId="3" fontId="120" fillId="0" borderId="50" xfId="0" applyNumberFormat="1" applyFont="1" applyBorder="1" applyAlignment="1">
      <alignment horizontal="center" vertical="center" wrapText="1"/>
    </xf>
    <xf numFmtId="3" fontId="120" fillId="0" borderId="50" xfId="0" applyNumberFormat="1" applyFont="1" applyBorder="1" applyAlignment="1">
      <alignment horizontal="center" vertical="center"/>
    </xf>
    <xf numFmtId="3" fontId="114" fillId="74" borderId="50" xfId="0" applyNumberFormat="1" applyFont="1" applyFill="1" applyBorder="1" applyAlignment="1">
      <alignment horizontal="center" vertical="center" wrapText="1"/>
    </xf>
    <xf numFmtId="3" fontId="114" fillId="0" borderId="50" xfId="0" applyNumberFormat="1" applyFont="1" applyBorder="1" applyAlignment="1">
      <alignment horizontal="center" vertical="center"/>
    </xf>
    <xf numFmtId="3" fontId="120" fillId="0" borderId="45" xfId="16" applyNumberFormat="1" applyFont="1" applyFill="1" applyBorder="1" applyAlignment="1">
      <alignment horizontal="center" vertical="center" wrapText="1"/>
    </xf>
    <xf numFmtId="3" fontId="120" fillId="0" borderId="45" xfId="7" applyNumberFormat="1" applyFont="1" applyFill="1" applyBorder="1" applyAlignment="1">
      <alignment horizontal="center" vertical="center"/>
    </xf>
    <xf numFmtId="3" fontId="120" fillId="0" borderId="44" xfId="0" applyNumberFormat="1" applyFont="1" applyBorder="1" applyAlignment="1">
      <alignment horizontal="center" vertical="center"/>
    </xf>
    <xf numFmtId="3" fontId="114" fillId="74" borderId="2" xfId="0" applyNumberFormat="1" applyFont="1" applyFill="1" applyBorder="1" applyAlignment="1">
      <alignment horizontal="center" vertical="center" wrapText="1"/>
    </xf>
    <xf numFmtId="3" fontId="114" fillId="74" borderId="47" xfId="0" applyNumberFormat="1" applyFont="1" applyFill="1" applyBorder="1" applyAlignment="1">
      <alignment horizontal="center" vertical="center" wrapText="1"/>
    </xf>
    <xf numFmtId="0" fontId="139" fillId="0" borderId="25" xfId="60910" applyFont="1" applyFill="1" applyBorder="1" applyAlignment="1">
      <alignment horizontal="left" vertical="center" wrapText="1"/>
    </xf>
    <xf numFmtId="0" fontId="120" fillId="0" borderId="30" xfId="0" applyFont="1" applyBorder="1" applyAlignment="1">
      <alignment horizontal="center" vertical="center" wrapText="1"/>
    </xf>
    <xf numFmtId="3" fontId="114" fillId="74" borderId="35" xfId="0" applyNumberFormat="1" applyFont="1" applyFill="1" applyBorder="1" applyAlignment="1">
      <alignment horizontal="center" vertical="center" wrapText="1"/>
    </xf>
    <xf numFmtId="3" fontId="114" fillId="0" borderId="30" xfId="0" applyNumberFormat="1" applyFont="1" applyBorder="1" applyAlignment="1">
      <alignment horizontal="center" vertical="center"/>
    </xf>
    <xf numFmtId="3" fontId="114" fillId="74" borderId="30" xfId="0" applyNumberFormat="1" applyFont="1" applyFill="1" applyBorder="1" applyAlignment="1">
      <alignment horizontal="center" vertical="center" wrapText="1"/>
    </xf>
    <xf numFmtId="0" fontId="120" fillId="0" borderId="30" xfId="0" applyFont="1" applyBorder="1" applyAlignment="1">
      <alignment horizontal="center" vertical="center"/>
    </xf>
    <xf numFmtId="3" fontId="120" fillId="0" borderId="30" xfId="7" applyNumberFormat="1" applyFont="1" applyFill="1" applyBorder="1" applyAlignment="1">
      <alignment horizontal="center" vertical="center"/>
    </xf>
    <xf numFmtId="3" fontId="120" fillId="0" borderId="73" xfId="7" applyNumberFormat="1" applyFont="1" applyFill="1" applyBorder="1" applyAlignment="1">
      <alignment horizontal="center" vertical="center"/>
    </xf>
    <xf numFmtId="3" fontId="114" fillId="74" borderId="46" xfId="0" applyNumberFormat="1" applyFont="1" applyFill="1" applyBorder="1" applyAlignment="1">
      <alignment horizontal="center" vertical="center" wrapText="1"/>
    </xf>
    <xf numFmtId="3" fontId="114" fillId="74" borderId="48" xfId="0" applyNumberFormat="1" applyFont="1" applyFill="1" applyBorder="1" applyAlignment="1">
      <alignment horizontal="center" vertical="center" wrapText="1"/>
    </xf>
    <xf numFmtId="0" fontId="120" fillId="0" borderId="48" xfId="16" applyFont="1" applyFill="1" applyBorder="1" applyAlignment="1">
      <alignment horizontal="center" vertical="center" wrapText="1"/>
    </xf>
    <xf numFmtId="0" fontId="120" fillId="0" borderId="50" xfId="0" applyFont="1" applyBorder="1" applyAlignment="1">
      <alignment horizontal="center" vertical="center"/>
    </xf>
    <xf numFmtId="3" fontId="120" fillId="0" borderId="48" xfId="16" applyNumberFormat="1" applyFont="1" applyFill="1" applyBorder="1" applyAlignment="1">
      <alignment horizontal="center" vertical="center" wrapText="1"/>
    </xf>
    <xf numFmtId="3" fontId="120" fillId="0" borderId="50" xfId="7" applyNumberFormat="1" applyFont="1" applyFill="1" applyBorder="1" applyAlignment="1">
      <alignment horizontal="center" vertical="center"/>
    </xf>
    <xf numFmtId="0" fontId="120" fillId="74" borderId="58" xfId="7" applyFont="1" applyFill="1" applyBorder="1" applyAlignment="1">
      <alignment horizontal="center" vertical="center" wrapText="1"/>
    </xf>
    <xf numFmtId="0" fontId="120" fillId="74" borderId="48" xfId="7" applyFont="1" applyFill="1" applyBorder="1" applyAlignment="1">
      <alignment horizontal="center" vertical="center" wrapText="1"/>
    </xf>
    <xf numFmtId="3" fontId="120" fillId="0" borderId="48" xfId="61297" applyNumberFormat="1" applyFont="1" applyFill="1" applyBorder="1" applyAlignment="1">
      <alignment horizontal="center" vertical="center" wrapText="1"/>
    </xf>
    <xf numFmtId="3" fontId="120" fillId="0" borderId="42" xfId="16" applyNumberFormat="1" applyFont="1" applyFill="1" applyBorder="1" applyAlignment="1">
      <alignment horizontal="center" vertical="center" wrapText="1"/>
    </xf>
    <xf numFmtId="3" fontId="120" fillId="0" borderId="44" xfId="7" applyNumberFormat="1" applyFont="1" applyFill="1" applyBorder="1" applyAlignment="1">
      <alignment horizontal="center" vertical="center"/>
    </xf>
    <xf numFmtId="0" fontId="139" fillId="0" borderId="29" xfId="60910" applyFont="1" applyFill="1" applyBorder="1" applyAlignment="1">
      <alignment horizontal="left" vertical="center" wrapText="1"/>
    </xf>
    <xf numFmtId="0" fontId="139" fillId="0" borderId="26" xfId="60910" applyFont="1" applyFill="1" applyBorder="1" applyAlignment="1">
      <alignment horizontal="left" vertical="center" wrapText="1"/>
    </xf>
    <xf numFmtId="0" fontId="120" fillId="0" borderId="26" xfId="16" applyFont="1" applyFill="1" applyBorder="1" applyAlignment="1">
      <alignment horizontal="left" vertical="center" wrapText="1"/>
    </xf>
    <xf numFmtId="3" fontId="120" fillId="0" borderId="26" xfId="16" applyNumberFormat="1" applyFont="1" applyFill="1" applyBorder="1" applyAlignment="1">
      <alignment horizontal="left" vertical="center" wrapText="1"/>
    </xf>
    <xf numFmtId="0" fontId="120" fillId="0" borderId="26" xfId="16" applyFont="1" applyFill="1" applyBorder="1" applyAlignment="1">
      <alignment vertical="center" wrapText="1"/>
    </xf>
    <xf numFmtId="0" fontId="120" fillId="74" borderId="26" xfId="7" applyFont="1" applyFill="1" applyBorder="1" applyAlignment="1">
      <alignment horizontal="left" vertical="center" wrapText="1"/>
    </xf>
    <xf numFmtId="3" fontId="120" fillId="0" borderId="26" xfId="61297" applyNumberFormat="1" applyFont="1" applyFill="1" applyBorder="1" applyAlignment="1">
      <alignment horizontal="left" vertical="center" wrapText="1"/>
    </xf>
    <xf numFmtId="3" fontId="120" fillId="0" borderId="66" xfId="16" applyNumberFormat="1" applyFont="1" applyFill="1" applyBorder="1" applyAlignment="1">
      <alignment horizontal="left" vertical="center" wrapText="1"/>
    </xf>
    <xf numFmtId="3" fontId="123" fillId="0" borderId="30" xfId="7" applyNumberFormat="1" applyFont="1" applyFill="1" applyBorder="1" applyAlignment="1">
      <alignment horizontal="center" vertical="center" wrapText="1"/>
    </xf>
    <xf numFmtId="3" fontId="123" fillId="0" borderId="73" xfId="7" applyNumberFormat="1" applyFont="1" applyFill="1" applyBorder="1" applyAlignment="1">
      <alignment horizontal="center" vertical="center" wrapText="1"/>
    </xf>
    <xf numFmtId="3" fontId="129" fillId="0" borderId="35" xfId="7" applyNumberFormat="1" applyFont="1" applyFill="1" applyBorder="1" applyAlignment="1">
      <alignment horizontal="center" vertical="center" wrapText="1"/>
    </xf>
    <xf numFmtId="3" fontId="129" fillId="0" borderId="30" xfId="7" applyNumberFormat="1" applyFont="1" applyFill="1" applyBorder="1" applyAlignment="1">
      <alignment horizontal="center" vertical="center" wrapText="1"/>
    </xf>
    <xf numFmtId="3" fontId="123" fillId="74" borderId="30" xfId="0" applyNumberFormat="1" applyFont="1" applyFill="1" applyBorder="1" applyAlignment="1">
      <alignment horizontal="center" vertical="center"/>
    </xf>
    <xf numFmtId="3" fontId="123" fillId="0" borderId="30" xfId="7" applyNumberFormat="1" applyFont="1" applyFill="1" applyBorder="1" applyAlignment="1">
      <alignment horizontal="center" vertical="center"/>
    </xf>
    <xf numFmtId="3" fontId="123" fillId="74" borderId="73" xfId="0" applyNumberFormat="1" applyFont="1" applyFill="1" applyBorder="1" applyAlignment="1">
      <alignment horizontal="center" vertical="center"/>
    </xf>
    <xf numFmtId="0" fontId="139" fillId="0" borderId="53" xfId="60910" applyFont="1" applyFill="1" applyBorder="1" applyAlignment="1">
      <alignment horizontal="left" vertical="center" wrapText="1"/>
    </xf>
    <xf numFmtId="0" fontId="139" fillId="0" borderId="57" xfId="60910" applyFont="1" applyFill="1" applyBorder="1" applyAlignment="1">
      <alignment horizontal="left" vertical="center" wrapText="1"/>
    </xf>
    <xf numFmtId="0" fontId="123" fillId="74" borderId="57" xfId="7" applyFont="1" applyFill="1" applyBorder="1" applyAlignment="1">
      <alignment horizontal="left" vertical="center" wrapText="1"/>
    </xf>
    <xf numFmtId="0" fontId="123" fillId="74" borderId="57" xfId="0" applyFont="1" applyFill="1" applyBorder="1" applyAlignment="1">
      <alignment horizontal="left" vertical="center" wrapText="1"/>
    </xf>
    <xf numFmtId="0" fontId="123" fillId="74" borderId="72" xfId="7" applyFont="1" applyFill="1" applyBorder="1" applyAlignment="1">
      <alignment horizontal="left" vertical="center" wrapText="1"/>
    </xf>
    <xf numFmtId="0" fontId="123" fillId="74" borderId="69" xfId="7" applyFont="1" applyFill="1" applyBorder="1" applyAlignment="1">
      <alignment horizontal="left" vertical="center" wrapText="1"/>
    </xf>
    <xf numFmtId="3" fontId="123" fillId="0" borderId="25" xfId="7" applyNumberFormat="1" applyFont="1" applyFill="1" applyBorder="1" applyAlignment="1">
      <alignment horizontal="center" vertical="center" wrapText="1"/>
    </xf>
    <xf numFmtId="3" fontId="123" fillId="0" borderId="67" xfId="7" applyNumberFormat="1" applyFont="1" applyFill="1" applyBorder="1" applyAlignment="1">
      <alignment horizontal="center" vertical="center" wrapText="1"/>
    </xf>
    <xf numFmtId="3" fontId="129" fillId="0" borderId="28" xfId="7" applyNumberFormat="1" applyFont="1" applyFill="1" applyBorder="1" applyAlignment="1">
      <alignment horizontal="center" vertical="center" wrapText="1"/>
    </xf>
    <xf numFmtId="3" fontId="129" fillId="0" borderId="25" xfId="7" applyNumberFormat="1" applyFont="1" applyFill="1" applyBorder="1" applyAlignment="1">
      <alignment horizontal="center" vertical="center" wrapText="1"/>
    </xf>
    <xf numFmtId="3" fontId="123" fillId="74" borderId="25" xfId="0" applyNumberFormat="1" applyFont="1" applyFill="1" applyBorder="1" applyAlignment="1">
      <alignment horizontal="center" vertical="center"/>
    </xf>
    <xf numFmtId="3" fontId="123" fillId="74" borderId="67" xfId="0" applyNumberFormat="1" applyFont="1" applyFill="1" applyBorder="1" applyAlignment="1">
      <alignment horizontal="center" vertical="center"/>
    </xf>
    <xf numFmtId="3" fontId="129" fillId="0" borderId="80" xfId="7" applyNumberFormat="1" applyFont="1" applyFill="1" applyBorder="1" applyAlignment="1">
      <alignment horizontal="center" vertical="center" wrapText="1"/>
    </xf>
    <xf numFmtId="0" fontId="132" fillId="0" borderId="49" xfId="0" applyFont="1" applyBorder="1" applyAlignment="1">
      <alignment horizontal="center" vertical="center" wrapText="1"/>
    </xf>
    <xf numFmtId="3" fontId="129" fillId="0" borderId="49" xfId="7" applyNumberFormat="1" applyFont="1" applyFill="1" applyBorder="1" applyAlignment="1">
      <alignment horizontal="center" vertical="center" wrapText="1"/>
    </xf>
    <xf numFmtId="3" fontId="123" fillId="74" borderId="49" xfId="0" applyNumberFormat="1" applyFont="1" applyFill="1" applyBorder="1" applyAlignment="1">
      <alignment horizontal="center" vertical="center"/>
    </xf>
    <xf numFmtId="3" fontId="123" fillId="74" borderId="78" xfId="0" applyNumberFormat="1" applyFont="1" applyFill="1" applyBorder="1" applyAlignment="1">
      <alignment horizontal="center" vertical="center"/>
    </xf>
    <xf numFmtId="3" fontId="129" fillId="0" borderId="53" xfId="7" applyNumberFormat="1" applyFont="1" applyFill="1" applyBorder="1" applyAlignment="1">
      <alignment horizontal="center" vertical="center" wrapText="1"/>
    </xf>
    <xf numFmtId="0" fontId="132" fillId="0" borderId="57" xfId="0" applyFont="1" applyBorder="1" applyAlignment="1">
      <alignment horizontal="center" vertical="center" wrapText="1"/>
    </xf>
    <xf numFmtId="3" fontId="129" fillId="0" borderId="57" xfId="7" applyNumberFormat="1" applyFont="1" applyFill="1" applyBorder="1" applyAlignment="1">
      <alignment horizontal="center" vertical="center" wrapText="1"/>
    </xf>
    <xf numFmtId="3" fontId="123" fillId="74" borderId="57" xfId="0" applyNumberFormat="1" applyFont="1" applyFill="1" applyBorder="1" applyAlignment="1">
      <alignment horizontal="center" vertical="center"/>
    </xf>
    <xf numFmtId="3" fontId="123" fillId="74" borderId="69" xfId="0" applyNumberFormat="1" applyFont="1" applyFill="1" applyBorder="1" applyAlignment="1">
      <alignment horizontal="center" vertical="center"/>
    </xf>
    <xf numFmtId="0" fontId="123" fillId="75" borderId="36" xfId="59101" applyFont="1" applyFill="1" applyBorder="1" applyAlignment="1">
      <alignment horizontal="center" vertical="center" wrapText="1"/>
    </xf>
    <xf numFmtId="0" fontId="123" fillId="75" borderId="62" xfId="59101" applyFont="1" applyFill="1" applyBorder="1" applyAlignment="1">
      <alignment horizontal="center" vertical="center" wrapText="1"/>
    </xf>
    <xf numFmtId="0" fontId="115" fillId="0" borderId="48" xfId="0" applyFont="1" applyFill="1" applyBorder="1" applyAlignment="1">
      <alignment horizontal="center" vertical="top"/>
    </xf>
    <xf numFmtId="0" fontId="123" fillId="0" borderId="48" xfId="59101" applyFont="1" applyBorder="1" applyAlignment="1">
      <alignment horizontal="center" vertical="center"/>
    </xf>
    <xf numFmtId="0" fontId="123" fillId="74" borderId="63" xfId="59101" applyFont="1" applyFill="1" applyBorder="1" applyAlignment="1">
      <alignment horizontal="center" vertical="center" wrapText="1"/>
    </xf>
    <xf numFmtId="0" fontId="123" fillId="74" borderId="25" xfId="18" applyFont="1" applyFill="1" applyBorder="1" applyAlignment="1">
      <alignment horizontal="left" vertical="center" wrapText="1"/>
    </xf>
    <xf numFmtId="0" fontId="115" fillId="74" borderId="25" xfId="18" applyFont="1" applyFill="1" applyBorder="1" applyAlignment="1">
      <alignment horizontal="left" vertical="center" wrapText="1"/>
    </xf>
    <xf numFmtId="49" fontId="123" fillId="0" borderId="25" xfId="59101" applyNumberFormat="1" applyFont="1" applyFill="1" applyBorder="1" applyAlignment="1">
      <alignment horizontal="left" vertical="center" wrapText="1"/>
    </xf>
    <xf numFmtId="49" fontId="123" fillId="0" borderId="67" xfId="59101" applyNumberFormat="1" applyFont="1" applyFill="1" applyBorder="1" applyAlignment="1">
      <alignment horizontal="left" vertical="center" wrapText="1"/>
    </xf>
    <xf numFmtId="0" fontId="123" fillId="75" borderId="40" xfId="59101" applyFont="1" applyFill="1" applyBorder="1" applyAlignment="1">
      <alignment horizontal="center" vertical="center" wrapText="1"/>
    </xf>
    <xf numFmtId="0" fontId="123" fillId="0" borderId="49" xfId="59101" applyFont="1" applyBorder="1" applyAlignment="1">
      <alignment horizontal="center" vertical="center"/>
    </xf>
    <xf numFmtId="3" fontId="151" fillId="0" borderId="49" xfId="59101" applyNumberFormat="1" applyFont="1" applyFill="1" applyBorder="1" applyAlignment="1">
      <alignment horizontal="center" vertical="center" shrinkToFit="1"/>
    </xf>
    <xf numFmtId="3" fontId="123" fillId="0" borderId="49" xfId="59101" applyNumberFormat="1" applyFont="1" applyBorder="1" applyAlignment="1">
      <alignment horizontal="center" vertical="center"/>
    </xf>
    <xf numFmtId="3" fontId="144" fillId="0" borderId="49" xfId="59101" applyNumberFormat="1" applyFont="1" applyFill="1" applyBorder="1" applyAlignment="1">
      <alignment horizontal="center" vertical="center" shrinkToFit="1"/>
    </xf>
    <xf numFmtId="3" fontId="144" fillId="0" borderId="78" xfId="59101" applyNumberFormat="1" applyFont="1" applyFill="1" applyBorder="1" applyAlignment="1">
      <alignment horizontal="center" vertical="center" shrinkToFit="1"/>
    </xf>
    <xf numFmtId="2" fontId="123" fillId="74" borderId="68" xfId="59101" applyNumberFormat="1" applyFont="1" applyFill="1" applyBorder="1" applyAlignment="1">
      <alignment horizontal="center" vertical="center" wrapText="1"/>
    </xf>
    <xf numFmtId="3" fontId="144" fillId="0" borderId="57" xfId="59101" applyNumberFormat="1" applyFont="1" applyFill="1" applyBorder="1" applyAlignment="1">
      <alignment horizontal="center" vertical="center" shrinkToFit="1"/>
    </xf>
    <xf numFmtId="3" fontId="151" fillId="0" borderId="57" xfId="59101" applyNumberFormat="1" applyFont="1" applyFill="1" applyBorder="1" applyAlignment="1">
      <alignment horizontal="center" vertical="center" shrinkToFit="1"/>
    </xf>
    <xf numFmtId="1" fontId="129" fillId="0" borderId="57" xfId="59101" applyNumberFormat="1" applyFont="1" applyBorder="1" applyAlignment="1">
      <alignment horizontal="center" vertical="center"/>
    </xf>
    <xf numFmtId="3" fontId="144" fillId="0" borderId="69" xfId="59101" applyNumberFormat="1" applyFont="1" applyFill="1" applyBorder="1" applyAlignment="1">
      <alignment horizontal="center" vertical="center" shrinkToFit="1"/>
    </xf>
    <xf numFmtId="0" fontId="115" fillId="0" borderId="36" xfId="0" applyFont="1" applyFill="1" applyBorder="1" applyAlignment="1">
      <alignment horizontal="center" vertical="top"/>
    </xf>
    <xf numFmtId="0" fontId="115" fillId="0" borderId="62" xfId="0" applyFont="1" applyFill="1" applyBorder="1" applyAlignment="1">
      <alignment horizontal="center" vertical="top"/>
    </xf>
    <xf numFmtId="0" fontId="139" fillId="0" borderId="63" xfId="60910" applyFont="1" applyFill="1" applyBorder="1" applyAlignment="1">
      <alignment horizontal="left" vertical="center" wrapText="1"/>
    </xf>
    <xf numFmtId="3" fontId="129" fillId="74" borderId="49" xfId="59101" applyNumberFormat="1" applyFont="1" applyFill="1" applyBorder="1" applyAlignment="1">
      <alignment horizontal="center" vertical="center" wrapText="1"/>
    </xf>
    <xf numFmtId="3" fontId="129" fillId="74" borderId="57" xfId="59101" applyNumberFormat="1" applyFont="1" applyFill="1" applyBorder="1" applyAlignment="1">
      <alignment horizontal="center" vertical="center" wrapText="1"/>
    </xf>
    <xf numFmtId="0" fontId="139" fillId="0" borderId="68" xfId="0" applyFont="1" applyFill="1" applyBorder="1" applyAlignment="1">
      <alignment horizontal="center" vertical="top"/>
    </xf>
    <xf numFmtId="0" fontId="139" fillId="0" borderId="57" xfId="0" applyFont="1" applyFill="1" applyBorder="1" applyAlignment="1">
      <alignment horizontal="center" vertical="top"/>
    </xf>
    <xf numFmtId="0" fontId="139" fillId="0" borderId="49" xfId="0" applyFont="1" applyFill="1" applyBorder="1" applyAlignment="1">
      <alignment horizontal="center" vertical="top"/>
    </xf>
    <xf numFmtId="3" fontId="139" fillId="0" borderId="57" xfId="0" applyNumberFormat="1" applyFont="1" applyFill="1" applyBorder="1" applyAlignment="1">
      <alignment horizontal="center" vertical="top"/>
    </xf>
    <xf numFmtId="3" fontId="129" fillId="0" borderId="80" xfId="0" applyNumberFormat="1" applyFont="1" applyFill="1" applyBorder="1" applyAlignment="1">
      <alignment horizontal="center" vertical="center" wrapText="1"/>
    </xf>
    <xf numFmtId="3" fontId="135" fillId="0" borderId="79" xfId="0" applyNumberFormat="1" applyFont="1" applyFill="1" applyBorder="1" applyAlignment="1">
      <alignment horizontal="center" vertical="center" wrapText="1"/>
    </xf>
    <xf numFmtId="0" fontId="135" fillId="0" borderId="79" xfId="0" applyFont="1" applyFill="1" applyBorder="1" applyAlignment="1">
      <alignment horizontal="center" vertical="center"/>
    </xf>
    <xf numFmtId="0" fontId="136" fillId="0" borderId="79" xfId="0" applyFont="1" applyFill="1" applyBorder="1" applyAlignment="1">
      <alignment horizontal="center" vertical="center"/>
    </xf>
    <xf numFmtId="0" fontId="135" fillId="0" borderId="77" xfId="0" applyFont="1" applyFill="1" applyBorder="1" applyAlignment="1">
      <alignment horizontal="center" vertical="center"/>
    </xf>
    <xf numFmtId="0" fontId="135" fillId="0" borderId="30" xfId="0" applyFont="1" applyFill="1" applyBorder="1" applyAlignment="1">
      <alignment horizontal="left" vertical="center" wrapText="1"/>
    </xf>
    <xf numFmtId="0" fontId="123" fillId="0" borderId="30" xfId="18" applyFont="1" applyFill="1" applyBorder="1" applyAlignment="1">
      <alignment horizontal="left" vertical="center" wrapText="1"/>
    </xf>
    <xf numFmtId="0" fontId="135" fillId="0" borderId="73" xfId="0" applyFont="1" applyFill="1" applyBorder="1" applyAlignment="1">
      <alignment horizontal="left" vertical="center" wrapText="1"/>
    </xf>
    <xf numFmtId="3" fontId="135" fillId="0" borderId="53" xfId="0" applyNumberFormat="1" applyFont="1" applyFill="1" applyBorder="1" applyAlignment="1">
      <alignment horizontal="center" vertical="center" wrapText="1"/>
    </xf>
    <xf numFmtId="0" fontId="135" fillId="0" borderId="53" xfId="0" applyFont="1" applyFill="1" applyBorder="1" applyAlignment="1">
      <alignment horizontal="center" vertical="center" wrapText="1"/>
    </xf>
    <xf numFmtId="0" fontId="136" fillId="0" borderId="53" xfId="0" applyFont="1" applyFill="1" applyBorder="1" applyAlignment="1">
      <alignment horizontal="center" vertical="center" wrapText="1"/>
    </xf>
    <xf numFmtId="0" fontId="135" fillId="0" borderId="69" xfId="0" applyFont="1" applyFill="1" applyBorder="1" applyAlignment="1">
      <alignment horizontal="center" vertical="center" wrapText="1"/>
    </xf>
    <xf numFmtId="3" fontId="139" fillId="0" borderId="35" xfId="0" applyNumberFormat="1" applyFont="1" applyFill="1" applyBorder="1" applyAlignment="1">
      <alignment vertical="center"/>
    </xf>
    <xf numFmtId="0" fontId="173" fillId="0" borderId="0" xfId="0" applyFont="1" applyFill="1" applyAlignment="1">
      <alignment horizontal="center" vertical="center"/>
    </xf>
    <xf numFmtId="0" fontId="176" fillId="0" borderId="1" xfId="0" applyFont="1" applyFill="1" applyBorder="1" applyAlignment="1">
      <alignment horizontal="center" vertical="center" wrapText="1"/>
    </xf>
    <xf numFmtId="0" fontId="123" fillId="0" borderId="28" xfId="0" applyFont="1" applyFill="1" applyBorder="1" applyAlignment="1">
      <alignment horizontal="center" vertical="center" wrapText="1"/>
    </xf>
    <xf numFmtId="0" fontId="123" fillId="0" borderId="25" xfId="0" applyFont="1" applyFill="1" applyBorder="1" applyAlignment="1">
      <alignment horizontal="center" vertical="center" wrapText="1"/>
    </xf>
    <xf numFmtId="0" fontId="123" fillId="0" borderId="79" xfId="0" applyFont="1" applyFill="1" applyBorder="1" applyAlignment="1">
      <alignment horizontal="center" vertical="center"/>
    </xf>
    <xf numFmtId="0" fontId="123" fillId="0" borderId="77" xfId="0" applyFont="1" applyFill="1" applyBorder="1" applyAlignment="1">
      <alignment horizontal="center" vertical="center"/>
    </xf>
    <xf numFmtId="0" fontId="129" fillId="0" borderId="80" xfId="61250" applyFont="1" applyFill="1" applyBorder="1" applyAlignment="1">
      <alignment vertical="center"/>
    </xf>
    <xf numFmtId="4" fontId="129" fillId="0" borderId="49" xfId="61250" applyNumberFormat="1" applyFont="1" applyFill="1" applyBorder="1" applyAlignment="1">
      <alignment vertical="center" wrapText="1"/>
    </xf>
    <xf numFmtId="3" fontId="123" fillId="0" borderId="80" xfId="61297" applyNumberFormat="1" applyFont="1" applyFill="1" applyBorder="1" applyAlignment="1">
      <alignment horizontal="left" vertical="center" wrapText="1"/>
    </xf>
    <xf numFmtId="3" fontId="123" fillId="0" borderId="49" xfId="61297" applyNumberFormat="1" applyFont="1" applyFill="1" applyBorder="1" applyAlignment="1">
      <alignment horizontal="left" vertical="center" wrapText="1"/>
    </xf>
    <xf numFmtId="3" fontId="123" fillId="0" borderId="49" xfId="58755" applyNumberFormat="1" applyFont="1" applyFill="1" applyBorder="1" applyAlignment="1">
      <alignment horizontal="left" vertical="center" wrapText="1"/>
    </xf>
    <xf numFmtId="1" fontId="123" fillId="0" borderId="49" xfId="61297" applyNumberFormat="1" applyFont="1" applyFill="1" applyBorder="1" applyAlignment="1">
      <alignment horizontal="left" vertical="center" wrapText="1"/>
    </xf>
    <xf numFmtId="3" fontId="123" fillId="0" borderId="49" xfId="0" applyNumberFormat="1" applyFont="1" applyFill="1" applyBorder="1" applyAlignment="1">
      <alignment vertical="center" wrapText="1"/>
    </xf>
    <xf numFmtId="4" fontId="123" fillId="0" borderId="49" xfId="61297" applyNumberFormat="1" applyFont="1" applyFill="1" applyBorder="1" applyAlignment="1">
      <alignment horizontal="left" vertical="center" wrapText="1"/>
    </xf>
    <xf numFmtId="3" fontId="123" fillId="0" borderId="84" xfId="0" applyNumberFormat="1" applyFont="1" applyFill="1" applyBorder="1" applyAlignment="1">
      <alignment vertical="center" wrapText="1"/>
    </xf>
    <xf numFmtId="3" fontId="123" fillId="0" borderId="78" xfId="61297" applyNumberFormat="1" applyFont="1" applyFill="1" applyBorder="1" applyAlignment="1">
      <alignment horizontal="left" vertical="center" wrapText="1"/>
    </xf>
    <xf numFmtId="0" fontId="123" fillId="0" borderId="53" xfId="0" applyFont="1" applyFill="1" applyBorder="1" applyAlignment="1">
      <alignment horizontal="center" vertical="center"/>
    </xf>
    <xf numFmtId="0" fontId="123" fillId="0" borderId="57" xfId="0" applyFont="1" applyFill="1" applyBorder="1" applyAlignment="1">
      <alignment horizontal="center" vertical="center"/>
    </xf>
    <xf numFmtId="0" fontId="123" fillId="0" borderId="72" xfId="0" applyFont="1" applyFill="1" applyBorder="1" applyAlignment="1">
      <alignment horizontal="center" vertical="center"/>
    </xf>
    <xf numFmtId="0" fontId="123" fillId="0" borderId="69" xfId="0" applyFont="1" applyFill="1" applyBorder="1" applyAlignment="1">
      <alignment horizontal="center" vertical="center"/>
    </xf>
    <xf numFmtId="0" fontId="123" fillId="74" borderId="79" xfId="0" applyFont="1" applyFill="1" applyBorder="1" applyAlignment="1">
      <alignment horizontal="center" vertical="center" wrapText="1"/>
    </xf>
    <xf numFmtId="3" fontId="123" fillId="0" borderId="58" xfId="7" applyNumberFormat="1" applyFont="1" applyFill="1" applyBorder="1" applyAlignment="1">
      <alignment horizontal="center" vertical="center"/>
    </xf>
    <xf numFmtId="3" fontId="123" fillId="0" borderId="77" xfId="7" applyNumberFormat="1" applyFont="1" applyFill="1" applyBorder="1" applyAlignment="1">
      <alignment horizontal="center" vertical="center"/>
    </xf>
    <xf numFmtId="0" fontId="123" fillId="74" borderId="53" xfId="0" applyFont="1" applyFill="1" applyBorder="1" applyAlignment="1">
      <alignment horizontal="center" vertical="center" wrapText="1"/>
    </xf>
    <xf numFmtId="49" fontId="123" fillId="74" borderId="57" xfId="7" applyNumberFormat="1" applyFont="1" applyFill="1" applyBorder="1" applyAlignment="1">
      <alignment horizontal="center" vertical="center" wrapText="1"/>
    </xf>
    <xf numFmtId="0" fontId="123" fillId="74" borderId="57" xfId="7" applyFont="1" applyFill="1" applyBorder="1" applyAlignment="1">
      <alignment horizontal="center" vertical="center" wrapText="1"/>
    </xf>
    <xf numFmtId="49" fontId="123" fillId="74" borderId="57" xfId="7" applyNumberFormat="1" applyFont="1" applyFill="1" applyBorder="1" applyAlignment="1">
      <alignment horizontal="center" vertical="center"/>
    </xf>
    <xf numFmtId="49" fontId="123" fillId="74" borderId="57" xfId="0" applyNumberFormat="1" applyFont="1" applyFill="1" applyBorder="1" applyAlignment="1">
      <alignment horizontal="center" vertical="center" wrapText="1"/>
    </xf>
    <xf numFmtId="49" fontId="123" fillId="74" borderId="72" xfId="7" applyNumberFormat="1" applyFont="1" applyFill="1" applyBorder="1" applyAlignment="1">
      <alignment horizontal="center" vertical="center"/>
    </xf>
    <xf numFmtId="0" fontId="123" fillId="74" borderId="69" xfId="7" applyFont="1" applyFill="1" applyBorder="1" applyAlignment="1">
      <alignment horizontal="center" vertical="center" wrapText="1"/>
    </xf>
    <xf numFmtId="0" fontId="120" fillId="74" borderId="79" xfId="0" applyFont="1" applyFill="1" applyBorder="1" applyAlignment="1">
      <alignment horizontal="center" vertical="center" wrapText="1"/>
    </xf>
    <xf numFmtId="0" fontId="120" fillId="74" borderId="58" xfId="0" applyFont="1" applyFill="1" applyBorder="1" applyAlignment="1">
      <alignment horizontal="center" vertical="center" wrapText="1"/>
    </xf>
    <xf numFmtId="3" fontId="120" fillId="0" borderId="58" xfId="7" applyNumberFormat="1" applyFont="1" applyFill="1" applyBorder="1" applyAlignment="1">
      <alignment horizontal="center" vertical="center"/>
    </xf>
    <xf numFmtId="3" fontId="120" fillId="0" borderId="77" xfId="7" applyNumberFormat="1" applyFont="1" applyFill="1" applyBorder="1" applyAlignment="1">
      <alignment horizontal="center" vertical="center"/>
    </xf>
    <xf numFmtId="0" fontId="120" fillId="74" borderId="53" xfId="0" applyFont="1" applyFill="1" applyBorder="1" applyAlignment="1">
      <alignment horizontal="center" vertical="center" wrapText="1"/>
    </xf>
    <xf numFmtId="0" fontId="120" fillId="74" borderId="57" xfId="0" applyFont="1" applyFill="1" applyBorder="1" applyAlignment="1">
      <alignment horizontal="center" vertical="center" wrapText="1"/>
    </xf>
    <xf numFmtId="49" fontId="120" fillId="74" borderId="57" xfId="7" applyNumberFormat="1" applyFont="1" applyFill="1" applyBorder="1" applyAlignment="1">
      <alignment horizontal="center" vertical="center" wrapText="1"/>
    </xf>
    <xf numFmtId="0" fontId="120" fillId="74" borderId="57" xfId="7" applyFont="1" applyFill="1" applyBorder="1" applyAlignment="1">
      <alignment horizontal="center" vertical="center" wrapText="1"/>
    </xf>
    <xf numFmtId="49" fontId="120" fillId="74" borderId="57" xfId="7" applyNumberFormat="1" applyFont="1" applyFill="1" applyBorder="1" applyAlignment="1">
      <alignment horizontal="center" vertical="center"/>
    </xf>
    <xf numFmtId="49" fontId="120" fillId="74" borderId="57" xfId="0" applyNumberFormat="1" applyFont="1" applyFill="1" applyBorder="1" applyAlignment="1">
      <alignment horizontal="center" vertical="center" wrapText="1"/>
    </xf>
    <xf numFmtId="49" fontId="120" fillId="74" borderId="72" xfId="7" applyNumberFormat="1" applyFont="1" applyFill="1" applyBorder="1" applyAlignment="1">
      <alignment horizontal="center" vertical="center"/>
    </xf>
    <xf numFmtId="0" fontId="120" fillId="74" borderId="69" xfId="7" applyFont="1" applyFill="1" applyBorder="1" applyAlignment="1">
      <alignment horizontal="center" vertical="center" wrapText="1"/>
    </xf>
    <xf numFmtId="0" fontId="176" fillId="0" borderId="45" xfId="0" applyFont="1" applyFill="1" applyBorder="1" applyAlignment="1">
      <alignment horizontal="center" vertical="center" wrapText="1"/>
    </xf>
    <xf numFmtId="0" fontId="173" fillId="0" borderId="45" xfId="0" applyFont="1" applyFill="1" applyBorder="1" applyAlignment="1">
      <alignment horizontal="center" vertical="center" wrapText="1"/>
    </xf>
    <xf numFmtId="3" fontId="120" fillId="0" borderId="42" xfId="7" applyNumberFormat="1" applyFont="1" applyFill="1" applyBorder="1" applyAlignment="1">
      <alignment horizontal="center" vertical="center" wrapText="1"/>
    </xf>
    <xf numFmtId="3" fontId="120" fillId="0" borderId="45" xfId="7" applyNumberFormat="1" applyFont="1" applyFill="1" applyBorder="1" applyAlignment="1">
      <alignment horizontal="center" vertical="center" wrapText="1"/>
    </xf>
    <xf numFmtId="3" fontId="120" fillId="0" borderId="44" xfId="7" applyNumberFormat="1" applyFont="1" applyFill="1" applyBorder="1" applyAlignment="1">
      <alignment horizontal="center" vertical="center" wrapText="1"/>
    </xf>
    <xf numFmtId="3" fontId="120" fillId="0" borderId="73" xfId="0" applyNumberFormat="1" applyFont="1" applyBorder="1" applyAlignment="1">
      <alignment horizontal="center" vertical="center" wrapText="1"/>
    </xf>
    <xf numFmtId="3" fontId="120" fillId="0" borderId="45" xfId="0" applyNumberFormat="1" applyFont="1" applyBorder="1" applyAlignment="1">
      <alignment horizontal="center" vertical="center" wrapText="1"/>
    </xf>
    <xf numFmtId="3" fontId="120" fillId="0" borderId="44" xfId="0" applyNumberFormat="1" applyFont="1" applyBorder="1" applyAlignment="1">
      <alignment horizontal="center" vertical="center" wrapText="1"/>
    </xf>
    <xf numFmtId="3" fontId="148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14" fillId="74" borderId="1" xfId="0" applyNumberFormat="1" applyFont="1" applyFill="1" applyBorder="1" applyAlignment="1">
      <alignment vertical="center" wrapText="1"/>
    </xf>
    <xf numFmtId="3" fontId="139" fillId="74" borderId="1" xfId="61302" applyNumberFormat="1" applyFont="1" applyFill="1" applyBorder="1" applyAlignment="1">
      <alignment horizontal="center"/>
    </xf>
    <xf numFmtId="0" fontId="139" fillId="74" borderId="0" xfId="61302" applyFont="1" applyFill="1" applyAlignment="1">
      <alignment horizontal="center"/>
    </xf>
    <xf numFmtId="0" fontId="139" fillId="74" borderId="1" xfId="61302" applyFont="1" applyFill="1" applyBorder="1" applyAlignment="1">
      <alignment horizontal="center"/>
    </xf>
    <xf numFmtId="3" fontId="116" fillId="0" borderId="0" xfId="61310" applyNumberFormat="1" applyFont="1" applyFill="1"/>
    <xf numFmtId="3" fontId="116" fillId="0" borderId="55" xfId="61310" applyNumberFormat="1" applyFont="1" applyFill="1" applyBorder="1" applyAlignment="1">
      <alignment horizontal="center" vertical="center" wrapText="1"/>
    </xf>
    <xf numFmtId="3" fontId="119" fillId="0" borderId="55" xfId="61310" applyNumberFormat="1" applyFont="1" applyFill="1" applyBorder="1" applyAlignment="1">
      <alignment horizontal="center" vertical="center" wrapText="1"/>
    </xf>
    <xf numFmtId="3" fontId="119" fillId="0" borderId="1" xfId="61311" applyNumberFormat="1" applyFont="1" applyFill="1" applyBorder="1" applyAlignment="1">
      <alignment horizontal="center" vertical="center" wrapText="1"/>
    </xf>
    <xf numFmtId="3" fontId="117" fillId="0" borderId="1" xfId="61310" applyNumberFormat="1" applyFont="1" applyFill="1" applyBorder="1" applyAlignment="1">
      <alignment horizontal="center" vertical="center" wrapText="1"/>
    </xf>
    <xf numFmtId="3" fontId="117" fillId="0" borderId="1" xfId="61310" applyNumberFormat="1" applyFont="1" applyFill="1" applyBorder="1" applyAlignment="1">
      <alignment horizontal="center" vertical="center"/>
    </xf>
    <xf numFmtId="3" fontId="118" fillId="0" borderId="1" xfId="61310" applyNumberFormat="1" applyFont="1" applyFill="1" applyBorder="1" applyAlignment="1">
      <alignment horizontal="center"/>
    </xf>
    <xf numFmtId="170" fontId="118" fillId="0" borderId="0" xfId="61310" applyNumberFormat="1" applyFont="1" applyFill="1"/>
    <xf numFmtId="3" fontId="118" fillId="0" borderId="0" xfId="61310" applyNumberFormat="1" applyFont="1" applyFill="1"/>
    <xf numFmtId="3" fontId="125" fillId="0" borderId="1" xfId="61310" applyNumberFormat="1" applyFont="1" applyFill="1" applyBorder="1" applyAlignment="1">
      <alignment horizontal="center" vertical="center"/>
    </xf>
    <xf numFmtId="3" fontId="125" fillId="0" borderId="1" xfId="61310" applyNumberFormat="1" applyFont="1" applyFill="1" applyBorder="1" applyAlignment="1">
      <alignment horizontal="center" vertical="center" wrapText="1"/>
    </xf>
    <xf numFmtId="3" fontId="126" fillId="0" borderId="1" xfId="61310" applyNumberFormat="1" applyFont="1" applyFill="1" applyBorder="1" applyAlignment="1">
      <alignment horizontal="center"/>
    </xf>
    <xf numFmtId="4" fontId="118" fillId="0" borderId="0" xfId="61310" applyNumberFormat="1" applyFont="1" applyFill="1"/>
    <xf numFmtId="3" fontId="119" fillId="0" borderId="1" xfId="61310" applyNumberFormat="1" applyFont="1" applyFill="1" applyBorder="1" applyAlignment="1">
      <alignment horizontal="center" vertical="center"/>
    </xf>
    <xf numFmtId="3" fontId="116" fillId="0" borderId="1" xfId="61310" applyNumberFormat="1" applyFont="1" applyFill="1" applyBorder="1" applyAlignment="1">
      <alignment horizontal="center"/>
    </xf>
    <xf numFmtId="3" fontId="116" fillId="0" borderId="1" xfId="61310" applyNumberFormat="1" applyFont="1" applyFill="1" applyBorder="1" applyAlignment="1">
      <alignment horizontal="center" vertical="center"/>
    </xf>
    <xf numFmtId="3" fontId="116" fillId="0" borderId="1" xfId="61310" applyNumberFormat="1" applyFont="1" applyFill="1" applyBorder="1" applyAlignment="1">
      <alignment horizontal="center" vertical="center" wrapText="1"/>
    </xf>
    <xf numFmtId="3" fontId="116" fillId="0" borderId="0" xfId="61310" applyNumberFormat="1" applyFont="1" applyFill="1" applyAlignment="1">
      <alignment horizontal="center"/>
    </xf>
    <xf numFmtId="4" fontId="116" fillId="0" borderId="0" xfId="61310" applyNumberFormat="1" applyFont="1" applyFill="1"/>
    <xf numFmtId="0" fontId="116" fillId="0" borderId="0" xfId="61310" applyFont="1" applyFill="1"/>
    <xf numFmtId="0" fontId="119" fillId="0" borderId="55" xfId="61310" applyFont="1" applyFill="1" applyBorder="1" applyAlignment="1">
      <alignment horizontal="center" vertical="center" wrapText="1"/>
    </xf>
    <xf numFmtId="0" fontId="119" fillId="0" borderId="25" xfId="61310" applyFont="1" applyFill="1" applyBorder="1" applyAlignment="1">
      <alignment horizontal="center" vertical="center" wrapText="1"/>
    </xf>
    <xf numFmtId="0" fontId="116" fillId="0" borderId="1" xfId="61310" applyFont="1" applyFill="1" applyBorder="1" applyAlignment="1">
      <alignment horizontal="center" vertical="center" wrapText="1"/>
    </xf>
    <xf numFmtId="0" fontId="117" fillId="0" borderId="1" xfId="61310" applyFont="1" applyFill="1" applyBorder="1" applyAlignment="1">
      <alignment horizontal="center" vertical="center" wrapText="1"/>
    </xf>
    <xf numFmtId="0" fontId="117" fillId="0" borderId="1" xfId="61310" applyFont="1" applyFill="1" applyBorder="1" applyAlignment="1">
      <alignment horizontal="center" vertical="center"/>
    </xf>
    <xf numFmtId="0" fontId="118" fillId="0" borderId="0" xfId="61310" applyFont="1" applyFill="1"/>
    <xf numFmtId="0" fontId="116" fillId="0" borderId="0" xfId="61310" applyFont="1" applyFill="1" applyAlignment="1">
      <alignment horizontal="center"/>
    </xf>
    <xf numFmtId="0" fontId="124" fillId="0" borderId="0" xfId="61310" applyFont="1" applyFill="1" applyBorder="1" applyAlignment="1">
      <alignment horizontal="center" vertical="center" wrapText="1"/>
    </xf>
    <xf numFmtId="0" fontId="116" fillId="0" borderId="1" xfId="61312" applyFont="1" applyFill="1" applyBorder="1" applyAlignment="1">
      <alignment horizontal="center" vertical="center" wrapText="1"/>
    </xf>
    <xf numFmtId="0" fontId="118" fillId="0" borderId="1" xfId="61310" applyFont="1" applyFill="1" applyBorder="1" applyAlignment="1">
      <alignment horizontal="center"/>
    </xf>
    <xf numFmtId="3" fontId="126" fillId="0" borderId="0" xfId="61310" applyNumberFormat="1" applyFont="1" applyFill="1" applyAlignment="1">
      <alignment horizontal="center"/>
    </xf>
    <xf numFmtId="170" fontId="116" fillId="0" borderId="0" xfId="61310" applyNumberFormat="1" applyFont="1" applyFill="1"/>
    <xf numFmtId="0" fontId="128" fillId="0" borderId="0" xfId="61311" applyFont="1" applyFill="1" applyBorder="1" applyAlignment="1">
      <alignment vertical="center" wrapText="1"/>
    </xf>
    <xf numFmtId="0" fontId="116" fillId="0" borderId="0" xfId="61312" applyFont="1" applyFill="1"/>
    <xf numFmtId="0" fontId="116" fillId="0" borderId="0" xfId="61312" applyFont="1" applyFill="1" applyBorder="1"/>
    <xf numFmtId="0" fontId="119" fillId="0" borderId="25" xfId="61312" applyFont="1" applyFill="1" applyBorder="1" applyAlignment="1">
      <alignment horizontal="center" vertical="center" wrapText="1"/>
    </xf>
    <xf numFmtId="0" fontId="117" fillId="0" borderId="1" xfId="61312" applyFont="1" applyFill="1" applyBorder="1" applyAlignment="1">
      <alignment horizontal="center" vertical="center" wrapText="1"/>
    </xf>
    <xf numFmtId="0" fontId="117" fillId="0" borderId="1" xfId="61312" applyFont="1" applyFill="1" applyBorder="1" applyAlignment="1">
      <alignment horizontal="center" vertical="center"/>
    </xf>
    <xf numFmtId="3" fontId="117" fillId="0" borderId="1" xfId="61312" applyNumberFormat="1" applyFont="1" applyFill="1" applyBorder="1" applyAlignment="1">
      <alignment horizontal="center" vertical="center"/>
    </xf>
    <xf numFmtId="0" fontId="118" fillId="0" borderId="1" xfId="61312" applyFont="1" applyFill="1" applyBorder="1" applyAlignment="1">
      <alignment horizontal="center"/>
    </xf>
    <xf numFmtId="0" fontId="118" fillId="0" borderId="0" xfId="61312" applyFont="1" applyFill="1"/>
    <xf numFmtId="3" fontId="125" fillId="0" borderId="1" xfId="61312" applyNumberFormat="1" applyFont="1" applyFill="1" applyBorder="1" applyAlignment="1">
      <alignment horizontal="center" vertical="center"/>
    </xf>
    <xf numFmtId="4" fontId="118" fillId="0" borderId="0" xfId="61312" applyNumberFormat="1" applyFont="1" applyFill="1"/>
    <xf numFmtId="3" fontId="118" fillId="0" borderId="0" xfId="61312" applyNumberFormat="1" applyFont="1" applyFill="1"/>
    <xf numFmtId="3" fontId="118" fillId="0" borderId="1" xfId="61312" applyNumberFormat="1" applyFont="1" applyFill="1" applyBorder="1" applyAlignment="1">
      <alignment horizontal="center"/>
    </xf>
    <xf numFmtId="3" fontId="119" fillId="0" borderId="1" xfId="61312" applyNumberFormat="1" applyFont="1" applyFill="1" applyBorder="1" applyAlignment="1">
      <alignment horizontal="center" vertical="center"/>
    </xf>
    <xf numFmtId="3" fontId="116" fillId="0" borderId="1" xfId="61312" applyNumberFormat="1" applyFont="1" applyFill="1" applyBorder="1" applyAlignment="1">
      <alignment horizontal="center" vertical="center"/>
    </xf>
    <xf numFmtId="3" fontId="116" fillId="0" borderId="0" xfId="61312" applyNumberFormat="1" applyFont="1" applyFill="1" applyAlignment="1">
      <alignment horizontal="center"/>
    </xf>
    <xf numFmtId="3" fontId="116" fillId="0" borderId="0" xfId="61312" applyNumberFormat="1" applyFont="1" applyFill="1"/>
    <xf numFmtId="0" fontId="116" fillId="0" borderId="0" xfId="61312" applyFont="1" applyFill="1" applyAlignment="1">
      <alignment horizontal="center"/>
    </xf>
    <xf numFmtId="4" fontId="116" fillId="0" borderId="0" xfId="61312" applyNumberFormat="1" applyFont="1" applyFill="1"/>
    <xf numFmtId="0" fontId="115" fillId="0" borderId="0" xfId="0" applyFont="1" applyAlignment="1">
      <alignment horizontal="center" vertical="center"/>
    </xf>
    <xf numFmtId="0" fontId="139" fillId="74" borderId="0" xfId="0" applyFont="1" applyFill="1" applyAlignment="1">
      <alignment horizontal="center" vertical="center" wrapText="1"/>
    </xf>
    <xf numFmtId="49" fontId="129" fillId="74" borderId="0" xfId="16" applyNumberFormat="1" applyFont="1" applyFill="1" applyBorder="1" applyAlignment="1">
      <alignment horizontal="center" vertical="center" wrapText="1"/>
    </xf>
    <xf numFmtId="49" fontId="129" fillId="74" borderId="0" xfId="16" applyNumberFormat="1" applyFont="1" applyFill="1" applyBorder="1" applyAlignment="1">
      <alignment horizontal="left" vertical="center" wrapText="1"/>
    </xf>
    <xf numFmtId="49" fontId="129" fillId="74" borderId="86" xfId="16" applyNumberFormat="1" applyFont="1" applyFill="1" applyBorder="1" applyAlignment="1" applyProtection="1">
      <alignment horizontal="center" vertical="center" wrapText="1"/>
    </xf>
    <xf numFmtId="49" fontId="123" fillId="74" borderId="87" xfId="16" applyNumberFormat="1" applyFont="1" applyFill="1" applyBorder="1" applyAlignment="1" applyProtection="1">
      <alignment horizontal="center" vertical="center" wrapText="1"/>
    </xf>
    <xf numFmtId="0" fontId="115" fillId="77" borderId="62" xfId="0" applyFont="1" applyFill="1" applyBorder="1" applyAlignment="1">
      <alignment horizontal="center" vertical="center" wrapText="1"/>
    </xf>
    <xf numFmtId="0" fontId="115" fillId="74" borderId="62" xfId="0" applyFont="1" applyFill="1" applyBorder="1" applyAlignment="1" applyProtection="1">
      <alignment horizontal="center" vertical="center" wrapText="1"/>
      <protection locked="0"/>
    </xf>
    <xf numFmtId="49" fontId="115" fillId="74" borderId="62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62" xfId="0" applyFont="1" applyBorder="1" applyAlignment="1">
      <alignment horizontal="center" vertical="center" wrapText="1"/>
    </xf>
    <xf numFmtId="0" fontId="115" fillId="74" borderId="45" xfId="0" applyFont="1" applyFill="1" applyBorder="1" applyAlignment="1" applyProtection="1">
      <alignment horizontal="center" vertical="center" wrapText="1"/>
      <protection locked="0"/>
    </xf>
    <xf numFmtId="49" fontId="115" fillId="74" borderId="45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45" xfId="0" applyFont="1" applyBorder="1" applyAlignment="1">
      <alignment horizontal="center" vertical="center" wrapText="1"/>
    </xf>
    <xf numFmtId="49" fontId="139" fillId="74" borderId="83" xfId="0" applyNumberFormat="1" applyFont="1" applyFill="1" applyBorder="1" applyAlignment="1">
      <alignment horizontal="center" vertical="center" wrapText="1"/>
    </xf>
    <xf numFmtId="0" fontId="115" fillId="74" borderId="43" xfId="0" applyFont="1" applyFill="1" applyBorder="1" applyAlignment="1" applyProtection="1">
      <alignment horizontal="center" vertical="center" wrapText="1"/>
      <protection locked="0"/>
    </xf>
    <xf numFmtId="49" fontId="115" fillId="74" borderId="43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43" xfId="0" applyFont="1" applyBorder="1" applyAlignment="1">
      <alignment horizontal="center" vertical="center" wrapText="1"/>
    </xf>
    <xf numFmtId="0" fontId="115" fillId="74" borderId="1" xfId="0" applyFont="1" applyFill="1" applyBorder="1" applyAlignment="1" applyProtection="1">
      <alignment horizontal="center" vertical="center" wrapText="1"/>
      <protection locked="0"/>
    </xf>
    <xf numFmtId="49" fontId="115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1" xfId="0" applyFont="1" applyBorder="1" applyAlignment="1">
      <alignment horizontal="center" vertical="center" wrapText="1"/>
    </xf>
    <xf numFmtId="0" fontId="115" fillId="74" borderId="55" xfId="0" applyFont="1" applyFill="1" applyBorder="1" applyAlignment="1" applyProtection="1">
      <alignment horizontal="center" vertical="center" wrapText="1"/>
      <protection locked="0"/>
    </xf>
    <xf numFmtId="49" fontId="115" fillId="74" borderId="55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55" xfId="0" applyFont="1" applyBorder="1" applyAlignment="1">
      <alignment horizontal="center" vertical="center" wrapText="1"/>
    </xf>
    <xf numFmtId="0" fontId="115" fillId="74" borderId="2" xfId="0" applyFont="1" applyFill="1" applyBorder="1" applyAlignment="1" applyProtection="1">
      <alignment horizontal="center" vertical="center" wrapText="1"/>
      <protection locked="0"/>
    </xf>
    <xf numFmtId="49" fontId="115" fillId="74" borderId="2" xfId="0" applyNumberFormat="1" applyFont="1" applyFill="1" applyBorder="1" applyAlignment="1" applyProtection="1">
      <alignment horizontal="left" vertical="center" wrapText="1"/>
      <protection locked="0"/>
    </xf>
    <xf numFmtId="0" fontId="123" fillId="0" borderId="2" xfId="0" applyFont="1" applyBorder="1" applyAlignment="1">
      <alignment horizontal="center" vertical="center" wrapText="1"/>
    </xf>
    <xf numFmtId="49" fontId="139" fillId="74" borderId="88" xfId="0" applyNumberFormat="1" applyFont="1" applyFill="1" applyBorder="1" applyAlignment="1">
      <alignment horizontal="center" vertical="center" wrapText="1"/>
    </xf>
    <xf numFmtId="0" fontId="115" fillId="74" borderId="89" xfId="0" applyFont="1" applyFill="1" applyBorder="1" applyAlignment="1" applyProtection="1">
      <alignment horizontal="center" vertical="center" wrapText="1"/>
      <protection locked="0"/>
    </xf>
    <xf numFmtId="49" fontId="115" fillId="74" borderId="89" xfId="0" applyNumberFormat="1" applyFont="1" applyFill="1" applyBorder="1" applyAlignment="1" applyProtection="1">
      <alignment horizontal="left" vertical="center" wrapText="1"/>
      <protection locked="0"/>
    </xf>
    <xf numFmtId="0" fontId="129" fillId="0" borderId="89" xfId="0" applyFont="1" applyBorder="1" applyAlignment="1">
      <alignment horizontal="center" vertical="center" wrapText="1"/>
    </xf>
    <xf numFmtId="3" fontId="139" fillId="0" borderId="89" xfId="0" applyNumberFormat="1" applyFont="1" applyBorder="1" applyAlignment="1">
      <alignment horizontal="center" vertical="center"/>
    </xf>
    <xf numFmtId="0" fontId="115" fillId="74" borderId="0" xfId="0" applyFont="1" applyFill="1" applyAlignment="1">
      <alignment horizontal="center" vertical="center" wrapText="1"/>
    </xf>
    <xf numFmtId="0" fontId="115" fillId="74" borderId="0" xfId="0" applyFont="1" applyFill="1" applyAlignment="1">
      <alignment horizontal="left" vertical="center" wrapText="1"/>
    </xf>
    <xf numFmtId="3" fontId="129" fillId="0" borderId="67" xfId="0" applyNumberFormat="1" applyFont="1" applyFill="1" applyBorder="1" applyAlignment="1">
      <alignment horizontal="center" vertical="center" wrapText="1"/>
    </xf>
    <xf numFmtId="0" fontId="123" fillId="0" borderId="46" xfId="0" applyFont="1" applyFill="1" applyBorder="1" applyAlignment="1">
      <alignment horizontal="center" vertical="center" wrapText="1"/>
    </xf>
    <xf numFmtId="49" fontId="123" fillId="0" borderId="2" xfId="0" applyNumberFormat="1" applyFont="1" applyFill="1" applyBorder="1" applyAlignment="1">
      <alignment horizontal="center" vertical="center" wrapText="1"/>
    </xf>
    <xf numFmtId="0" fontId="129" fillId="0" borderId="47" xfId="0" applyFont="1" applyFill="1" applyBorder="1" applyAlignment="1">
      <alignment vertical="center"/>
    </xf>
    <xf numFmtId="3" fontId="129" fillId="0" borderId="79" xfId="0" applyNumberFormat="1" applyFont="1" applyFill="1" applyBorder="1" applyAlignment="1">
      <alignment horizontal="center" vertical="center" wrapText="1"/>
    </xf>
    <xf numFmtId="0" fontId="129" fillId="0" borderId="48" xfId="0" applyFont="1" applyFill="1" applyBorder="1" applyAlignment="1">
      <alignment horizontal="center" vertical="center" wrapText="1"/>
    </xf>
    <xf numFmtId="49" fontId="129" fillId="0" borderId="2" xfId="0" applyNumberFormat="1" applyFont="1" applyFill="1" applyBorder="1" applyAlignment="1">
      <alignment horizontal="center" vertical="center" wrapText="1"/>
    </xf>
    <xf numFmtId="3" fontId="129" fillId="0" borderId="58" xfId="59670" applyNumberFormat="1" applyFont="1" applyFill="1" applyBorder="1" applyAlignment="1">
      <alignment horizontal="center" vertical="center" wrapText="1"/>
    </xf>
    <xf numFmtId="3" fontId="129" fillId="0" borderId="1" xfId="59670" applyNumberFormat="1" applyFont="1" applyFill="1" applyBorder="1" applyAlignment="1">
      <alignment horizontal="center" vertical="center" wrapText="1"/>
    </xf>
    <xf numFmtId="3" fontId="129" fillId="0" borderId="25" xfId="0" applyNumberFormat="1" applyFont="1" applyFill="1" applyBorder="1" applyAlignment="1">
      <alignment horizontal="center" vertical="center"/>
    </xf>
    <xf numFmtId="3" fontId="129" fillId="0" borderId="48" xfId="0" applyNumberFormat="1" applyFont="1" applyFill="1" applyBorder="1" applyAlignment="1">
      <alignment horizontal="center" vertical="center"/>
    </xf>
    <xf numFmtId="0" fontId="129" fillId="0" borderId="0" xfId="0" applyFont="1" applyFill="1" applyAlignment="1">
      <alignment vertical="center"/>
    </xf>
    <xf numFmtId="0" fontId="123" fillId="0" borderId="48" xfId="0" applyFont="1" applyFill="1" applyBorder="1" applyAlignment="1">
      <alignment horizontal="center" vertical="center" wrapText="1"/>
    </xf>
    <xf numFmtId="0" fontId="123" fillId="0" borderId="48" xfId="0" applyFont="1" applyFill="1" applyBorder="1" applyAlignment="1">
      <alignment horizontal="center" vertical="center"/>
    </xf>
    <xf numFmtId="49" fontId="123" fillId="0" borderId="1" xfId="7" applyNumberFormat="1" applyFont="1" applyFill="1" applyBorder="1" applyAlignment="1">
      <alignment horizontal="center" vertical="center" wrapText="1"/>
    </xf>
    <xf numFmtId="0" fontId="120" fillId="0" borderId="25" xfId="16" applyFont="1" applyFill="1" applyBorder="1" applyAlignment="1">
      <alignment horizontal="left" vertical="center" wrapText="1"/>
    </xf>
    <xf numFmtId="0" fontId="123" fillId="0" borderId="1" xfId="7" applyFont="1" applyFill="1" applyBorder="1" applyAlignment="1">
      <alignment horizontal="center" vertical="center" wrapText="1"/>
    </xf>
    <xf numFmtId="3" fontId="120" fillId="0" borderId="25" xfId="16" applyNumberFormat="1" applyFont="1" applyFill="1" applyBorder="1" applyAlignment="1">
      <alignment horizontal="left" vertical="center" wrapText="1"/>
    </xf>
    <xf numFmtId="49" fontId="123" fillId="0" borderId="1" xfId="7" applyNumberFormat="1" applyFont="1" applyFill="1" applyBorder="1" applyAlignment="1">
      <alignment horizontal="center" vertical="center"/>
    </xf>
    <xf numFmtId="0" fontId="123" fillId="0" borderId="50" xfId="58755" applyFont="1" applyFill="1" applyBorder="1" applyAlignment="1">
      <alignment horizontal="left" vertical="center" wrapText="1"/>
    </xf>
    <xf numFmtId="0" fontId="120" fillId="0" borderId="25" xfId="16" applyFont="1" applyFill="1" applyBorder="1" applyAlignment="1">
      <alignment vertical="center" wrapText="1"/>
    </xf>
    <xf numFmtId="0" fontId="123" fillId="0" borderId="25" xfId="7" applyFont="1" applyFill="1" applyBorder="1" applyAlignment="1">
      <alignment horizontal="left" vertical="center" wrapText="1"/>
    </xf>
    <xf numFmtId="49" fontId="123" fillId="0" borderId="1" xfId="0" applyNumberFormat="1" applyFont="1" applyFill="1" applyBorder="1" applyAlignment="1">
      <alignment horizontal="center" vertical="center" wrapText="1"/>
    </xf>
    <xf numFmtId="49" fontId="123" fillId="0" borderId="1" xfId="0" applyNumberFormat="1" applyFont="1" applyFill="1" applyBorder="1" applyAlignment="1">
      <alignment horizontal="center" vertical="center"/>
    </xf>
    <xf numFmtId="0" fontId="123" fillId="0" borderId="25" xfId="0" applyFont="1" applyFill="1" applyBorder="1" applyAlignment="1">
      <alignment horizontal="left" vertical="center" wrapText="1"/>
    </xf>
    <xf numFmtId="49" fontId="123" fillId="0" borderId="25" xfId="7" applyNumberFormat="1" applyFont="1" applyFill="1" applyBorder="1" applyAlignment="1">
      <alignment horizontal="left" vertical="center" wrapText="1"/>
    </xf>
    <xf numFmtId="0" fontId="123" fillId="0" borderId="1" xfId="7" applyFont="1" applyFill="1" applyBorder="1" applyAlignment="1">
      <alignment horizontal="left" vertical="center" wrapText="1"/>
    </xf>
    <xf numFmtId="0" fontId="123" fillId="0" borderId="42" xfId="0" applyFont="1" applyFill="1" applyBorder="1" applyAlignment="1">
      <alignment horizontal="center" vertical="center"/>
    </xf>
    <xf numFmtId="49" fontId="123" fillId="0" borderId="45" xfId="7" applyNumberFormat="1" applyFont="1" applyFill="1" applyBorder="1" applyAlignment="1">
      <alignment horizontal="center" vertical="center"/>
    </xf>
    <xf numFmtId="0" fontId="123" fillId="0" borderId="45" xfId="7" applyFont="1" applyFill="1" applyBorder="1" applyAlignment="1">
      <alignment horizontal="left" vertical="center" wrapText="1"/>
    </xf>
    <xf numFmtId="3" fontId="129" fillId="0" borderId="69" xfId="0" applyNumberFormat="1" applyFont="1" applyFill="1" applyBorder="1" applyAlignment="1">
      <alignment horizontal="center" vertical="center"/>
    </xf>
    <xf numFmtId="3" fontId="123" fillId="0" borderId="41" xfId="0" applyNumberFormat="1" applyFont="1" applyFill="1" applyBorder="1" applyAlignment="1">
      <alignment horizontal="left" vertical="center"/>
    </xf>
    <xf numFmtId="3" fontId="123" fillId="0" borderId="62" xfId="0" applyNumberFormat="1" applyFont="1" applyFill="1" applyBorder="1" applyAlignment="1">
      <alignment horizontal="left" vertical="center"/>
    </xf>
    <xf numFmtId="3" fontId="123" fillId="0" borderId="62" xfId="0" applyNumberFormat="1" applyFont="1" applyFill="1" applyBorder="1" applyAlignment="1">
      <alignment vertical="center"/>
    </xf>
    <xf numFmtId="3" fontId="129" fillId="0" borderId="37" xfId="0" applyNumberFormat="1" applyFont="1" applyFill="1" applyBorder="1" applyAlignment="1">
      <alignment vertical="center"/>
    </xf>
    <xf numFmtId="3" fontId="123" fillId="0" borderId="73" xfId="0" applyNumberFormat="1" applyFont="1" applyFill="1" applyBorder="1" applyAlignment="1">
      <alignment horizontal="center" vertical="center" wrapText="1"/>
    </xf>
    <xf numFmtId="0" fontId="132" fillId="0" borderId="28" xfId="0" applyFont="1" applyFill="1" applyBorder="1" applyAlignment="1">
      <alignment horizontal="center" vertical="center" wrapText="1"/>
    </xf>
    <xf numFmtId="0" fontId="129" fillId="0" borderId="53" xfId="0" applyFont="1" applyFill="1" applyBorder="1" applyAlignment="1">
      <alignment vertical="center"/>
    </xf>
    <xf numFmtId="0" fontId="132" fillId="0" borderId="25" xfId="0" applyFont="1" applyFill="1" applyBorder="1" applyAlignment="1">
      <alignment horizontal="center" vertical="center" wrapText="1"/>
    </xf>
    <xf numFmtId="4" fontId="129" fillId="0" borderId="57" xfId="0" applyNumberFormat="1" applyFont="1" applyFill="1" applyBorder="1" applyAlignment="1">
      <alignment vertical="center" wrapText="1"/>
    </xf>
    <xf numFmtId="49" fontId="123" fillId="0" borderId="25" xfId="58725" applyNumberFormat="1" applyFont="1" applyFill="1" applyBorder="1" applyAlignment="1">
      <alignment horizontal="center" vertical="center" wrapText="1"/>
    </xf>
    <xf numFmtId="4" fontId="123" fillId="0" borderId="57" xfId="0" applyNumberFormat="1" applyFont="1" applyFill="1" applyBorder="1" applyAlignment="1">
      <alignment vertical="center" wrapText="1"/>
    </xf>
    <xf numFmtId="0" fontId="123" fillId="0" borderId="25" xfId="58725" applyFont="1" applyFill="1" applyBorder="1" applyAlignment="1">
      <alignment horizontal="center" vertical="center" wrapText="1"/>
    </xf>
    <xf numFmtId="49" fontId="123" fillId="0" borderId="25" xfId="58725" applyNumberFormat="1" applyFont="1" applyFill="1" applyBorder="1" applyAlignment="1">
      <alignment horizontal="center" vertical="center"/>
    </xf>
    <xf numFmtId="3" fontId="123" fillId="0" borderId="57" xfId="61297" applyNumberFormat="1" applyFont="1" applyFill="1" applyBorder="1" applyAlignment="1">
      <alignment horizontal="left" vertical="center" wrapText="1"/>
    </xf>
    <xf numFmtId="0" fontId="123" fillId="0" borderId="57" xfId="16" applyFont="1" applyFill="1" applyBorder="1" applyAlignment="1">
      <alignment vertical="center" wrapText="1"/>
    </xf>
    <xf numFmtId="0" fontId="123" fillId="0" borderId="57" xfId="18" applyFont="1" applyFill="1" applyBorder="1" applyAlignment="1">
      <alignment horizontal="left" vertical="center" wrapText="1"/>
    </xf>
    <xf numFmtId="0" fontId="123" fillId="0" borderId="57" xfId="58725" applyFont="1" applyFill="1" applyBorder="1" applyAlignment="1">
      <alignment horizontal="left" vertical="center" wrapText="1"/>
    </xf>
    <xf numFmtId="3" fontId="123" fillId="0" borderId="57" xfId="16" applyNumberFormat="1" applyFont="1" applyFill="1" applyBorder="1" applyAlignment="1">
      <alignment horizontal="left" vertical="center" wrapText="1"/>
    </xf>
    <xf numFmtId="49" fontId="123" fillId="0" borderId="25" xfId="0" applyNumberFormat="1" applyFont="1" applyFill="1" applyBorder="1" applyAlignment="1">
      <alignment horizontal="center" vertical="center" wrapText="1"/>
    </xf>
    <xf numFmtId="3" fontId="123" fillId="0" borderId="57" xfId="0" applyNumberFormat="1" applyFont="1" applyFill="1" applyBorder="1" applyAlignment="1">
      <alignment horizontal="left" vertical="center"/>
    </xf>
    <xf numFmtId="49" fontId="123" fillId="0" borderId="25" xfId="0" applyNumberFormat="1" applyFont="1" applyFill="1" applyBorder="1" applyAlignment="1">
      <alignment horizontal="center" vertical="center"/>
    </xf>
    <xf numFmtId="0" fontId="123" fillId="0" borderId="57" xfId="0" applyFont="1" applyFill="1" applyBorder="1" applyAlignment="1">
      <alignment horizontal="left" vertical="center" wrapText="1"/>
    </xf>
    <xf numFmtId="0" fontId="123" fillId="0" borderId="57" xfId="58755" applyFont="1" applyFill="1" applyBorder="1" applyAlignment="1">
      <alignment horizontal="left" vertical="center" wrapText="1"/>
    </xf>
    <xf numFmtId="49" fontId="123" fillId="0" borderId="57" xfId="58725" applyNumberFormat="1" applyFont="1" applyFill="1" applyBorder="1" applyAlignment="1">
      <alignment horizontal="left" vertical="center" wrapText="1"/>
    </xf>
    <xf numFmtId="3" fontId="123" fillId="0" borderId="57" xfId="0" applyNumberFormat="1" applyFont="1" applyFill="1" applyBorder="1" applyAlignment="1">
      <alignment vertical="center" wrapText="1"/>
    </xf>
    <xf numFmtId="3" fontId="123" fillId="0" borderId="72" xfId="61297" applyNumberFormat="1" applyFont="1" applyFill="1" applyBorder="1" applyAlignment="1">
      <alignment horizontal="left" vertical="center" wrapText="1"/>
    </xf>
    <xf numFmtId="0" fontId="123" fillId="0" borderId="45" xfId="0" applyFont="1" applyFill="1" applyBorder="1" applyAlignment="1">
      <alignment horizontal="center" vertical="center"/>
    </xf>
    <xf numFmtId="49" fontId="123" fillId="0" borderId="67" xfId="58725" applyNumberFormat="1" applyFont="1" applyFill="1" applyBorder="1" applyAlignment="1">
      <alignment horizontal="center" vertical="center"/>
    </xf>
    <xf numFmtId="0" fontId="123" fillId="0" borderId="69" xfId="58725" applyFont="1" applyFill="1" applyBorder="1" applyAlignment="1">
      <alignment horizontal="left" vertical="center" wrapText="1"/>
    </xf>
    <xf numFmtId="0" fontId="115" fillId="0" borderId="88" xfId="0" applyFont="1" applyFill="1" applyBorder="1" applyAlignment="1">
      <alignment horizontal="center" vertical="center" wrapText="1"/>
    </xf>
    <xf numFmtId="0" fontId="115" fillId="0" borderId="89" xfId="0" applyFont="1" applyFill="1" applyBorder="1" applyAlignment="1">
      <alignment horizontal="center" vertical="center" wrapText="1"/>
    </xf>
    <xf numFmtId="0" fontId="144" fillId="0" borderId="91" xfId="0" applyFont="1" applyFill="1" applyBorder="1" applyAlignment="1">
      <alignment horizontal="center" vertical="center" wrapText="1"/>
    </xf>
    <xf numFmtId="0" fontId="123" fillId="0" borderId="71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115" fillId="0" borderId="2" xfId="0" applyFont="1" applyFill="1" applyBorder="1" applyAlignment="1">
      <alignment horizontal="center" vertical="center" wrapText="1"/>
    </xf>
    <xf numFmtId="0" fontId="129" fillId="0" borderId="53" xfId="0" applyFont="1" applyFill="1" applyBorder="1" applyAlignment="1">
      <alignment horizontal="center" vertical="center" wrapText="1"/>
    </xf>
    <xf numFmtId="0" fontId="123" fillId="0" borderId="25" xfId="58755" applyFont="1" applyFill="1" applyBorder="1" applyAlignment="1">
      <alignment horizontal="left" vertical="center" wrapText="1"/>
    </xf>
    <xf numFmtId="0" fontId="115" fillId="0" borderId="28" xfId="60910" applyFont="1" applyFill="1" applyBorder="1" applyAlignment="1">
      <alignment horizontal="left" vertical="center" wrapText="1"/>
    </xf>
    <xf numFmtId="3" fontId="123" fillId="0" borderId="57" xfId="0" applyNumberFormat="1" applyFont="1" applyFill="1" applyBorder="1" applyAlignment="1">
      <alignment horizontal="center" vertical="center" wrapText="1"/>
    </xf>
    <xf numFmtId="3" fontId="123" fillId="0" borderId="69" xfId="0" applyNumberFormat="1" applyFont="1" applyFill="1" applyBorder="1" applyAlignment="1">
      <alignment horizontal="center" vertical="center" wrapText="1"/>
    </xf>
    <xf numFmtId="0" fontId="123" fillId="0" borderId="67" xfId="7" applyFont="1" applyFill="1" applyBorder="1" applyAlignment="1">
      <alignment horizontal="left" vertical="center" wrapText="1"/>
    </xf>
    <xf numFmtId="0" fontId="120" fillId="0" borderId="25" xfId="18" applyFont="1" applyFill="1" applyBorder="1" applyAlignment="1">
      <alignment horizontal="left" vertical="center" wrapText="1"/>
    </xf>
    <xf numFmtId="3" fontId="120" fillId="0" borderId="25" xfId="18" applyNumberFormat="1" applyFont="1" applyFill="1" applyBorder="1" applyAlignment="1">
      <alignment horizontal="left" vertical="center" wrapText="1"/>
    </xf>
    <xf numFmtId="0" fontId="120" fillId="0" borderId="25" xfId="18" applyFont="1" applyFill="1" applyBorder="1" applyAlignment="1">
      <alignment vertical="center" wrapText="1"/>
    </xf>
    <xf numFmtId="0" fontId="114" fillId="74" borderId="1" xfId="58791" applyFont="1" applyFill="1" applyBorder="1" applyAlignment="1" applyProtection="1">
      <alignment horizontal="center" vertical="center" wrapText="1"/>
      <protection locked="0"/>
    </xf>
    <xf numFmtId="0" fontId="2" fillId="0" borderId="0" xfId="61313"/>
    <xf numFmtId="0" fontId="118" fillId="77" borderId="1" xfId="61313" applyFont="1" applyFill="1" applyBorder="1" applyAlignment="1">
      <alignment horizontal="center" vertical="center" wrapText="1"/>
    </xf>
    <xf numFmtId="0" fontId="118" fillId="77" borderId="50" xfId="61313" applyFont="1" applyFill="1" applyBorder="1" applyAlignment="1">
      <alignment horizontal="center" vertical="center" wrapText="1"/>
    </xf>
    <xf numFmtId="0" fontId="119" fillId="77" borderId="48" xfId="61313" applyFont="1" applyFill="1" applyBorder="1" applyAlignment="1">
      <alignment horizontal="center" vertical="center" wrapText="1"/>
    </xf>
    <xf numFmtId="0" fontId="119" fillId="0" borderId="1" xfId="61313" applyFont="1" applyBorder="1" applyAlignment="1">
      <alignment horizontal="center" vertical="center" wrapText="1"/>
    </xf>
    <xf numFmtId="0" fontId="119" fillId="0" borderId="25" xfId="61313" applyFont="1" applyBorder="1" applyAlignment="1">
      <alignment horizontal="center" vertical="center" wrapText="1"/>
    </xf>
    <xf numFmtId="0" fontId="119" fillId="0" borderId="48" xfId="61313" applyFont="1" applyBorder="1" applyAlignment="1">
      <alignment horizontal="center" vertical="center" wrapText="1"/>
    </xf>
    <xf numFmtId="0" fontId="116" fillId="0" borderId="1" xfId="61313" applyFont="1" applyBorder="1" applyAlignment="1">
      <alignment horizontal="center" vertical="center" wrapText="1"/>
    </xf>
    <xf numFmtId="0" fontId="119" fillId="77" borderId="1" xfId="61313" applyFont="1" applyFill="1" applyBorder="1" applyAlignment="1">
      <alignment horizontal="center" vertical="center" wrapText="1"/>
    </xf>
    <xf numFmtId="0" fontId="116" fillId="77" borderId="1" xfId="61313" applyFont="1" applyFill="1" applyBorder="1" applyAlignment="1">
      <alignment horizontal="center" vertical="center" wrapText="1"/>
    </xf>
    <xf numFmtId="0" fontId="119" fillId="77" borderId="50" xfId="61313" applyFont="1" applyFill="1" applyBorder="1" applyAlignment="1">
      <alignment horizontal="center" vertical="center" wrapText="1"/>
    </xf>
    <xf numFmtId="0" fontId="117" fillId="77" borderId="57" xfId="61313" applyFont="1" applyFill="1" applyBorder="1" applyAlignment="1">
      <alignment horizontal="center" vertical="center"/>
    </xf>
    <xf numFmtId="3" fontId="150" fillId="0" borderId="48" xfId="61313" applyNumberFormat="1" applyFont="1" applyBorder="1" applyAlignment="1">
      <alignment horizontal="center" vertical="center" wrapText="1"/>
    </xf>
    <xf numFmtId="3" fontId="150" fillId="0" borderId="1" xfId="61313" applyNumberFormat="1" applyFont="1" applyBorder="1" applyAlignment="1">
      <alignment horizontal="center" vertical="center" wrapText="1"/>
    </xf>
    <xf numFmtId="3" fontId="150" fillId="0" borderId="50" xfId="61313" applyNumberFormat="1" applyFont="1" applyBorder="1" applyAlignment="1">
      <alignment horizontal="center" vertical="center" wrapText="1"/>
    </xf>
    <xf numFmtId="3" fontId="150" fillId="0" borderId="57" xfId="61313" applyNumberFormat="1" applyFont="1" applyBorder="1" applyAlignment="1">
      <alignment horizontal="center" vertical="center" wrapText="1"/>
    </xf>
    <xf numFmtId="0" fontId="115" fillId="77" borderId="48" xfId="61313" applyFont="1" applyFill="1" applyBorder="1" applyAlignment="1">
      <alignment horizontal="center" vertical="center"/>
    </xf>
    <xf numFmtId="0" fontId="115" fillId="0" borderId="1" xfId="61313" applyFont="1" applyBorder="1" applyAlignment="1">
      <alignment horizontal="center" vertical="center"/>
    </xf>
    <xf numFmtId="0" fontId="115" fillId="0" borderId="25" xfId="61313" applyFont="1" applyBorder="1" applyAlignment="1">
      <alignment vertical="center" wrapText="1"/>
    </xf>
    <xf numFmtId="3" fontId="144" fillId="0" borderId="48" xfId="61313" applyNumberFormat="1" applyFont="1" applyBorder="1" applyAlignment="1">
      <alignment horizontal="center" vertical="center" wrapText="1"/>
    </xf>
    <xf numFmtId="0" fontId="144" fillId="0" borderId="1" xfId="61313" applyFont="1" applyBorder="1" applyAlignment="1">
      <alignment horizontal="center" vertical="center" wrapText="1"/>
    </xf>
    <xf numFmtId="0" fontId="144" fillId="0" borderId="50" xfId="61313" applyFont="1" applyBorder="1" applyAlignment="1">
      <alignment horizontal="center" vertical="center" wrapText="1"/>
    </xf>
    <xf numFmtId="0" fontId="144" fillId="0" borderId="57" xfId="61313" applyFont="1" applyBorder="1" applyAlignment="1">
      <alignment horizontal="center" vertical="center" wrapText="1"/>
    </xf>
    <xf numFmtId="3" fontId="151" fillId="0" borderId="58" xfId="61313" applyNumberFormat="1" applyFont="1" applyBorder="1" applyAlignment="1">
      <alignment horizontal="center" vertical="center" wrapText="1"/>
    </xf>
    <xf numFmtId="3" fontId="151" fillId="0" borderId="1" xfId="61313" applyNumberFormat="1" applyFont="1" applyBorder="1" applyAlignment="1">
      <alignment horizontal="center" vertical="center" wrapText="1"/>
    </xf>
    <xf numFmtId="3" fontId="151" fillId="0" borderId="49" xfId="61313" applyNumberFormat="1" applyFont="1" applyBorder="1" applyAlignment="1">
      <alignment horizontal="center" vertical="center" wrapText="1"/>
    </xf>
    <xf numFmtId="3" fontId="151" fillId="0" borderId="57" xfId="61313" applyNumberFormat="1" applyFont="1" applyBorder="1" applyAlignment="1">
      <alignment horizontal="center" vertical="center" wrapText="1"/>
    </xf>
    <xf numFmtId="0" fontId="115" fillId="77" borderId="42" xfId="61313" applyFont="1" applyFill="1" applyBorder="1" applyAlignment="1">
      <alignment horizontal="center" vertical="center"/>
    </xf>
    <xf numFmtId="0" fontId="115" fillId="0" borderId="45" xfId="61313" applyFont="1" applyBorder="1" applyAlignment="1">
      <alignment horizontal="center" vertical="center"/>
    </xf>
    <xf numFmtId="0" fontId="115" fillId="0" borderId="67" xfId="61313" applyFont="1" applyBorder="1" applyAlignment="1">
      <alignment vertical="center" wrapText="1"/>
    </xf>
    <xf numFmtId="3" fontId="144" fillId="0" borderId="42" xfId="61313" applyNumberFormat="1" applyFont="1" applyBorder="1" applyAlignment="1">
      <alignment horizontal="center" vertical="center" wrapText="1"/>
    </xf>
    <xf numFmtId="0" fontId="144" fillId="0" borderId="45" xfId="61313" applyFont="1" applyBorder="1" applyAlignment="1">
      <alignment horizontal="center" vertical="center" wrapText="1"/>
    </xf>
    <xf numFmtId="0" fontId="144" fillId="0" borderId="44" xfId="61313" applyFont="1" applyBorder="1" applyAlignment="1">
      <alignment horizontal="center" vertical="center" wrapText="1"/>
    </xf>
    <xf numFmtId="0" fontId="144" fillId="0" borderId="69" xfId="61313" applyFont="1" applyBorder="1" applyAlignment="1">
      <alignment horizontal="center" vertical="center" wrapText="1"/>
    </xf>
    <xf numFmtId="3" fontId="2" fillId="0" borderId="0" xfId="61313" applyNumberFormat="1"/>
    <xf numFmtId="0" fontId="2" fillId="0" borderId="0" xfId="61313" applyFont="1"/>
    <xf numFmtId="0" fontId="117" fillId="77" borderId="1" xfId="61313" applyFont="1" applyFill="1" applyBorder="1" applyAlignment="1">
      <alignment horizontal="center" vertical="center" wrapText="1"/>
    </xf>
    <xf numFmtId="0" fontId="115" fillId="77" borderId="1" xfId="61313" applyFont="1" applyFill="1" applyBorder="1" applyAlignment="1">
      <alignment horizontal="center" vertical="center"/>
    </xf>
    <xf numFmtId="0" fontId="115" fillId="0" borderId="1" xfId="61313" applyFont="1" applyBorder="1" applyAlignment="1">
      <alignment vertical="center" wrapText="1"/>
    </xf>
    <xf numFmtId="3" fontId="115" fillId="0" borderId="1" xfId="61313" applyNumberFormat="1" applyFont="1" applyBorder="1" applyAlignment="1">
      <alignment horizontal="center" vertical="center" wrapText="1"/>
    </xf>
    <xf numFmtId="0" fontId="144" fillId="77" borderId="1" xfId="61313" applyFont="1" applyFill="1" applyBorder="1" applyAlignment="1">
      <alignment horizontal="center" vertical="center"/>
    </xf>
    <xf numFmtId="0" fontId="2" fillId="0" borderId="1" xfId="61313" applyBorder="1" applyAlignment="1">
      <alignment horizontal="center"/>
    </xf>
    <xf numFmtId="3" fontId="144" fillId="0" borderId="1" xfId="61313" applyNumberFormat="1" applyFont="1" applyBorder="1" applyAlignment="1">
      <alignment horizontal="center" vertical="center" wrapText="1"/>
    </xf>
    <xf numFmtId="0" fontId="123" fillId="0" borderId="0" xfId="61314" applyFont="1" applyFill="1"/>
    <xf numFmtId="3" fontId="123" fillId="0" borderId="0" xfId="61314" applyNumberFormat="1" applyFont="1" applyFill="1"/>
    <xf numFmtId="0" fontId="123" fillId="74" borderId="0" xfId="61314" applyFont="1" applyFill="1"/>
    <xf numFmtId="3" fontId="120" fillId="0" borderId="1" xfId="61314" applyNumberFormat="1" applyFont="1" applyFill="1" applyBorder="1" applyAlignment="1">
      <alignment horizontal="center" vertical="center" wrapText="1"/>
    </xf>
    <xf numFmtId="3" fontId="123" fillId="0" borderId="0" xfId="61314" applyNumberFormat="1" applyFont="1" applyFill="1" applyAlignment="1">
      <alignment horizontal="center" vertical="center"/>
    </xf>
    <xf numFmtId="0" fontId="123" fillId="0" borderId="1" xfId="61314" applyFont="1" applyFill="1" applyBorder="1" applyAlignment="1">
      <alignment horizontal="center" vertical="center" wrapText="1"/>
    </xf>
    <xf numFmtId="49" fontId="120" fillId="0" borderId="1" xfId="58755" applyNumberFormat="1" applyFont="1" applyFill="1" applyBorder="1" applyAlignment="1">
      <alignment horizontal="center" vertical="center"/>
    </xf>
    <xf numFmtId="0" fontId="123" fillId="0" borderId="1" xfId="61314" applyFont="1" applyFill="1" applyBorder="1" applyAlignment="1">
      <alignment horizontal="left" vertical="center" wrapText="1"/>
    </xf>
    <xf numFmtId="0" fontId="123" fillId="0" borderId="1" xfId="61314" applyFont="1" applyFill="1" applyBorder="1" applyAlignment="1">
      <alignment horizontal="center" vertical="center"/>
    </xf>
    <xf numFmtId="3" fontId="123" fillId="0" borderId="1" xfId="61314" applyNumberFormat="1" applyFont="1" applyFill="1" applyBorder="1" applyAlignment="1">
      <alignment horizontal="center" vertical="center"/>
    </xf>
    <xf numFmtId="0" fontId="120" fillId="0" borderId="1" xfId="58755" applyFont="1" applyFill="1" applyBorder="1" applyAlignment="1">
      <alignment horizontal="center" vertical="center" wrapText="1"/>
    </xf>
    <xf numFmtId="49" fontId="120" fillId="0" borderId="1" xfId="58755" applyNumberFormat="1" applyFont="1" applyFill="1" applyBorder="1" applyAlignment="1">
      <alignment horizontal="center" vertical="center" wrapText="1"/>
    </xf>
    <xf numFmtId="3" fontId="123" fillId="74" borderId="1" xfId="61314" applyNumberFormat="1" applyFont="1" applyFill="1" applyBorder="1" applyAlignment="1">
      <alignment horizontal="center" vertical="center"/>
    </xf>
    <xf numFmtId="0" fontId="123" fillId="74" borderId="1" xfId="61314" applyFont="1" applyFill="1" applyBorder="1" applyAlignment="1">
      <alignment horizontal="center" vertical="center" wrapText="1"/>
    </xf>
    <xf numFmtId="0" fontId="123" fillId="74" borderId="1" xfId="61314" applyFont="1" applyFill="1" applyBorder="1" applyAlignment="1">
      <alignment horizontal="left" vertical="center" wrapText="1"/>
    </xf>
    <xf numFmtId="0" fontId="123" fillId="74" borderId="1" xfId="61314" applyFont="1" applyFill="1" applyBorder="1" applyAlignment="1">
      <alignment horizontal="center" vertical="center"/>
    </xf>
    <xf numFmtId="0" fontId="123" fillId="74" borderId="1" xfId="61314" applyFont="1" applyFill="1" applyBorder="1"/>
    <xf numFmtId="49" fontId="120" fillId="0" borderId="55" xfId="58755" applyNumberFormat="1" applyFont="1" applyFill="1" applyBorder="1" applyAlignment="1">
      <alignment horizontal="center" vertical="center"/>
    </xf>
    <xf numFmtId="49" fontId="120" fillId="0" borderId="1" xfId="61314" applyNumberFormat="1" applyFont="1" applyFill="1" applyBorder="1" applyAlignment="1">
      <alignment horizontal="center" vertical="center" wrapText="1"/>
    </xf>
    <xf numFmtId="3" fontId="123" fillId="74" borderId="1" xfId="61314" applyNumberFormat="1" applyFont="1" applyFill="1" applyBorder="1"/>
    <xf numFmtId="0" fontId="123" fillId="0" borderId="1" xfId="61314" applyFont="1" applyFill="1" applyBorder="1" applyAlignment="1">
      <alignment horizontal="justify" vertical="center" wrapText="1"/>
    </xf>
    <xf numFmtId="0" fontId="114" fillId="0" borderId="1" xfId="58755" applyFont="1" applyFill="1" applyBorder="1" applyAlignment="1">
      <alignment horizontal="center" vertical="center" wrapText="1"/>
    </xf>
    <xf numFmtId="0" fontId="129" fillId="74" borderId="1" xfId="61314" applyFont="1" applyFill="1" applyBorder="1" applyAlignment="1">
      <alignment horizontal="left" vertical="center" wrapText="1"/>
    </xf>
    <xf numFmtId="0" fontId="129" fillId="0" borderId="1" xfId="61314" applyFont="1" applyFill="1" applyBorder="1" applyAlignment="1">
      <alignment horizontal="center" vertical="center"/>
    </xf>
    <xf numFmtId="3" fontId="129" fillId="0" borderId="1" xfId="61314" applyNumberFormat="1" applyFont="1" applyFill="1" applyBorder="1" applyAlignment="1">
      <alignment horizontal="center" vertical="center"/>
    </xf>
    <xf numFmtId="3" fontId="129" fillId="74" borderId="1" xfId="61314" applyNumberFormat="1" applyFont="1" applyFill="1" applyBorder="1" applyAlignment="1">
      <alignment horizontal="center" vertical="center"/>
    </xf>
    <xf numFmtId="0" fontId="129" fillId="0" borderId="0" xfId="61314" applyFont="1" applyFill="1"/>
    <xf numFmtId="0" fontId="129" fillId="74" borderId="0" xfId="61314" applyFont="1" applyFill="1"/>
    <xf numFmtId="0" fontId="123" fillId="74" borderId="1" xfId="61314" applyFont="1" applyFill="1" applyBorder="1" applyAlignment="1">
      <alignment horizontal="right" vertical="center" wrapText="1"/>
    </xf>
    <xf numFmtId="0" fontId="123" fillId="0" borderId="55" xfId="61314" applyFont="1" applyFill="1" applyBorder="1" applyAlignment="1">
      <alignment horizontal="center" vertical="center" wrapText="1"/>
    </xf>
    <xf numFmtId="0" fontId="123" fillId="74" borderId="55" xfId="61314" applyFont="1" applyFill="1" applyBorder="1" applyAlignment="1">
      <alignment horizontal="center" vertical="center"/>
    </xf>
    <xf numFmtId="3" fontId="123" fillId="74" borderId="55" xfId="61314" applyNumberFormat="1" applyFont="1" applyFill="1" applyBorder="1" applyAlignment="1">
      <alignment horizontal="center" vertical="center"/>
    </xf>
    <xf numFmtId="0" fontId="123" fillId="0" borderId="55" xfId="61314" applyFont="1" applyFill="1" applyBorder="1" applyAlignment="1">
      <alignment horizontal="center" vertical="center"/>
    </xf>
    <xf numFmtId="49" fontId="114" fillId="0" borderId="1" xfId="58755" applyNumberFormat="1" applyFont="1" applyFill="1" applyBorder="1" applyAlignment="1">
      <alignment horizontal="center" vertical="center"/>
    </xf>
    <xf numFmtId="0" fontId="123" fillId="0" borderId="1" xfId="61314" applyFont="1" applyFill="1" applyBorder="1" applyAlignment="1">
      <alignment horizontal="right" vertical="center" wrapText="1"/>
    </xf>
    <xf numFmtId="49" fontId="114" fillId="0" borderId="1" xfId="58755" applyNumberFormat="1" applyFont="1" applyFill="1" applyBorder="1" applyAlignment="1">
      <alignment horizontal="center" vertical="center" wrapText="1"/>
    </xf>
    <xf numFmtId="0" fontId="129" fillId="0" borderId="1" xfId="61314" applyFont="1" applyFill="1" applyBorder="1" applyAlignment="1">
      <alignment horizontal="left" vertical="center" wrapText="1"/>
    </xf>
    <xf numFmtId="0" fontId="129" fillId="74" borderId="1" xfId="61314" applyFont="1" applyFill="1" applyBorder="1" applyAlignment="1">
      <alignment horizontal="center" vertical="center"/>
    </xf>
    <xf numFmtId="0" fontId="123" fillId="74" borderId="55" xfId="61314" applyFont="1" applyFill="1" applyBorder="1" applyAlignment="1">
      <alignment horizontal="center" vertical="center" wrapText="1"/>
    </xf>
    <xf numFmtId="1" fontId="123" fillId="74" borderId="55" xfId="61314" applyNumberFormat="1" applyFont="1" applyFill="1" applyBorder="1" applyAlignment="1">
      <alignment horizontal="center" vertical="center"/>
    </xf>
    <xf numFmtId="0" fontId="129" fillId="0" borderId="1" xfId="61314" applyFont="1" applyFill="1" applyBorder="1" applyAlignment="1">
      <alignment horizontal="center" vertical="center" wrapText="1"/>
    </xf>
    <xf numFmtId="0" fontId="123" fillId="0" borderId="1" xfId="61314" applyFont="1" applyFill="1" applyBorder="1" applyAlignment="1" applyProtection="1">
      <alignment horizontal="center" vertical="center" wrapText="1"/>
      <protection locked="0"/>
    </xf>
    <xf numFmtId="0" fontId="152" fillId="0" borderId="1" xfId="61314" applyFont="1" applyFill="1" applyBorder="1" applyAlignment="1">
      <alignment horizontal="center" vertical="center" wrapText="1"/>
    </xf>
    <xf numFmtId="49" fontId="153" fillId="0" borderId="1" xfId="18" applyNumberFormat="1" applyFont="1" applyFill="1" applyBorder="1" applyAlignment="1">
      <alignment horizontal="center" vertical="center"/>
    </xf>
    <xf numFmtId="0" fontId="152" fillId="0" borderId="1" xfId="61314" applyFont="1" applyFill="1" applyBorder="1" applyAlignment="1">
      <alignment horizontal="left" vertical="center" wrapText="1"/>
    </xf>
    <xf numFmtId="0" fontId="152" fillId="0" borderId="1" xfId="61314" applyFont="1" applyFill="1" applyBorder="1" applyAlignment="1">
      <alignment horizontal="center" vertical="center"/>
    </xf>
    <xf numFmtId="3" fontId="152" fillId="0" borderId="1" xfId="61314" applyNumberFormat="1" applyFont="1" applyFill="1" applyBorder="1" applyAlignment="1">
      <alignment horizontal="center" vertical="center"/>
    </xf>
    <xf numFmtId="49" fontId="114" fillId="0" borderId="1" xfId="18" applyNumberFormat="1" applyFont="1" applyFill="1" applyBorder="1" applyAlignment="1">
      <alignment horizontal="center" vertical="center"/>
    </xf>
    <xf numFmtId="0" fontId="129" fillId="0" borderId="1" xfId="61315" applyFont="1" applyFill="1" applyBorder="1" applyAlignment="1">
      <alignment horizontal="left" vertical="center" wrapText="1"/>
    </xf>
    <xf numFmtId="0" fontId="129" fillId="0" borderId="25" xfId="61314" applyFont="1" applyFill="1" applyBorder="1" applyAlignment="1">
      <alignment horizontal="center" vertical="center" wrapText="1"/>
    </xf>
    <xf numFmtId="0" fontId="129" fillId="0" borderId="26" xfId="61314" applyFont="1" applyFill="1" applyBorder="1" applyAlignment="1">
      <alignment horizontal="center" vertical="center" wrapText="1"/>
    </xf>
    <xf numFmtId="0" fontId="129" fillId="0" borderId="30" xfId="61314" applyFont="1" applyFill="1" applyBorder="1" applyAlignment="1">
      <alignment horizontal="center" vertical="center" wrapText="1"/>
    </xf>
    <xf numFmtId="1" fontId="123" fillId="74" borderId="1" xfId="61314" applyNumberFormat="1" applyFont="1" applyFill="1" applyBorder="1" applyAlignment="1">
      <alignment horizontal="center" vertical="center"/>
    </xf>
    <xf numFmtId="3" fontId="123" fillId="74" borderId="55" xfId="61314" applyNumberFormat="1" applyFont="1" applyFill="1" applyBorder="1" applyAlignment="1">
      <alignment horizontal="center"/>
    </xf>
    <xf numFmtId="3" fontId="123" fillId="74" borderId="55" xfId="61314" applyNumberFormat="1" applyFont="1" applyFill="1" applyBorder="1" applyAlignment="1">
      <alignment horizontal="center" vertical="center" wrapText="1"/>
    </xf>
    <xf numFmtId="0" fontId="129" fillId="0" borderId="29" xfId="58791" applyFont="1" applyBorder="1" applyAlignment="1">
      <alignment horizontal="center" vertical="center" wrapText="1"/>
    </xf>
    <xf numFmtId="0" fontId="129" fillId="0" borderId="29" xfId="58791" applyFont="1" applyBorder="1" applyAlignment="1">
      <alignment vertical="center"/>
    </xf>
    <xf numFmtId="0" fontId="123" fillId="0" borderId="0" xfId="58791" applyFont="1" applyAlignment="1">
      <alignment horizontal="center"/>
    </xf>
    <xf numFmtId="0" fontId="123" fillId="0" borderId="0" xfId="58791" applyFont="1"/>
    <xf numFmtId="0" fontId="120" fillId="0" borderId="1" xfId="58791" applyFont="1" applyBorder="1" applyAlignment="1" applyProtection="1">
      <alignment horizontal="center" vertical="center" wrapText="1"/>
      <protection locked="0"/>
    </xf>
    <xf numFmtId="0" fontId="120" fillId="0" borderId="1" xfId="58791" applyFont="1" applyBorder="1" applyProtection="1">
      <protection locked="0"/>
    </xf>
    <xf numFmtId="0" fontId="120" fillId="0" borderId="0" xfId="58791" applyFont="1" applyProtection="1">
      <protection locked="0"/>
    </xf>
    <xf numFmtId="3" fontId="114" fillId="78" borderId="1" xfId="58791" applyNumberFormat="1" applyFont="1" applyFill="1" applyBorder="1" applyAlignment="1" applyProtection="1">
      <alignment horizontal="center" vertical="center"/>
      <protection locked="0"/>
    </xf>
    <xf numFmtId="0" fontId="114" fillId="0" borderId="0" xfId="58791" applyFont="1" applyProtection="1">
      <protection locked="0"/>
    </xf>
    <xf numFmtId="3" fontId="120" fillId="0" borderId="1" xfId="58791" applyNumberFormat="1" applyFont="1" applyBorder="1" applyAlignment="1" applyProtection="1">
      <alignment vertical="center" wrapText="1"/>
      <protection locked="0"/>
    </xf>
    <xf numFmtId="3" fontId="120" fillId="79" borderId="55" xfId="58791" applyNumberFormat="1" applyFont="1" applyFill="1" applyBorder="1" applyAlignment="1" applyProtection="1">
      <alignment horizontal="center" vertical="center"/>
      <protection locked="0"/>
    </xf>
    <xf numFmtId="3" fontId="120" fillId="0" borderId="55" xfId="58791" applyNumberFormat="1" applyFont="1" applyBorder="1" applyAlignment="1" applyProtection="1">
      <alignment horizontal="center" vertical="center"/>
      <protection locked="0"/>
    </xf>
    <xf numFmtId="0" fontId="120" fillId="0" borderId="1" xfId="58791" applyFont="1" applyBorder="1" applyAlignment="1" applyProtection="1">
      <alignment horizontal="center"/>
      <protection locked="0"/>
    </xf>
    <xf numFmtId="3" fontId="120" fillId="0" borderId="1" xfId="58791" applyNumberFormat="1" applyFont="1" applyBorder="1" applyAlignment="1" applyProtection="1">
      <alignment horizontal="center"/>
      <protection locked="0"/>
    </xf>
    <xf numFmtId="3" fontId="120" fillId="0" borderId="1" xfId="58791" applyNumberFormat="1" applyFont="1" applyFill="1" applyBorder="1" applyAlignment="1" applyProtection="1">
      <alignment horizontal="center" vertical="center"/>
      <protection locked="0"/>
    </xf>
    <xf numFmtId="3" fontId="120" fillId="0" borderId="27" xfId="58791" applyNumberFormat="1" applyFont="1" applyFill="1" applyBorder="1" applyAlignment="1" applyProtection="1">
      <alignment horizontal="center" vertical="center"/>
      <protection locked="0"/>
    </xf>
    <xf numFmtId="3" fontId="120" fillId="0" borderId="55" xfId="58791" applyNumberFormat="1" applyFont="1" applyFill="1" applyBorder="1" applyAlignment="1" applyProtection="1">
      <alignment horizontal="center" vertical="center"/>
      <protection locked="0"/>
    </xf>
    <xf numFmtId="3" fontId="120" fillId="79" borderId="1" xfId="58791" applyNumberFormat="1" applyFont="1" applyFill="1" applyBorder="1" applyAlignment="1" applyProtection="1">
      <alignment horizontal="center" vertical="center"/>
      <protection locked="0"/>
    </xf>
    <xf numFmtId="0" fontId="120" fillId="0" borderId="1" xfId="58791" applyFont="1" applyFill="1" applyBorder="1" applyAlignment="1" applyProtection="1">
      <alignment vertical="center" wrapText="1"/>
      <protection locked="0"/>
    </xf>
    <xf numFmtId="3" fontId="120" fillId="0" borderId="1" xfId="58791" applyNumberFormat="1" applyFont="1" applyBorder="1" applyAlignment="1" applyProtection="1">
      <alignment horizontal="center" vertical="center"/>
      <protection locked="0"/>
    </xf>
    <xf numFmtId="0" fontId="120" fillId="0" borderId="1" xfId="58791" applyFont="1" applyFill="1" applyBorder="1" applyAlignment="1" applyProtection="1">
      <alignment horizontal="center"/>
      <protection locked="0"/>
    </xf>
    <xf numFmtId="3" fontId="114" fillId="80" borderId="1" xfId="58791" applyNumberFormat="1" applyFont="1" applyFill="1" applyBorder="1" applyAlignment="1" applyProtection="1">
      <alignment horizontal="center" vertical="center"/>
      <protection locked="0"/>
    </xf>
    <xf numFmtId="3" fontId="123" fillId="0" borderId="0" xfId="58791" applyNumberFormat="1" applyFont="1"/>
    <xf numFmtId="3" fontId="123" fillId="0" borderId="0" xfId="58791" applyNumberFormat="1" applyFont="1" applyAlignment="1">
      <alignment horizontal="center"/>
    </xf>
    <xf numFmtId="3" fontId="155" fillId="0" borderId="0" xfId="58791" applyNumberFormat="1" applyFont="1"/>
    <xf numFmtId="3" fontId="155" fillId="0" borderId="0" xfId="58791" applyNumberFormat="1" applyFont="1" applyAlignment="1">
      <alignment horizontal="center"/>
    </xf>
    <xf numFmtId="3" fontId="156" fillId="0" borderId="0" xfId="58791" applyNumberFormat="1" applyFont="1"/>
    <xf numFmtId="4" fontId="156" fillId="0" borderId="0" xfId="58791" applyNumberFormat="1" applyFont="1"/>
    <xf numFmtId="4" fontId="156" fillId="0" borderId="0" xfId="58791" applyNumberFormat="1" applyFont="1" applyAlignment="1">
      <alignment horizontal="center"/>
    </xf>
    <xf numFmtId="0" fontId="127" fillId="0" borderId="0" xfId="61314" applyFont="1" applyFill="1" applyBorder="1" applyAlignment="1">
      <alignment horizontal="center" vertical="center" wrapText="1"/>
    </xf>
    <xf numFmtId="0" fontId="123" fillId="0" borderId="1" xfId="61314" applyFont="1" applyFill="1" applyBorder="1" applyAlignment="1">
      <alignment horizontal="center" vertical="center"/>
    </xf>
    <xf numFmtId="0" fontId="123" fillId="0" borderId="1" xfId="61314" applyFont="1" applyFill="1" applyBorder="1" applyAlignment="1">
      <alignment horizontal="center" vertical="center" wrapText="1"/>
    </xf>
    <xf numFmtId="0" fontId="120" fillId="0" borderId="1" xfId="61314" applyFont="1" applyFill="1" applyBorder="1" applyAlignment="1">
      <alignment horizontal="center" vertical="center" wrapText="1"/>
    </xf>
    <xf numFmtId="3" fontId="120" fillId="0" borderId="1" xfId="61314" applyNumberFormat="1" applyFont="1" applyFill="1" applyBorder="1" applyAlignment="1">
      <alignment horizontal="center" vertical="center" wrapText="1"/>
    </xf>
    <xf numFmtId="3" fontId="120" fillId="0" borderId="55" xfId="61314" applyNumberFormat="1" applyFont="1" applyFill="1" applyBorder="1" applyAlignment="1">
      <alignment horizontal="center" vertical="center" wrapText="1"/>
    </xf>
    <xf numFmtId="3" fontId="120" fillId="0" borderId="2" xfId="61314" applyNumberFormat="1" applyFont="1" applyFill="1" applyBorder="1" applyAlignment="1">
      <alignment horizontal="center" vertical="center" wrapText="1"/>
    </xf>
    <xf numFmtId="0" fontId="129" fillId="0" borderId="55" xfId="61314" applyFont="1" applyFill="1" applyBorder="1" applyAlignment="1">
      <alignment horizontal="center" vertical="center" wrapText="1"/>
    </xf>
    <xf numFmtId="0" fontId="129" fillId="0" borderId="27" xfId="61314" applyFont="1" applyFill="1" applyBorder="1" applyAlignment="1">
      <alignment horizontal="center" vertical="center" wrapText="1"/>
    </xf>
    <xf numFmtId="0" fontId="129" fillId="0" borderId="2" xfId="61314" applyFont="1" applyFill="1" applyBorder="1" applyAlignment="1">
      <alignment horizontal="center" vertical="center" wrapText="1"/>
    </xf>
    <xf numFmtId="0" fontId="129" fillId="74" borderId="55" xfId="61314" applyFont="1" applyFill="1" applyBorder="1" applyAlignment="1">
      <alignment horizontal="center" vertical="center" wrapText="1"/>
    </xf>
    <xf numFmtId="0" fontId="129" fillId="74" borderId="27" xfId="61314" applyFont="1" applyFill="1" applyBorder="1" applyAlignment="1">
      <alignment horizontal="center" vertical="center" wrapText="1"/>
    </xf>
    <xf numFmtId="0" fontId="129" fillId="74" borderId="2" xfId="61314" applyFont="1" applyFill="1" applyBorder="1" applyAlignment="1">
      <alignment horizontal="center" vertical="center" wrapText="1"/>
    </xf>
    <xf numFmtId="0" fontId="129" fillId="0" borderId="55" xfId="61314" applyFont="1" applyFill="1" applyBorder="1" applyAlignment="1" applyProtection="1">
      <alignment horizontal="center" vertical="center" wrapText="1"/>
      <protection locked="0"/>
    </xf>
    <xf numFmtId="0" fontId="129" fillId="0" borderId="27" xfId="61314" applyFont="1" applyFill="1" applyBorder="1" applyAlignment="1" applyProtection="1">
      <alignment horizontal="center" vertical="center" wrapText="1"/>
      <protection locked="0"/>
    </xf>
    <xf numFmtId="0" fontId="129" fillId="0" borderId="2" xfId="61314" applyFont="1" applyFill="1" applyBorder="1" applyAlignment="1" applyProtection="1">
      <alignment horizontal="center" vertical="center" wrapText="1"/>
      <protection locked="0"/>
    </xf>
    <xf numFmtId="0" fontId="114" fillId="78" borderId="25" xfId="58791" applyFont="1" applyFill="1" applyBorder="1" applyAlignment="1" applyProtection="1">
      <alignment horizontal="center" vertical="center" wrapText="1"/>
      <protection locked="0"/>
    </xf>
    <xf numFmtId="0" fontId="114" fillId="78" borderId="30" xfId="58791" applyFont="1" applyFill="1" applyBorder="1" applyAlignment="1" applyProtection="1">
      <alignment horizontal="center" vertical="center" wrapText="1"/>
      <protection locked="0"/>
    </xf>
    <xf numFmtId="0" fontId="129" fillId="0" borderId="29" xfId="58791" applyFont="1" applyBorder="1" applyAlignment="1">
      <alignment horizontal="center" vertical="center" wrapText="1"/>
    </xf>
    <xf numFmtId="0" fontId="114" fillId="74" borderId="1" xfId="58791" applyFont="1" applyFill="1" applyBorder="1" applyAlignment="1" applyProtection="1">
      <alignment horizontal="center" vertical="center" wrapText="1"/>
      <protection locked="0"/>
    </xf>
    <xf numFmtId="0" fontId="120" fillId="74" borderId="1" xfId="58791" applyFont="1" applyFill="1" applyBorder="1" applyAlignment="1" applyProtection="1">
      <alignment horizontal="center" vertical="center" wrapText="1"/>
      <protection locked="0"/>
    </xf>
    <xf numFmtId="0" fontId="114" fillId="78" borderId="1" xfId="58791" applyFont="1" applyFill="1" applyBorder="1" applyAlignment="1" applyProtection="1">
      <alignment horizontal="center" vertical="center" wrapText="1"/>
      <protection locked="0"/>
    </xf>
    <xf numFmtId="0" fontId="114" fillId="80" borderId="25" xfId="58791" applyFont="1" applyFill="1" applyBorder="1" applyAlignment="1" applyProtection="1">
      <alignment horizontal="center" vertical="center" wrapText="1"/>
      <protection locked="0"/>
    </xf>
    <xf numFmtId="0" fontId="114" fillId="80" borderId="30" xfId="58791" applyFont="1" applyFill="1" applyBorder="1" applyAlignment="1" applyProtection="1">
      <alignment horizontal="center" vertical="center" wrapText="1"/>
      <protection locked="0"/>
    </xf>
    <xf numFmtId="3" fontId="154" fillId="74" borderId="0" xfId="58791" applyNumberFormat="1" applyFont="1" applyFill="1" applyAlignment="1">
      <alignment horizontal="right"/>
    </xf>
    <xf numFmtId="3" fontId="114" fillId="74" borderId="1" xfId="0" applyNumberFormat="1" applyFont="1" applyFill="1" applyBorder="1" applyAlignment="1">
      <alignment horizontal="center" vertical="center"/>
    </xf>
    <xf numFmtId="3" fontId="157" fillId="74" borderId="0" xfId="61302" applyNumberFormat="1" applyFont="1" applyFill="1" applyBorder="1" applyAlignment="1">
      <alignment horizontal="center" vertical="center" wrapText="1"/>
    </xf>
    <xf numFmtId="0" fontId="117" fillId="74" borderId="1" xfId="61302" applyFont="1" applyFill="1" applyBorder="1" applyAlignment="1">
      <alignment horizontal="center" vertical="center" wrapText="1"/>
    </xf>
    <xf numFmtId="3" fontId="118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6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6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17" fillId="74" borderId="25" xfId="61302" applyFont="1" applyFill="1" applyBorder="1" applyAlignment="1">
      <alignment horizontal="center" vertical="center" wrapText="1"/>
    </xf>
    <xf numFmtId="0" fontId="117" fillId="74" borderId="26" xfId="61302" applyFont="1" applyFill="1" applyBorder="1" applyAlignment="1">
      <alignment horizontal="center" vertical="center" wrapText="1"/>
    </xf>
    <xf numFmtId="3" fontId="156" fillId="74" borderId="55" xfId="61303" applyNumberFormat="1" applyFont="1" applyFill="1" applyBorder="1" applyAlignment="1" applyProtection="1">
      <alignment horizontal="center" vertical="center" wrapText="1"/>
      <protection locked="0"/>
    </xf>
    <xf numFmtId="3" fontId="156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1" fillId="0" borderId="1" xfId="58791" applyFont="1" applyFill="1" applyBorder="1" applyAlignment="1" applyProtection="1">
      <alignment horizontal="center" vertical="center" wrapText="1"/>
      <protection locked="0"/>
    </xf>
    <xf numFmtId="0" fontId="157" fillId="0" borderId="0" xfId="58791" applyFont="1" applyFill="1" applyBorder="1" applyAlignment="1">
      <alignment horizontal="center" vertical="center" wrapText="1"/>
    </xf>
    <xf numFmtId="0" fontId="150" fillId="0" borderId="55" xfId="58791" applyFont="1" applyFill="1" applyBorder="1" applyAlignment="1" applyProtection="1">
      <alignment horizontal="center" vertical="center" wrapText="1"/>
      <protection locked="0"/>
    </xf>
    <xf numFmtId="0" fontId="150" fillId="0" borderId="2" xfId="58791" applyFont="1" applyFill="1" applyBorder="1" applyAlignment="1" applyProtection="1">
      <alignment horizontal="center" vertical="center" wrapText="1"/>
      <protection locked="0"/>
    </xf>
    <xf numFmtId="0" fontId="143" fillId="0" borderId="0" xfId="61298" applyFont="1" applyAlignment="1">
      <alignment horizontal="center" vertical="center" wrapText="1"/>
    </xf>
    <xf numFmtId="0" fontId="115" fillId="0" borderId="1" xfId="61298" applyFont="1" applyBorder="1" applyAlignment="1">
      <alignment horizontal="center" vertical="center" wrapText="1"/>
    </xf>
    <xf numFmtId="0" fontId="144" fillId="0" borderId="1" xfId="61298" applyFont="1" applyBorder="1" applyAlignment="1">
      <alignment horizontal="center" vertical="center" wrapText="1"/>
    </xf>
    <xf numFmtId="0" fontId="115" fillId="77" borderId="54" xfId="61313" applyFont="1" applyFill="1" applyBorder="1" applyAlignment="1">
      <alignment horizontal="center" vertical="center"/>
    </xf>
    <xf numFmtId="0" fontId="115" fillId="77" borderId="46" xfId="61313" applyFont="1" applyFill="1" applyBorder="1" applyAlignment="1">
      <alignment horizontal="center" vertical="center"/>
    </xf>
    <xf numFmtId="0" fontId="115" fillId="0" borderId="55" xfId="61313" applyFont="1" applyBorder="1" applyAlignment="1">
      <alignment horizontal="center" vertical="center"/>
    </xf>
    <xf numFmtId="0" fontId="115" fillId="0" borderId="2" xfId="61313" applyFont="1" applyBorder="1" applyAlignment="1">
      <alignment horizontal="center" vertical="center"/>
    </xf>
    <xf numFmtId="0" fontId="149" fillId="0" borderId="0" xfId="61313" applyFont="1" applyAlignment="1">
      <alignment horizontal="center" vertical="center"/>
    </xf>
    <xf numFmtId="0" fontId="117" fillId="77" borderId="36" xfId="61313" applyFont="1" applyFill="1" applyBorder="1" applyAlignment="1">
      <alignment horizontal="center" vertical="center" wrapText="1"/>
    </xf>
    <xf numFmtId="0" fontId="117" fillId="77" borderId="48" xfId="61313" applyFont="1" applyFill="1" applyBorder="1" applyAlignment="1">
      <alignment horizontal="center" vertical="center" wrapText="1"/>
    </xf>
    <xf numFmtId="0" fontId="117" fillId="77" borderId="62" xfId="61313" applyFont="1" applyFill="1" applyBorder="1" applyAlignment="1">
      <alignment horizontal="center" vertical="center" wrapText="1"/>
    </xf>
    <xf numFmtId="0" fontId="117" fillId="77" borderId="1" xfId="61313" applyFont="1" applyFill="1" applyBorder="1" applyAlignment="1">
      <alignment horizontal="center" vertical="center" wrapText="1"/>
    </xf>
    <xf numFmtId="0" fontId="117" fillId="77" borderId="63" xfId="61313" applyFont="1" applyFill="1" applyBorder="1" applyAlignment="1">
      <alignment horizontal="center" vertical="center" wrapText="1"/>
    </xf>
    <xf numFmtId="0" fontId="117" fillId="77" borderId="25" xfId="61313" applyFont="1" applyFill="1" applyBorder="1" applyAlignment="1">
      <alignment horizontal="center" vertical="center" wrapText="1"/>
    </xf>
    <xf numFmtId="0" fontId="118" fillId="77" borderId="62" xfId="61313" applyFont="1" applyFill="1" applyBorder="1" applyAlignment="1">
      <alignment horizontal="center" vertical="center" wrapText="1"/>
    </xf>
    <xf numFmtId="0" fontId="118" fillId="77" borderId="37" xfId="61313" applyFont="1" applyFill="1" applyBorder="1" applyAlignment="1">
      <alignment horizontal="center" vertical="center" wrapText="1"/>
    </xf>
    <xf numFmtId="0" fontId="117" fillId="77" borderId="68" xfId="61313" applyFont="1" applyFill="1" applyBorder="1" applyAlignment="1">
      <alignment horizontal="center" vertical="center" wrapText="1"/>
    </xf>
    <xf numFmtId="0" fontId="117" fillId="77" borderId="57" xfId="61313" applyFont="1" applyFill="1" applyBorder="1" applyAlignment="1">
      <alignment horizontal="center" vertical="center" wrapText="1"/>
    </xf>
    <xf numFmtId="0" fontId="118" fillId="77" borderId="1" xfId="61313" applyFont="1" applyFill="1" applyBorder="1" applyAlignment="1">
      <alignment horizontal="center" vertical="center" wrapText="1"/>
    </xf>
    <xf numFmtId="0" fontId="118" fillId="77" borderId="50" xfId="61313" applyFont="1" applyFill="1" applyBorder="1" applyAlignment="1">
      <alignment horizontal="center" vertical="center" wrapText="1"/>
    </xf>
    <xf numFmtId="0" fontId="149" fillId="0" borderId="0" xfId="61313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7" fillId="77" borderId="55" xfId="61313" applyFont="1" applyFill="1" applyBorder="1" applyAlignment="1">
      <alignment horizontal="center" vertical="center" wrapText="1"/>
    </xf>
    <xf numFmtId="0" fontId="117" fillId="77" borderId="2" xfId="61313" applyFont="1" applyFill="1" applyBorder="1" applyAlignment="1">
      <alignment horizontal="center" vertical="center" wrapText="1"/>
    </xf>
    <xf numFmtId="0" fontId="117" fillId="77" borderId="26" xfId="61313" applyFont="1" applyFill="1" applyBorder="1" applyAlignment="1">
      <alignment horizontal="center" vertical="center" wrapText="1"/>
    </xf>
    <xf numFmtId="0" fontId="117" fillId="77" borderId="30" xfId="61313" applyFont="1" applyFill="1" applyBorder="1" applyAlignment="1">
      <alignment horizontal="center" vertical="center" wrapText="1"/>
    </xf>
    <xf numFmtId="3" fontId="124" fillId="0" borderId="29" xfId="61310" applyNumberFormat="1" applyFont="1" applyFill="1" applyBorder="1" applyAlignment="1">
      <alignment horizontal="center" vertical="center" wrapText="1"/>
    </xf>
    <xf numFmtId="3" fontId="119" fillId="0" borderId="1" xfId="61310" applyNumberFormat="1" applyFont="1" applyFill="1" applyBorder="1" applyAlignment="1">
      <alignment horizontal="center" vertical="center" wrapText="1"/>
    </xf>
    <xf numFmtId="3" fontId="123" fillId="0" borderId="55" xfId="61310" applyNumberFormat="1" applyFont="1" applyFill="1" applyBorder="1" applyAlignment="1">
      <alignment horizontal="center" vertical="center" wrapText="1"/>
    </xf>
    <xf numFmtId="3" fontId="123" fillId="0" borderId="27" xfId="61310" applyNumberFormat="1" applyFont="1" applyFill="1" applyBorder="1" applyAlignment="1">
      <alignment horizontal="center" vertical="center" wrapText="1"/>
    </xf>
    <xf numFmtId="3" fontId="123" fillId="0" borderId="2" xfId="61310" applyNumberFormat="1" applyFont="1" applyFill="1" applyBorder="1" applyAlignment="1">
      <alignment horizontal="center" vertical="center" wrapText="1"/>
    </xf>
    <xf numFmtId="3" fontId="119" fillId="0" borderId="28" xfId="61310" applyNumberFormat="1" applyFont="1" applyFill="1" applyBorder="1" applyAlignment="1">
      <alignment horizontal="center" vertical="center" wrapText="1"/>
    </xf>
    <xf numFmtId="3" fontId="119" fillId="0" borderId="29" xfId="61310" applyNumberFormat="1" applyFont="1" applyFill="1" applyBorder="1" applyAlignment="1">
      <alignment horizontal="center" vertical="center" wrapText="1"/>
    </xf>
    <xf numFmtId="3" fontId="119" fillId="0" borderId="2" xfId="61310" applyNumberFormat="1" applyFont="1" applyFill="1" applyBorder="1" applyAlignment="1">
      <alignment horizontal="center" vertical="center" wrapText="1"/>
    </xf>
    <xf numFmtId="3" fontId="119" fillId="0" borderId="25" xfId="61310" applyNumberFormat="1" applyFont="1" applyFill="1" applyBorder="1" applyAlignment="1">
      <alignment horizontal="center" vertical="center" wrapText="1"/>
    </xf>
    <xf numFmtId="3" fontId="119" fillId="0" borderId="30" xfId="61310" applyNumberFormat="1" applyFont="1" applyFill="1" applyBorder="1" applyAlignment="1">
      <alignment horizontal="center" vertical="center" wrapText="1"/>
    </xf>
    <xf numFmtId="3" fontId="116" fillId="0" borderId="1" xfId="61310" applyNumberFormat="1" applyFont="1" applyFill="1" applyBorder="1" applyAlignment="1">
      <alignment horizontal="center"/>
    </xf>
    <xf numFmtId="0" fontId="114" fillId="0" borderId="1" xfId="0" applyFont="1" applyFill="1" applyBorder="1" applyAlignment="1">
      <alignment horizontal="center" vertical="center"/>
    </xf>
    <xf numFmtId="4" fontId="120" fillId="0" borderId="25" xfId="0" applyNumberFormat="1" applyFont="1" applyFill="1" applyBorder="1" applyAlignment="1">
      <alignment horizontal="center" vertical="center" wrapText="1"/>
    </xf>
    <xf numFmtId="4" fontId="120" fillId="0" borderId="26" xfId="0" applyNumberFormat="1" applyFont="1" applyFill="1" applyBorder="1" applyAlignment="1">
      <alignment horizontal="center" vertical="center" wrapText="1"/>
    </xf>
    <xf numFmtId="4" fontId="120" fillId="0" borderId="30" xfId="0" applyNumberFormat="1" applyFont="1" applyFill="1" applyBorder="1" applyAlignment="1">
      <alignment horizontal="center" vertical="center" wrapText="1"/>
    </xf>
    <xf numFmtId="4" fontId="114" fillId="0" borderId="25" xfId="0" applyNumberFormat="1" applyFont="1" applyFill="1" applyBorder="1" applyAlignment="1">
      <alignment horizontal="center" vertical="center" wrapText="1"/>
    </xf>
    <xf numFmtId="4" fontId="114" fillId="0" borderId="26" xfId="0" applyNumberFormat="1" applyFont="1" applyFill="1" applyBorder="1" applyAlignment="1">
      <alignment horizontal="center" vertical="center" wrapText="1"/>
    </xf>
    <xf numFmtId="4" fontId="114" fillId="0" borderId="30" xfId="0" applyNumberFormat="1" applyFont="1" applyFill="1" applyBorder="1" applyAlignment="1">
      <alignment horizontal="center" vertical="center" wrapText="1"/>
    </xf>
    <xf numFmtId="0" fontId="120" fillId="0" borderId="55" xfId="0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center" vertical="center"/>
    </xf>
    <xf numFmtId="49" fontId="116" fillId="0" borderId="55" xfId="18" applyNumberFormat="1" applyFont="1" applyFill="1" applyBorder="1" applyAlignment="1">
      <alignment horizontal="center" vertical="center"/>
    </xf>
    <xf numFmtId="49" fontId="116" fillId="0" borderId="2" xfId="18" applyNumberFormat="1" applyFont="1" applyFill="1" applyBorder="1" applyAlignment="1">
      <alignment horizontal="center" vertical="center"/>
    </xf>
    <xf numFmtId="0" fontId="124" fillId="0" borderId="29" xfId="61310" applyFont="1" applyFill="1" applyBorder="1" applyAlignment="1">
      <alignment horizontal="center" vertical="center" wrapText="1"/>
    </xf>
    <xf numFmtId="0" fontId="119" fillId="0" borderId="1" xfId="61310" applyFont="1" applyFill="1" applyBorder="1" applyAlignment="1">
      <alignment horizontal="center" vertical="center" wrapText="1"/>
    </xf>
    <xf numFmtId="0" fontId="123" fillId="0" borderId="55" xfId="61310" applyFont="1" applyFill="1" applyBorder="1" applyAlignment="1">
      <alignment horizontal="center" vertical="center" wrapText="1"/>
    </xf>
    <xf numFmtId="0" fontId="123" fillId="0" borderId="27" xfId="61310" applyFont="1" applyFill="1" applyBorder="1" applyAlignment="1">
      <alignment horizontal="center" vertical="center" wrapText="1"/>
    </xf>
    <xf numFmtId="0" fontId="119" fillId="0" borderId="25" xfId="61310" applyFont="1" applyFill="1" applyBorder="1" applyAlignment="1">
      <alignment horizontal="center" vertical="center" wrapText="1"/>
    </xf>
    <xf numFmtId="0" fontId="119" fillId="0" borderId="26" xfId="61310" applyFont="1" applyFill="1" applyBorder="1" applyAlignment="1">
      <alignment horizontal="center" vertical="center" wrapText="1"/>
    </xf>
    <xf numFmtId="0" fontId="119" fillId="0" borderId="30" xfId="61310" applyFont="1" applyFill="1" applyBorder="1" applyAlignment="1">
      <alignment horizontal="center" vertical="center" wrapText="1"/>
    </xf>
    <xf numFmtId="0" fontId="119" fillId="0" borderId="27" xfId="61310" applyFont="1" applyFill="1" applyBorder="1" applyAlignment="1">
      <alignment horizontal="center" vertical="center" wrapText="1"/>
    </xf>
    <xf numFmtId="0" fontId="116" fillId="0" borderId="55" xfId="61310" applyFont="1" applyFill="1" applyBorder="1" applyAlignment="1">
      <alignment horizontal="center" vertical="center" wrapText="1"/>
    </xf>
    <xf numFmtId="0" fontId="116" fillId="0" borderId="27" xfId="61310" applyFont="1" applyFill="1" applyBorder="1" applyAlignment="1">
      <alignment horizontal="center" vertical="center" wrapText="1"/>
    </xf>
    <xf numFmtId="0" fontId="116" fillId="0" borderId="1" xfId="61310" applyFont="1" applyFill="1" applyBorder="1" applyAlignment="1">
      <alignment horizontal="center" vertical="center" wrapText="1"/>
    </xf>
    <xf numFmtId="0" fontId="124" fillId="0" borderId="0" xfId="61310" applyFont="1" applyFill="1" applyBorder="1" applyAlignment="1">
      <alignment horizontal="center" vertical="center" wrapText="1"/>
    </xf>
    <xf numFmtId="0" fontId="123" fillId="0" borderId="2" xfId="61310" applyFont="1" applyFill="1" applyBorder="1" applyAlignment="1">
      <alignment horizontal="center" vertical="center" wrapText="1"/>
    </xf>
    <xf numFmtId="0" fontId="119" fillId="0" borderId="1" xfId="61310" applyFont="1" applyFill="1" applyBorder="1" applyAlignment="1">
      <alignment horizontal="center" vertical="top" wrapText="1"/>
    </xf>
    <xf numFmtId="0" fontId="119" fillId="0" borderId="2" xfId="61310" applyFont="1" applyFill="1" applyBorder="1" applyAlignment="1">
      <alignment horizontal="center" vertical="center" wrapText="1"/>
    </xf>
    <xf numFmtId="0" fontId="116" fillId="0" borderId="26" xfId="61310" applyFont="1" applyFill="1" applyBorder="1" applyAlignment="1">
      <alignment horizontal="center" vertical="center" wrapText="1"/>
    </xf>
    <xf numFmtId="0" fontId="116" fillId="0" borderId="30" xfId="61310" applyFont="1" applyFill="1" applyBorder="1" applyAlignment="1">
      <alignment horizontal="center" vertical="center" wrapText="1"/>
    </xf>
    <xf numFmtId="0" fontId="116" fillId="0" borderId="1" xfId="61312" applyFont="1" applyFill="1" applyBorder="1" applyAlignment="1">
      <alignment horizontal="center" vertical="center" wrapText="1"/>
    </xf>
    <xf numFmtId="0" fontId="116" fillId="0" borderId="25" xfId="61310" applyFont="1" applyFill="1" applyBorder="1" applyAlignment="1">
      <alignment horizontal="center" vertical="center" wrapText="1"/>
    </xf>
    <xf numFmtId="0" fontId="116" fillId="0" borderId="2" xfId="61310" applyFont="1" applyFill="1" applyBorder="1" applyAlignment="1">
      <alignment horizontal="center" vertical="center" wrapText="1"/>
    </xf>
    <xf numFmtId="0" fontId="119" fillId="0" borderId="55" xfId="61310" applyFont="1" applyFill="1" applyBorder="1" applyAlignment="1">
      <alignment horizontal="center" vertical="center" wrapText="1"/>
    </xf>
    <xf numFmtId="0" fontId="116" fillId="0" borderId="28" xfId="61312" applyFont="1" applyFill="1" applyBorder="1" applyAlignment="1">
      <alignment horizontal="center" vertical="center" wrapText="1"/>
    </xf>
    <xf numFmtId="0" fontId="116" fillId="0" borderId="35" xfId="61312" applyFont="1" applyFill="1" applyBorder="1" applyAlignment="1">
      <alignment horizontal="center" vertical="center" wrapText="1"/>
    </xf>
    <xf numFmtId="0" fontId="116" fillId="0" borderId="25" xfId="61312" applyFont="1" applyFill="1" applyBorder="1" applyAlignment="1">
      <alignment horizontal="center" vertical="center" wrapText="1"/>
    </xf>
    <xf numFmtId="0" fontId="116" fillId="0" borderId="30" xfId="61312" applyFont="1" applyFill="1" applyBorder="1" applyAlignment="1">
      <alignment horizontal="center" vertical="center" wrapText="1"/>
    </xf>
    <xf numFmtId="0" fontId="124" fillId="0" borderId="29" xfId="61311" applyFont="1" applyFill="1" applyBorder="1" applyAlignment="1">
      <alignment horizontal="center" vertical="center" wrapText="1"/>
    </xf>
    <xf numFmtId="0" fontId="119" fillId="0" borderId="1" xfId="61312" applyFont="1" applyFill="1" applyBorder="1" applyAlignment="1">
      <alignment horizontal="center" vertical="center" wrapText="1"/>
    </xf>
    <xf numFmtId="0" fontId="123" fillId="0" borderId="55" xfId="61312" applyFont="1" applyFill="1" applyBorder="1" applyAlignment="1">
      <alignment horizontal="center" vertical="center" wrapText="1"/>
    </xf>
    <xf numFmtId="0" fontId="123" fillId="0" borderId="27" xfId="61312" applyFont="1" applyFill="1" applyBorder="1" applyAlignment="1">
      <alignment horizontal="center" vertical="center" wrapText="1"/>
    </xf>
    <xf numFmtId="0" fontId="119" fillId="0" borderId="55" xfId="61312" applyFont="1" applyFill="1" applyBorder="1" applyAlignment="1">
      <alignment horizontal="center" vertical="center" wrapText="1"/>
    </xf>
    <xf numFmtId="0" fontId="119" fillId="0" borderId="27" xfId="61312" applyFont="1" applyFill="1" applyBorder="1" applyAlignment="1">
      <alignment horizontal="center" vertical="center" wrapText="1"/>
    </xf>
    <xf numFmtId="0" fontId="119" fillId="0" borderId="2" xfId="61312" applyFont="1" applyFill="1" applyBorder="1" applyAlignment="1">
      <alignment horizontal="center" vertical="center" wrapText="1"/>
    </xf>
    <xf numFmtId="0" fontId="119" fillId="0" borderId="25" xfId="61312" applyFont="1" applyFill="1" applyBorder="1" applyAlignment="1">
      <alignment horizontal="center" vertical="center" wrapText="1"/>
    </xf>
    <xf numFmtId="0" fontId="119" fillId="0" borderId="26" xfId="61312" applyFont="1" applyFill="1" applyBorder="1" applyAlignment="1">
      <alignment horizontal="center" vertical="center" wrapText="1"/>
    </xf>
    <xf numFmtId="0" fontId="119" fillId="0" borderId="30" xfId="61312" applyFont="1" applyFill="1" applyBorder="1" applyAlignment="1">
      <alignment horizontal="center" vertical="center" wrapText="1"/>
    </xf>
    <xf numFmtId="0" fontId="116" fillId="0" borderId="2" xfId="61312" applyFont="1" applyFill="1" applyBorder="1" applyAlignment="1">
      <alignment horizontal="center" vertical="center" wrapText="1"/>
    </xf>
    <xf numFmtId="0" fontId="116" fillId="0" borderId="27" xfId="61312" applyFont="1" applyFill="1" applyBorder="1" applyAlignment="1">
      <alignment horizontal="center" vertical="center" wrapText="1"/>
    </xf>
    <xf numFmtId="0" fontId="143" fillId="0" borderId="0" xfId="58594" applyFont="1" applyAlignment="1">
      <alignment horizontal="center"/>
    </xf>
    <xf numFmtId="0" fontId="147" fillId="0" borderId="55" xfId="0" applyFont="1" applyFill="1" applyBorder="1" applyAlignment="1">
      <alignment horizontal="center" vertical="center" wrapText="1"/>
    </xf>
    <xf numFmtId="0" fontId="147" fillId="0" borderId="27" xfId="0" applyFont="1" applyFill="1" applyBorder="1" applyAlignment="1">
      <alignment horizontal="center" vertical="center" wrapText="1"/>
    </xf>
    <xf numFmtId="0" fontId="147" fillId="0" borderId="2" xfId="0" applyFont="1" applyFill="1" applyBorder="1" applyAlignment="1">
      <alignment horizontal="center" vertical="center" wrapText="1"/>
    </xf>
    <xf numFmtId="0" fontId="123" fillId="0" borderId="1" xfId="0" applyFont="1" applyFill="1" applyBorder="1" applyAlignment="1">
      <alignment horizontal="center" vertical="center" wrapText="1"/>
    </xf>
    <xf numFmtId="0" fontId="116" fillId="0" borderId="1" xfId="58594" applyFont="1" applyBorder="1" applyAlignment="1">
      <alignment horizontal="center" vertical="center" wrapText="1"/>
    </xf>
    <xf numFmtId="0" fontId="116" fillId="0" borderId="1" xfId="58594" applyFont="1" applyFill="1" applyBorder="1" applyAlignment="1">
      <alignment horizontal="center" vertical="center" wrapText="1"/>
    </xf>
    <xf numFmtId="0" fontId="102" fillId="0" borderId="25" xfId="58594" applyFill="1" applyBorder="1" applyAlignment="1">
      <alignment horizontal="center" vertical="center" wrapText="1"/>
    </xf>
    <xf numFmtId="0" fontId="102" fillId="0" borderId="26" xfId="58594" applyFill="1" applyBorder="1" applyAlignment="1">
      <alignment horizontal="center" vertical="center" wrapText="1"/>
    </xf>
    <xf numFmtId="0" fontId="102" fillId="0" borderId="30" xfId="58594" applyFill="1" applyBorder="1" applyAlignment="1">
      <alignment horizontal="center" vertical="center" wrapText="1"/>
    </xf>
    <xf numFmtId="0" fontId="116" fillId="0" borderId="25" xfId="58594" applyFont="1" applyFill="1" applyBorder="1" applyAlignment="1">
      <alignment horizontal="center" vertical="center"/>
    </xf>
    <xf numFmtId="0" fontId="116" fillId="0" borderId="30" xfId="58594" applyFont="1" applyFill="1" applyBorder="1" applyAlignment="1">
      <alignment horizontal="center" vertical="center"/>
    </xf>
    <xf numFmtId="0" fontId="147" fillId="0" borderId="25" xfId="0" applyFont="1" applyFill="1" applyBorder="1" applyAlignment="1">
      <alignment horizontal="center" vertical="center" wrapText="1"/>
    </xf>
    <xf numFmtId="0" fontId="147" fillId="0" borderId="26" xfId="0" applyFont="1" applyFill="1" applyBorder="1" applyAlignment="1">
      <alignment horizontal="center" vertical="center" wrapText="1"/>
    </xf>
    <xf numFmtId="0" fontId="147" fillId="0" borderId="30" xfId="0" applyFont="1" applyFill="1" applyBorder="1" applyAlignment="1">
      <alignment horizontal="center" vertical="center" wrapText="1"/>
    </xf>
    <xf numFmtId="0" fontId="143" fillId="0" borderId="0" xfId="0" applyFont="1" applyFill="1" applyAlignment="1">
      <alignment horizontal="center" vertical="center" wrapText="1"/>
    </xf>
    <xf numFmtId="0" fontId="123" fillId="0" borderId="55" xfId="0" applyFont="1" applyFill="1" applyBorder="1" applyAlignment="1">
      <alignment horizontal="center" vertical="center" wrapText="1"/>
    </xf>
    <xf numFmtId="0" fontId="123" fillId="0" borderId="27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 wrapText="1"/>
    </xf>
    <xf numFmtId="0" fontId="158" fillId="0" borderId="25" xfId="61308" applyFont="1" applyFill="1" applyBorder="1" applyAlignment="1">
      <alignment horizontal="center" vertical="center"/>
    </xf>
    <xf numFmtId="0" fontId="158" fillId="0" borderId="26" xfId="61308" applyFont="1" applyFill="1" applyBorder="1" applyAlignment="1">
      <alignment horizontal="center" vertical="center"/>
    </xf>
    <xf numFmtId="0" fontId="158" fillId="0" borderId="30" xfId="61308" applyFont="1" applyFill="1" applyBorder="1" applyAlignment="1">
      <alignment horizontal="center" vertical="center"/>
    </xf>
    <xf numFmtId="49" fontId="158" fillId="0" borderId="0" xfId="61308" applyNumberFormat="1" applyFont="1" applyFill="1" applyAlignment="1">
      <alignment horizontal="left" vertical="center" wrapText="1"/>
    </xf>
    <xf numFmtId="49" fontId="158" fillId="0" borderId="0" xfId="61308" applyNumberFormat="1" applyFont="1" applyFill="1" applyAlignment="1">
      <alignment horizontal="left" vertical="center"/>
    </xf>
    <xf numFmtId="0" fontId="165" fillId="0" borderId="0" xfId="61308" applyFont="1" applyFill="1" applyAlignment="1">
      <alignment horizontal="center" vertical="center" wrapText="1"/>
    </xf>
    <xf numFmtId="0" fontId="158" fillId="0" borderId="55" xfId="61308" applyFont="1" applyFill="1" applyBorder="1" applyAlignment="1">
      <alignment horizontal="center" vertical="center"/>
    </xf>
    <xf numFmtId="0" fontId="158" fillId="0" borderId="27" xfId="61308" applyFont="1" applyFill="1" applyBorder="1" applyAlignment="1">
      <alignment horizontal="center" vertical="center"/>
    </xf>
    <xf numFmtId="0" fontId="158" fillId="0" borderId="2" xfId="61308" applyFont="1" applyFill="1" applyBorder="1" applyAlignment="1">
      <alignment horizontal="center" vertical="center"/>
    </xf>
    <xf numFmtId="49" fontId="158" fillId="0" borderId="55" xfId="61308" applyNumberFormat="1" applyFont="1" applyFill="1" applyBorder="1" applyAlignment="1">
      <alignment horizontal="center" vertical="center" wrapText="1"/>
    </xf>
    <xf numFmtId="49" fontId="158" fillId="0" borderId="27" xfId="61308" applyNumberFormat="1" applyFont="1" applyFill="1" applyBorder="1" applyAlignment="1">
      <alignment horizontal="center" vertical="center" wrapText="1"/>
    </xf>
    <xf numFmtId="49" fontId="158" fillId="0" borderId="2" xfId="61308" applyNumberFormat="1" applyFont="1" applyFill="1" applyBorder="1" applyAlignment="1">
      <alignment horizontal="center" vertical="center" wrapText="1"/>
    </xf>
    <xf numFmtId="0" fontId="158" fillId="0" borderId="1" xfId="61308" applyFont="1" applyFill="1" applyBorder="1" applyAlignment="1">
      <alignment horizontal="center" vertical="center"/>
    </xf>
    <xf numFmtId="2" fontId="158" fillId="0" borderId="25" xfId="61308" applyNumberFormat="1" applyFont="1" applyFill="1" applyBorder="1" applyAlignment="1">
      <alignment horizontal="center" vertical="center" wrapText="1"/>
    </xf>
    <xf numFmtId="2" fontId="158" fillId="0" borderId="26" xfId="61308" applyNumberFormat="1" applyFont="1" applyFill="1" applyBorder="1" applyAlignment="1">
      <alignment horizontal="center" vertical="center" wrapText="1"/>
    </xf>
    <xf numFmtId="2" fontId="158" fillId="0" borderId="30" xfId="61308" applyNumberFormat="1" applyFont="1" applyFill="1" applyBorder="1" applyAlignment="1">
      <alignment horizontal="center" vertical="center" wrapText="1"/>
    </xf>
    <xf numFmtId="0" fontId="158" fillId="0" borderId="30" xfId="61308" applyFont="1" applyFill="1" applyBorder="1" applyAlignment="1">
      <alignment horizontal="center" vertical="center" wrapText="1"/>
    </xf>
    <xf numFmtId="0" fontId="158" fillId="0" borderId="1" xfId="61308" applyFont="1" applyFill="1" applyBorder="1" applyAlignment="1">
      <alignment horizontal="center" vertical="center" wrapText="1"/>
    </xf>
    <xf numFmtId="3" fontId="120" fillId="74" borderId="31" xfId="58523" applyNumberFormat="1" applyFont="1" applyFill="1" applyBorder="1" applyAlignment="1">
      <alignment horizontal="center" vertical="center" wrapText="1"/>
    </xf>
    <xf numFmtId="3" fontId="120" fillId="74" borderId="2" xfId="58523" applyNumberFormat="1" applyFont="1" applyFill="1" applyBorder="1" applyAlignment="1">
      <alignment horizontal="center" vertical="center" wrapText="1"/>
    </xf>
    <xf numFmtId="0" fontId="114" fillId="0" borderId="1" xfId="58523" applyFont="1" applyFill="1" applyBorder="1" applyAlignment="1">
      <alignment horizontal="center" vertical="center"/>
    </xf>
    <xf numFmtId="0" fontId="127" fillId="75" borderId="0" xfId="58523" applyNumberFormat="1" applyFont="1" applyFill="1" applyBorder="1" applyAlignment="1">
      <alignment horizontal="center" vertical="center" wrapText="1"/>
    </xf>
    <xf numFmtId="0" fontId="120" fillId="75" borderId="31" xfId="58523" applyFont="1" applyFill="1" applyBorder="1" applyAlignment="1">
      <alignment horizontal="center" vertical="center" wrapText="1"/>
    </xf>
    <xf numFmtId="0" fontId="120" fillId="75" borderId="27" xfId="58523" applyFont="1" applyFill="1" applyBorder="1" applyAlignment="1">
      <alignment horizontal="center" vertical="center" wrapText="1"/>
    </xf>
    <xf numFmtId="0" fontId="120" fillId="75" borderId="2" xfId="58523" applyFont="1" applyFill="1" applyBorder="1" applyAlignment="1">
      <alignment horizontal="center" vertical="center" wrapText="1"/>
    </xf>
    <xf numFmtId="0" fontId="120" fillId="74" borderId="31" xfId="58523" applyFont="1" applyFill="1" applyBorder="1" applyAlignment="1">
      <alignment horizontal="center" vertical="center" wrapText="1"/>
    </xf>
    <xf numFmtId="0" fontId="120" fillId="74" borderId="27" xfId="58523" applyFont="1" applyFill="1" applyBorder="1" applyAlignment="1">
      <alignment horizontal="center" vertical="center" wrapText="1"/>
    </xf>
    <xf numFmtId="0" fontId="120" fillId="74" borderId="2" xfId="58523" applyFont="1" applyFill="1" applyBorder="1" applyAlignment="1">
      <alignment horizontal="center" vertical="center" wrapText="1"/>
    </xf>
    <xf numFmtId="1" fontId="114" fillId="75" borderId="32" xfId="58523" applyNumberFormat="1" applyFont="1" applyFill="1" applyBorder="1" applyAlignment="1">
      <alignment horizontal="center" vertical="center" wrapText="1"/>
    </xf>
    <xf numFmtId="1" fontId="114" fillId="75" borderId="33" xfId="58523" applyNumberFormat="1" applyFont="1" applyFill="1" applyBorder="1" applyAlignment="1">
      <alignment horizontal="center" vertical="center" wrapText="1"/>
    </xf>
    <xf numFmtId="1" fontId="114" fillId="75" borderId="34" xfId="58523" applyNumberFormat="1" applyFont="1" applyFill="1" applyBorder="1" applyAlignment="1">
      <alignment horizontal="center" vertical="center" wrapText="1"/>
    </xf>
    <xf numFmtId="1" fontId="114" fillId="75" borderId="28" xfId="58523" applyNumberFormat="1" applyFont="1" applyFill="1" applyBorder="1" applyAlignment="1">
      <alignment horizontal="center" vertical="center" wrapText="1"/>
    </xf>
    <xf numFmtId="1" fontId="114" fillId="75" borderId="29" xfId="58523" applyNumberFormat="1" applyFont="1" applyFill="1" applyBorder="1" applyAlignment="1">
      <alignment horizontal="center" vertical="center" wrapText="1"/>
    </xf>
    <xf numFmtId="1" fontId="114" fillId="75" borderId="35" xfId="58523" applyNumberFormat="1" applyFont="1" applyFill="1" applyBorder="1" applyAlignment="1">
      <alignment horizontal="center" vertical="center" wrapText="1"/>
    </xf>
    <xf numFmtId="0" fontId="127" fillId="0" borderId="0" xfId="0" applyFont="1" applyFill="1" applyAlignment="1">
      <alignment horizontal="center" vertical="center" wrapText="1"/>
    </xf>
    <xf numFmtId="0" fontId="123" fillId="0" borderId="36" xfId="0" applyFont="1" applyFill="1" applyBorder="1" applyAlignment="1">
      <alignment horizontal="center" vertical="center" wrapText="1"/>
    </xf>
    <xf numFmtId="0" fontId="123" fillId="0" borderId="42" xfId="0" applyFont="1" applyFill="1" applyBorder="1" applyAlignment="1">
      <alignment horizontal="center" vertical="center" wrapText="1"/>
    </xf>
    <xf numFmtId="49" fontId="123" fillId="0" borderId="87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0" fontId="123" fillId="0" borderId="37" xfId="0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 wrapText="1"/>
    </xf>
    <xf numFmtId="2" fontId="130" fillId="0" borderId="38" xfId="0" applyNumberFormat="1" applyFont="1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3" fontId="123" fillId="0" borderId="38" xfId="0" applyNumberFormat="1" applyFont="1" applyFill="1" applyBorder="1" applyAlignment="1">
      <alignment horizontal="center" vertical="center" wrapText="1"/>
    </xf>
    <xf numFmtId="3" fontId="129" fillId="0" borderId="68" xfId="0" applyNumberFormat="1" applyFont="1" applyFill="1" applyBorder="1" applyAlignment="1">
      <alignment horizontal="center" vertical="center" wrapText="1"/>
    </xf>
    <xf numFmtId="3" fontId="129" fillId="0" borderId="69" xfId="0" applyNumberFormat="1" applyFont="1" applyFill="1" applyBorder="1" applyAlignment="1">
      <alignment horizontal="center" vertical="center" wrapText="1"/>
    </xf>
    <xf numFmtId="3" fontId="127" fillId="0" borderId="0" xfId="0" applyNumberFormat="1" applyFont="1" applyFill="1" applyAlignment="1">
      <alignment horizontal="center" vertical="center" wrapText="1"/>
    </xf>
    <xf numFmtId="0" fontId="133" fillId="0" borderId="0" xfId="0" applyFont="1" applyFill="1" applyAlignment="1">
      <alignment horizontal="center" vertical="center" wrapText="1"/>
    </xf>
    <xf numFmtId="3" fontId="123" fillId="0" borderId="36" xfId="0" applyNumberFormat="1" applyFont="1" applyFill="1" applyBorder="1" applyAlignment="1">
      <alignment horizontal="center" vertical="center" wrapText="1"/>
    </xf>
    <xf numFmtId="3" fontId="123" fillId="0" borderId="42" xfId="0" applyNumberFormat="1" applyFont="1" applyFill="1" applyBorder="1" applyAlignment="1">
      <alignment horizontal="center" vertical="center" wrapText="1"/>
    </xf>
    <xf numFmtId="3" fontId="123" fillId="0" borderId="63" xfId="0" applyNumberFormat="1" applyFont="1" applyFill="1" applyBorder="1" applyAlignment="1">
      <alignment horizontal="center" vertical="center" wrapText="1"/>
    </xf>
    <xf numFmtId="3" fontId="123" fillId="0" borderId="67" xfId="0" applyNumberFormat="1" applyFont="1" applyFill="1" applyBorder="1" applyAlignment="1">
      <alignment horizontal="center" vertical="center" wrapText="1"/>
    </xf>
    <xf numFmtId="3" fontId="123" fillId="0" borderId="68" xfId="58523" applyNumberFormat="1" applyFont="1" applyFill="1" applyBorder="1" applyAlignment="1">
      <alignment horizontal="center" vertical="center" wrapText="1"/>
    </xf>
    <xf numFmtId="3" fontId="123" fillId="0" borderId="69" xfId="58523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horizontal="center" vertical="center"/>
    </xf>
    <xf numFmtId="0" fontId="135" fillId="0" borderId="61" xfId="0" applyFont="1" applyFill="1" applyBorder="1" applyAlignment="1">
      <alignment horizontal="right" vertical="center"/>
    </xf>
    <xf numFmtId="0" fontId="173" fillId="0" borderId="85" xfId="0" applyFont="1" applyFill="1" applyBorder="1" applyAlignment="1">
      <alignment horizontal="center" vertical="center" wrapText="1"/>
    </xf>
    <xf numFmtId="0" fontId="173" fillId="0" borderId="74" xfId="0" applyFont="1" applyFill="1" applyBorder="1" applyAlignment="1">
      <alignment horizontal="center" vertical="center" wrapText="1"/>
    </xf>
    <xf numFmtId="0" fontId="173" fillId="0" borderId="59" xfId="0" applyFont="1" applyFill="1" applyBorder="1" applyAlignment="1">
      <alignment horizontal="center" vertical="center" wrapText="1"/>
    </xf>
    <xf numFmtId="0" fontId="173" fillId="0" borderId="51" xfId="0" applyFont="1" applyFill="1" applyBorder="1" applyAlignment="1">
      <alignment horizontal="center" vertical="center" wrapText="1"/>
    </xf>
    <xf numFmtId="0" fontId="173" fillId="0" borderId="52" xfId="0" applyFont="1" applyFill="1" applyBorder="1" applyAlignment="1">
      <alignment horizontal="center" vertical="center" wrapText="1"/>
    </xf>
    <xf numFmtId="0" fontId="173" fillId="0" borderId="60" xfId="0" applyFont="1" applyFill="1" applyBorder="1" applyAlignment="1">
      <alignment horizontal="center" vertical="center" wrapText="1"/>
    </xf>
    <xf numFmtId="0" fontId="173" fillId="0" borderId="41" xfId="0" applyFont="1" applyFill="1" applyBorder="1" applyAlignment="1">
      <alignment horizontal="center" vertical="center" wrapText="1"/>
    </xf>
    <xf numFmtId="0" fontId="173" fillId="0" borderId="30" xfId="0" applyFont="1" applyFill="1" applyBorder="1" applyAlignment="1">
      <alignment horizontal="center" vertical="center" wrapText="1"/>
    </xf>
    <xf numFmtId="0" fontId="173" fillId="0" borderId="73" xfId="0" applyFont="1" applyFill="1" applyBorder="1" applyAlignment="1">
      <alignment horizontal="center" vertical="center" wrapText="1"/>
    </xf>
    <xf numFmtId="0" fontId="148" fillId="0" borderId="38" xfId="0" applyFont="1" applyFill="1" applyBorder="1" applyAlignment="1">
      <alignment horizontal="left" vertical="center" wrapText="1"/>
    </xf>
    <xf numFmtId="0" fontId="174" fillId="0" borderId="39" xfId="0" applyFont="1" applyFill="1" applyBorder="1" applyAlignment="1">
      <alignment vertical="center" wrapText="1"/>
    </xf>
    <xf numFmtId="0" fontId="174" fillId="0" borderId="40" xfId="0" applyFont="1" applyFill="1" applyBorder="1" applyAlignment="1">
      <alignment vertical="center" wrapText="1"/>
    </xf>
    <xf numFmtId="0" fontId="175" fillId="0" borderId="38" xfId="0" applyFont="1" applyFill="1" applyBorder="1" applyAlignment="1">
      <alignment horizontal="center" vertical="center" wrapText="1"/>
    </xf>
    <xf numFmtId="0" fontId="175" fillId="0" borderId="39" xfId="0" applyFont="1" applyFill="1" applyBorder="1" applyAlignment="1">
      <alignment horizontal="center" vertical="center" wrapText="1"/>
    </xf>
    <xf numFmtId="0" fontId="175" fillId="0" borderId="40" xfId="0" applyFont="1" applyFill="1" applyBorder="1" applyAlignment="1">
      <alignment horizontal="center" vertical="center" wrapText="1"/>
    </xf>
    <xf numFmtId="0" fontId="175" fillId="0" borderId="36" xfId="58717" applyFont="1" applyFill="1" applyBorder="1" applyAlignment="1">
      <alignment horizontal="center" vertical="center" wrapText="1"/>
    </xf>
    <xf numFmtId="0" fontId="175" fillId="0" borderId="62" xfId="58717" applyFont="1" applyFill="1" applyBorder="1" applyAlignment="1">
      <alignment horizontal="center" vertical="center" wrapText="1"/>
    </xf>
    <xf numFmtId="0" fontId="175" fillId="0" borderId="63" xfId="58717" applyFont="1" applyFill="1" applyBorder="1" applyAlignment="1">
      <alignment horizontal="center" vertical="center" wrapText="1"/>
    </xf>
    <xf numFmtId="0" fontId="175" fillId="0" borderId="37" xfId="58717" applyFont="1" applyFill="1" applyBorder="1" applyAlignment="1">
      <alignment horizontal="center" vertical="center" wrapText="1"/>
    </xf>
    <xf numFmtId="0" fontId="116" fillId="0" borderId="54" xfId="0" applyFont="1" applyFill="1" applyBorder="1" applyAlignment="1">
      <alignment horizontal="center" vertical="center" wrapText="1"/>
    </xf>
    <xf numFmtId="0" fontId="116" fillId="0" borderId="83" xfId="0" applyFont="1" applyFill="1" applyBorder="1" applyAlignment="1">
      <alignment horizontal="center" vertical="center" wrapText="1"/>
    </xf>
    <xf numFmtId="0" fontId="173" fillId="0" borderId="55" xfId="0" applyFont="1" applyFill="1" applyBorder="1" applyAlignment="1">
      <alignment horizontal="center" vertical="center" wrapText="1"/>
    </xf>
    <xf numFmtId="0" fontId="173" fillId="0" borderId="43" xfId="0" applyFont="1" applyFill="1" applyBorder="1" applyAlignment="1">
      <alignment horizontal="center" vertical="center" wrapText="1"/>
    </xf>
    <xf numFmtId="0" fontId="173" fillId="0" borderId="27" xfId="0" applyFont="1" applyFill="1" applyBorder="1" applyAlignment="1">
      <alignment horizontal="center" vertical="center" wrapText="1"/>
    </xf>
    <xf numFmtId="0" fontId="177" fillId="0" borderId="55" xfId="0" applyFont="1" applyFill="1" applyBorder="1" applyAlignment="1">
      <alignment horizontal="center" vertical="center" wrapText="1"/>
    </xf>
    <xf numFmtId="0" fontId="177" fillId="0" borderId="43" xfId="0" applyFont="1" applyFill="1" applyBorder="1" applyAlignment="1">
      <alignment horizontal="center" vertical="center" wrapText="1"/>
    </xf>
    <xf numFmtId="0" fontId="173" fillId="0" borderId="1" xfId="0" applyFont="1" applyFill="1" applyBorder="1" applyAlignment="1">
      <alignment horizontal="center" vertical="center" wrapText="1"/>
    </xf>
    <xf numFmtId="0" fontId="175" fillId="0" borderId="56" xfId="0" applyFont="1" applyFill="1" applyBorder="1" applyAlignment="1">
      <alignment horizontal="center" vertical="center"/>
    </xf>
    <xf numFmtId="0" fontId="175" fillId="0" borderId="76" xfId="0" applyFont="1" applyFill="1" applyBorder="1" applyAlignment="1">
      <alignment horizontal="center" vertical="center"/>
    </xf>
    <xf numFmtId="0" fontId="116" fillId="0" borderId="64" xfId="0" applyFont="1" applyFill="1" applyBorder="1" applyAlignment="1">
      <alignment horizontal="center" vertical="center" wrapText="1"/>
    </xf>
    <xf numFmtId="0" fontId="116" fillId="0" borderId="27" xfId="0" applyFont="1" applyFill="1" applyBorder="1" applyAlignment="1">
      <alignment horizontal="center" vertical="center" wrapText="1"/>
    </xf>
    <xf numFmtId="0" fontId="116" fillId="0" borderId="43" xfId="0" applyFont="1" applyFill="1" applyBorder="1" applyAlignment="1">
      <alignment horizontal="center" vertical="center" wrapText="1"/>
    </xf>
    <xf numFmtId="0" fontId="135" fillId="0" borderId="1" xfId="0" applyFont="1" applyFill="1" applyBorder="1" applyAlignment="1">
      <alignment horizontal="right" vertical="center"/>
    </xf>
    <xf numFmtId="0" fontId="175" fillId="0" borderId="56" xfId="0" applyFont="1" applyFill="1" applyBorder="1" applyAlignment="1">
      <alignment horizontal="center" vertical="center" wrapText="1"/>
    </xf>
    <xf numFmtId="0" fontId="175" fillId="0" borderId="76" xfId="0" applyFont="1" applyFill="1" applyBorder="1" applyAlignment="1">
      <alignment horizontal="center" vertical="center" wrapText="1"/>
    </xf>
    <xf numFmtId="4" fontId="173" fillId="0" borderId="27" xfId="0" applyNumberFormat="1" applyFont="1" applyFill="1" applyBorder="1" applyAlignment="1">
      <alignment horizontal="center" vertical="center" wrapText="1"/>
    </xf>
    <xf numFmtId="4" fontId="173" fillId="0" borderId="43" xfId="0" applyNumberFormat="1" applyFont="1" applyFill="1" applyBorder="1" applyAlignment="1">
      <alignment horizontal="center" vertical="center" wrapText="1"/>
    </xf>
    <xf numFmtId="0" fontId="175" fillId="0" borderId="65" xfId="0" applyFont="1" applyFill="1" applyBorder="1" applyAlignment="1">
      <alignment horizontal="center" vertical="center" wrapText="1"/>
    </xf>
    <xf numFmtId="0" fontId="135" fillId="0" borderId="25" xfId="0" applyFont="1" applyFill="1" applyBorder="1" applyAlignment="1">
      <alignment horizontal="center" vertical="center"/>
    </xf>
    <xf numFmtId="0" fontId="135" fillId="0" borderId="30" xfId="0" applyFont="1" applyFill="1" applyBorder="1" applyAlignment="1">
      <alignment horizontal="center" vertical="center"/>
    </xf>
    <xf numFmtId="0" fontId="173" fillId="0" borderId="64" xfId="0" applyFont="1" applyFill="1" applyBorder="1" applyAlignment="1">
      <alignment horizontal="center" vertical="center" wrapText="1"/>
    </xf>
    <xf numFmtId="0" fontId="173" fillId="0" borderId="83" xfId="0" applyFont="1" applyFill="1" applyBorder="1" applyAlignment="1">
      <alignment horizontal="center" vertical="center" wrapText="1"/>
    </xf>
    <xf numFmtId="0" fontId="142" fillId="0" borderId="25" xfId="0" applyFont="1" applyFill="1" applyBorder="1" applyAlignment="1">
      <alignment horizontal="right" vertical="center"/>
    </xf>
    <xf numFmtId="0" fontId="142" fillId="0" borderId="30" xfId="0" applyFont="1" applyFill="1" applyBorder="1" applyAlignment="1">
      <alignment horizontal="right" vertical="center"/>
    </xf>
    <xf numFmtId="0" fontId="128" fillId="0" borderId="0" xfId="0" applyFont="1" applyFill="1" applyBorder="1" applyAlignment="1">
      <alignment horizontal="center" vertical="center" wrapText="1"/>
    </xf>
    <xf numFmtId="0" fontId="154" fillId="0" borderId="50" xfId="0" applyFont="1" applyFill="1" applyBorder="1" applyAlignment="1">
      <alignment horizontal="center" vertical="center" wrapText="1"/>
    </xf>
    <xf numFmtId="0" fontId="170" fillId="0" borderId="44" xfId="0" applyFont="1" applyFill="1" applyBorder="1" applyAlignment="1">
      <alignment horizontal="center" vertical="center" wrapText="1"/>
    </xf>
    <xf numFmtId="0" fontId="156" fillId="0" borderId="38" xfId="0" applyFont="1" applyFill="1" applyBorder="1" applyAlignment="1">
      <alignment horizontal="center" vertical="center" wrapText="1"/>
    </xf>
    <xf numFmtId="0" fontId="156" fillId="0" borderId="74" xfId="0" applyFont="1" applyFill="1" applyBorder="1" applyAlignment="1">
      <alignment horizontal="center" vertical="center" wrapText="1"/>
    </xf>
    <xf numFmtId="0" fontId="156" fillId="0" borderId="77" xfId="0" applyFont="1" applyFill="1" applyBorder="1" applyAlignment="1">
      <alignment horizontal="center" vertical="center" wrapText="1"/>
    </xf>
    <xf numFmtId="0" fontId="156" fillId="0" borderId="51" xfId="0" applyFont="1" applyFill="1" applyBorder="1" applyAlignment="1">
      <alignment horizontal="center" vertical="center" wrapText="1"/>
    </xf>
    <xf numFmtId="0" fontId="156" fillId="0" borderId="52" xfId="0" applyFont="1" applyFill="1" applyBorder="1" applyAlignment="1">
      <alignment horizontal="center" vertical="center" wrapText="1"/>
    </xf>
    <xf numFmtId="0" fontId="156" fillId="0" borderId="60" xfId="0" applyFont="1" applyFill="1" applyBorder="1" applyAlignment="1">
      <alignment horizontal="center" vertical="center" wrapText="1"/>
    </xf>
    <xf numFmtId="0" fontId="156" fillId="0" borderId="39" xfId="0" applyFont="1" applyFill="1" applyBorder="1" applyAlignment="1">
      <alignment horizontal="center" vertical="center" wrapText="1"/>
    </xf>
    <xf numFmtId="0" fontId="156" fillId="0" borderId="0" xfId="0" applyFont="1" applyFill="1" applyBorder="1" applyAlignment="1">
      <alignment horizontal="center" vertical="center" wrapText="1"/>
    </xf>
    <xf numFmtId="0" fontId="156" fillId="0" borderId="66" xfId="0" applyFont="1" applyFill="1" applyBorder="1" applyAlignment="1">
      <alignment horizontal="center" vertical="center" wrapText="1"/>
    </xf>
    <xf numFmtId="3" fontId="156" fillId="0" borderId="36" xfId="0" applyNumberFormat="1" applyFont="1" applyFill="1" applyBorder="1" applyAlignment="1">
      <alignment horizontal="center" vertical="center" wrapText="1"/>
    </xf>
    <xf numFmtId="3" fontId="156" fillId="0" borderId="41" xfId="0" applyNumberFormat="1" applyFont="1" applyFill="1" applyBorder="1" applyAlignment="1">
      <alignment horizontal="center" vertical="center" wrapText="1"/>
    </xf>
    <xf numFmtId="3" fontId="156" fillId="0" borderId="62" xfId="0" applyNumberFormat="1" applyFont="1" applyFill="1" applyBorder="1" applyAlignment="1">
      <alignment horizontal="center" vertical="center" wrapText="1"/>
    </xf>
    <xf numFmtId="3" fontId="156" fillId="0" borderId="37" xfId="0" applyNumberFormat="1" applyFont="1" applyFill="1" applyBorder="1" applyAlignment="1">
      <alignment horizontal="center" vertical="center" wrapText="1"/>
    </xf>
    <xf numFmtId="3" fontId="156" fillId="0" borderId="38" xfId="0" applyNumberFormat="1" applyFont="1" applyFill="1" applyBorder="1" applyAlignment="1">
      <alignment horizontal="center" vertical="center" wrapText="1"/>
    </xf>
    <xf numFmtId="3" fontId="156" fillId="0" borderId="74" xfId="0" applyNumberFormat="1" applyFont="1" applyFill="1" applyBorder="1" applyAlignment="1">
      <alignment horizontal="center" vertical="center" wrapText="1"/>
    </xf>
    <xf numFmtId="3" fontId="156" fillId="0" borderId="77" xfId="0" applyNumberFormat="1" applyFont="1" applyFill="1" applyBorder="1" applyAlignment="1">
      <alignment horizontal="center" vertical="center"/>
    </xf>
    <xf numFmtId="0" fontId="169" fillId="0" borderId="62" xfId="0" applyFont="1" applyFill="1" applyBorder="1" applyAlignment="1">
      <alignment horizontal="center" vertical="center" wrapText="1"/>
    </xf>
    <xf numFmtId="0" fontId="169" fillId="0" borderId="37" xfId="0" applyFont="1" applyFill="1" applyBorder="1" applyAlignment="1">
      <alignment horizontal="center" vertical="center" wrapText="1"/>
    </xf>
    <xf numFmtId="3" fontId="154" fillId="0" borderId="40" xfId="0" applyNumberFormat="1" applyFont="1" applyFill="1" applyBorder="1" applyAlignment="1">
      <alignment horizontal="center" vertical="center" wrapText="1"/>
    </xf>
    <xf numFmtId="3" fontId="154" fillId="0" borderId="75" xfId="0" applyNumberFormat="1" applyFont="1" applyFill="1" applyBorder="1" applyAlignment="1">
      <alignment horizontal="center" vertical="center" wrapText="1"/>
    </xf>
    <xf numFmtId="3" fontId="154" fillId="0" borderId="78" xfId="0" applyNumberFormat="1" applyFont="1" applyFill="1" applyBorder="1" applyAlignment="1">
      <alignment horizontal="center" vertical="center" wrapText="1"/>
    </xf>
    <xf numFmtId="3" fontId="156" fillId="0" borderId="58" xfId="0" applyNumberFormat="1" applyFont="1" applyFill="1" applyBorder="1" applyAlignment="1">
      <alignment horizontal="center" vertical="center" wrapText="1"/>
    </xf>
    <xf numFmtId="0" fontId="169" fillId="0" borderId="26" xfId="0" applyFont="1" applyFill="1" applyBorder="1" applyAlignment="1">
      <alignment horizontal="center" vertical="center" wrapText="1"/>
    </xf>
    <xf numFmtId="0" fontId="169" fillId="0" borderId="30" xfId="0" applyFont="1" applyFill="1" applyBorder="1" applyAlignment="1">
      <alignment horizontal="center" vertical="center" wrapText="1"/>
    </xf>
    <xf numFmtId="3" fontId="156" fillId="0" borderId="55" xfId="0" applyNumberFormat="1" applyFont="1" applyFill="1" applyBorder="1" applyAlignment="1">
      <alignment horizontal="center" vertical="center" wrapText="1"/>
    </xf>
    <xf numFmtId="0" fontId="169" fillId="0" borderId="43" xfId="0" applyFont="1" applyFill="1" applyBorder="1" applyAlignment="1">
      <alignment horizontal="center" vertical="center" wrapText="1"/>
    </xf>
    <xf numFmtId="3" fontId="154" fillId="0" borderId="56" xfId="0" applyNumberFormat="1" applyFont="1" applyFill="1" applyBorder="1" applyAlignment="1">
      <alignment horizontal="center" vertical="center" wrapText="1"/>
    </xf>
    <xf numFmtId="0" fontId="170" fillId="0" borderId="76" xfId="0" applyFont="1" applyFill="1" applyBorder="1" applyAlignment="1">
      <alignment horizontal="center" vertical="center" wrapText="1"/>
    </xf>
    <xf numFmtId="3" fontId="156" fillId="0" borderId="48" xfId="0" applyNumberFormat="1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3" fontId="156" fillId="0" borderId="1" xfId="0" applyNumberFormat="1" applyFont="1" applyFill="1" applyBorder="1" applyAlignment="1">
      <alignment horizontal="center" vertical="center" wrapText="1"/>
    </xf>
    <xf numFmtId="0" fontId="169" fillId="0" borderId="45" xfId="0" applyFont="1" applyFill="1" applyBorder="1" applyAlignment="1">
      <alignment horizontal="center" vertical="center" wrapText="1"/>
    </xf>
    <xf numFmtId="0" fontId="127" fillId="74" borderId="0" xfId="0" applyNumberFormat="1" applyFont="1" applyFill="1" applyBorder="1" applyAlignment="1">
      <alignment horizontal="center" vertical="center" wrapText="1"/>
    </xf>
    <xf numFmtId="0" fontId="123" fillId="74" borderId="85" xfId="0" applyFont="1" applyFill="1" applyBorder="1" applyAlignment="1">
      <alignment horizontal="center" vertical="center" wrapText="1"/>
    </xf>
    <xf numFmtId="0" fontId="123" fillId="74" borderId="59" xfId="0" applyFont="1" applyFill="1" applyBorder="1" applyAlignment="1">
      <alignment horizontal="center" vertical="center" wrapText="1"/>
    </xf>
    <xf numFmtId="0" fontId="123" fillId="74" borderId="51" xfId="0" applyFont="1" applyFill="1" applyBorder="1" applyAlignment="1">
      <alignment horizontal="center" vertical="center" wrapText="1"/>
    </xf>
    <xf numFmtId="0" fontId="123" fillId="74" borderId="60" xfId="0" applyFont="1" applyFill="1" applyBorder="1" applyAlignment="1">
      <alignment horizontal="center" vertical="center" wrapText="1"/>
    </xf>
    <xf numFmtId="3" fontId="123" fillId="74" borderId="41" xfId="7" applyNumberFormat="1" applyFont="1" applyFill="1" applyBorder="1" applyAlignment="1">
      <alignment horizontal="center" vertical="center" wrapText="1"/>
    </xf>
    <xf numFmtId="0" fontId="132" fillId="0" borderId="63" xfId="0" applyFont="1" applyBorder="1" applyAlignment="1">
      <alignment horizontal="center" vertical="center" wrapText="1"/>
    </xf>
    <xf numFmtId="0" fontId="123" fillId="0" borderId="68" xfId="0" applyFont="1" applyBorder="1" applyAlignment="1">
      <alignment horizontal="center" vertical="center" wrapText="1"/>
    </xf>
    <xf numFmtId="0" fontId="132" fillId="0" borderId="69" xfId="0" applyFont="1" applyBorder="1" applyAlignment="1">
      <alignment horizontal="center" vertical="center" wrapText="1"/>
    </xf>
    <xf numFmtId="0" fontId="123" fillId="0" borderId="40" xfId="0" applyFont="1" applyBorder="1" applyAlignment="1">
      <alignment horizontal="center" vertical="center" wrapText="1"/>
    </xf>
    <xf numFmtId="0" fontId="132" fillId="0" borderId="78" xfId="0" applyFont="1" applyBorder="1" applyAlignment="1">
      <alignment horizontal="center" vertical="center" wrapText="1"/>
    </xf>
    <xf numFmtId="3" fontId="127" fillId="0" borderId="0" xfId="7" applyNumberFormat="1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120" fillId="74" borderId="38" xfId="0" applyFont="1" applyFill="1" applyBorder="1" applyAlignment="1">
      <alignment horizontal="center" vertical="center" wrapText="1"/>
    </xf>
    <xf numFmtId="0" fontId="120" fillId="74" borderId="58" xfId="0" applyFont="1" applyFill="1" applyBorder="1" applyAlignment="1">
      <alignment horizontal="center" vertical="center" wrapText="1"/>
    </xf>
    <xf numFmtId="0" fontId="171" fillId="0" borderId="77" xfId="0" applyFont="1" applyBorder="1" applyAlignment="1">
      <alignment horizontal="center" vertical="center" wrapText="1"/>
    </xf>
    <xf numFmtId="0" fontId="120" fillId="74" borderId="68" xfId="0" applyFont="1" applyFill="1" applyBorder="1" applyAlignment="1">
      <alignment horizontal="center" vertical="center" wrapText="1"/>
    </xf>
    <xf numFmtId="0" fontId="120" fillId="74" borderId="57" xfId="0" applyFont="1" applyFill="1" applyBorder="1" applyAlignment="1">
      <alignment horizontal="center" vertical="center" wrapText="1"/>
    </xf>
    <xf numFmtId="0" fontId="171" fillId="0" borderId="69" xfId="0" applyFont="1" applyBorder="1" applyAlignment="1">
      <alignment horizontal="center" vertical="center" wrapText="1"/>
    </xf>
    <xf numFmtId="0" fontId="120" fillId="74" borderId="39" xfId="0" applyFont="1" applyFill="1" applyBorder="1" applyAlignment="1">
      <alignment horizontal="center" vertical="center" wrapText="1"/>
    </xf>
    <xf numFmtId="0" fontId="120" fillId="74" borderId="26" xfId="0" applyFont="1" applyFill="1" applyBorder="1" applyAlignment="1">
      <alignment horizontal="center" vertical="center" wrapText="1"/>
    </xf>
    <xf numFmtId="0" fontId="171" fillId="0" borderId="66" xfId="0" applyFont="1" applyBorder="1" applyAlignment="1">
      <alignment horizontal="center" vertical="center" wrapText="1"/>
    </xf>
    <xf numFmtId="3" fontId="120" fillId="0" borderId="38" xfId="7" applyNumberFormat="1" applyFont="1" applyFill="1" applyBorder="1" applyAlignment="1">
      <alignment horizontal="center" vertical="center" wrapText="1"/>
    </xf>
    <xf numFmtId="3" fontId="120" fillId="0" borderId="39" xfId="7" applyNumberFormat="1" applyFont="1" applyFill="1" applyBorder="1" applyAlignment="1">
      <alignment horizontal="center" vertical="center" wrapText="1"/>
    </xf>
    <xf numFmtId="0" fontId="172" fillId="0" borderId="39" xfId="0" applyFont="1" applyBorder="1" applyAlignment="1">
      <alignment horizontal="center" vertical="center" wrapText="1"/>
    </xf>
    <xf numFmtId="0" fontId="172" fillId="0" borderId="40" xfId="0" applyFont="1" applyBorder="1" applyAlignment="1">
      <alignment horizontal="center" vertical="center" wrapText="1"/>
    </xf>
    <xf numFmtId="0" fontId="120" fillId="0" borderId="39" xfId="0" applyFont="1" applyBorder="1" applyAlignment="1">
      <alignment horizontal="center" vertical="center" wrapText="1"/>
    </xf>
    <xf numFmtId="3" fontId="120" fillId="0" borderId="48" xfId="7" applyNumberFormat="1" applyFont="1" applyFill="1" applyBorder="1" applyAlignment="1">
      <alignment horizontal="center" vertical="center" wrapText="1"/>
    </xf>
    <xf numFmtId="3" fontId="120" fillId="0" borderId="1" xfId="7" applyNumberFormat="1" applyFont="1" applyFill="1" applyBorder="1" applyAlignment="1">
      <alignment horizontal="center" vertical="center" wrapText="1"/>
    </xf>
    <xf numFmtId="3" fontId="120" fillId="0" borderId="25" xfId="7" applyNumberFormat="1" applyFont="1" applyFill="1" applyBorder="1" applyAlignment="1">
      <alignment horizontal="center" vertical="center" wrapText="1"/>
    </xf>
    <xf numFmtId="0" fontId="172" fillId="0" borderId="49" xfId="0" applyFont="1" applyBorder="1" applyAlignment="1">
      <alignment horizontal="center" vertical="center" wrapText="1"/>
    </xf>
    <xf numFmtId="0" fontId="127" fillId="0" borderId="0" xfId="59101" applyFont="1" applyFill="1" applyBorder="1" applyAlignment="1">
      <alignment horizontal="center" vertical="center" wrapText="1"/>
    </xf>
    <xf numFmtId="0" fontId="158" fillId="0" borderId="0" xfId="0" applyFont="1" applyAlignment="1">
      <alignment horizontal="center" vertical="center" wrapText="1"/>
    </xf>
    <xf numFmtId="0" fontId="129" fillId="0" borderId="48" xfId="59101" applyFont="1" applyBorder="1" applyAlignment="1">
      <alignment horizontal="left" vertical="center" wrapText="1"/>
    </xf>
    <xf numFmtId="0" fontId="129" fillId="0" borderId="1" xfId="59101" applyFont="1" applyBorder="1" applyAlignment="1">
      <alignment horizontal="left" vertical="center" wrapText="1"/>
    </xf>
    <xf numFmtId="0" fontId="129" fillId="0" borderId="25" xfId="59101" applyFont="1" applyBorder="1" applyAlignment="1">
      <alignment horizontal="left" vertical="center" wrapText="1"/>
    </xf>
    <xf numFmtId="0" fontId="123" fillId="0" borderId="48" xfId="59101" applyFont="1" applyBorder="1" applyAlignment="1">
      <alignment horizontal="center" vertical="center"/>
    </xf>
    <xf numFmtId="0" fontId="123" fillId="0" borderId="42" xfId="59101" applyFont="1" applyBorder="1" applyAlignment="1">
      <alignment horizontal="center" vertical="center"/>
    </xf>
    <xf numFmtId="49" fontId="115" fillId="74" borderId="1" xfId="18" applyNumberFormat="1" applyFont="1" applyFill="1" applyBorder="1" applyAlignment="1">
      <alignment horizontal="center" vertical="center"/>
    </xf>
    <xf numFmtId="49" fontId="115" fillId="74" borderId="45" xfId="18" applyNumberFormat="1" applyFont="1" applyFill="1" applyBorder="1" applyAlignment="1">
      <alignment horizontal="center" vertical="center"/>
    </xf>
    <xf numFmtId="49" fontId="139" fillId="74" borderId="86" xfId="0" applyNumberFormat="1" applyFont="1" applyFill="1" applyBorder="1" applyAlignment="1">
      <alignment horizontal="center" vertical="center" wrapText="1"/>
    </xf>
    <xf numFmtId="0" fontId="139" fillId="0" borderId="64" xfId="0" applyFont="1" applyBorder="1" applyAlignment="1">
      <alignment horizontal="center" vertical="center" wrapText="1"/>
    </xf>
    <xf numFmtId="0" fontId="139" fillId="0" borderId="83" xfId="0" applyFont="1" applyBorder="1" applyAlignment="1">
      <alignment horizontal="center" vertical="center" wrapText="1"/>
    </xf>
    <xf numFmtId="49" fontId="139" fillId="74" borderId="64" xfId="0" applyNumberFormat="1" applyFont="1" applyFill="1" applyBorder="1" applyAlignment="1">
      <alignment horizontal="center" vertical="center" wrapText="1"/>
    </xf>
    <xf numFmtId="0" fontId="139" fillId="74" borderId="82" xfId="0" applyFont="1" applyFill="1" applyBorder="1" applyAlignment="1">
      <alignment horizontal="center" vertical="center" wrapText="1"/>
    </xf>
    <xf numFmtId="0" fontId="139" fillId="74" borderId="90" xfId="0" applyFont="1" applyFill="1" applyBorder="1" applyAlignment="1">
      <alignment horizontal="center" vertical="center" wrapText="1"/>
    </xf>
    <xf numFmtId="0" fontId="139" fillId="74" borderId="90" xfId="0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center" wrapText="1"/>
    </xf>
    <xf numFmtId="0" fontId="178" fillId="0" borderId="83" xfId="0" applyFont="1" applyBorder="1" applyAlignment="1">
      <alignment horizontal="center" vertical="center" wrapText="1"/>
    </xf>
    <xf numFmtId="0" fontId="146" fillId="0" borderId="64" xfId="0" applyFont="1" applyBorder="1" applyAlignment="1">
      <alignment horizontal="center" vertical="center" wrapText="1"/>
    </xf>
    <xf numFmtId="0" fontId="146" fillId="0" borderId="83" xfId="0" applyFont="1" applyBorder="1" applyAlignment="1">
      <alignment horizontal="center" vertical="center" wrapText="1"/>
    </xf>
    <xf numFmtId="0" fontId="157" fillId="74" borderId="0" xfId="0" applyFont="1" applyFill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57" fillId="0" borderId="0" xfId="0" applyFont="1" applyAlignment="1">
      <alignment horizontal="left" vertical="center" wrapText="1"/>
    </xf>
    <xf numFmtId="3" fontId="159" fillId="74" borderId="55" xfId="61304" applyNumberFormat="1" applyFont="1" applyFill="1" applyBorder="1" applyAlignment="1">
      <alignment horizontal="center" vertical="center" wrapText="1"/>
    </xf>
    <xf numFmtId="3" fontId="159" fillId="74" borderId="2" xfId="61304" applyNumberFormat="1" applyFont="1" applyFill="1" applyBorder="1" applyAlignment="1">
      <alignment horizontal="center" vertical="center" wrapText="1"/>
    </xf>
    <xf numFmtId="3" fontId="159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9" fillId="74" borderId="55" xfId="61304" applyNumberFormat="1" applyFont="1" applyFill="1" applyBorder="1" applyAlignment="1" applyProtection="1">
      <alignment horizontal="center" vertical="center" wrapText="1"/>
      <protection locked="0"/>
    </xf>
    <xf numFmtId="3" fontId="159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18" fillId="74" borderId="25" xfId="61304" applyNumberFormat="1" applyFont="1" applyFill="1" applyBorder="1" applyAlignment="1">
      <alignment horizontal="center" vertical="center" wrapText="1"/>
    </xf>
    <xf numFmtId="3" fontId="118" fillId="74" borderId="30" xfId="61304" applyNumberFormat="1" applyFont="1" applyFill="1" applyBorder="1" applyAlignment="1">
      <alignment horizontal="center" vertical="center" wrapText="1"/>
    </xf>
    <xf numFmtId="0" fontId="118" fillId="74" borderId="32" xfId="61304" applyFont="1" applyFill="1" applyBorder="1" applyAlignment="1">
      <alignment horizontal="center" vertical="center" wrapText="1"/>
    </xf>
    <xf numFmtId="0" fontId="118" fillId="74" borderId="33" xfId="61304" applyFont="1" applyFill="1" applyBorder="1" applyAlignment="1">
      <alignment horizontal="center" vertical="center" wrapText="1"/>
    </xf>
    <xf numFmtId="0" fontId="118" fillId="74" borderId="34" xfId="61304" applyFont="1" applyFill="1" applyBorder="1" applyAlignment="1">
      <alignment horizontal="center" vertical="center" wrapText="1"/>
    </xf>
    <xf numFmtId="0" fontId="118" fillId="74" borderId="28" xfId="61304" applyFont="1" applyFill="1" applyBorder="1" applyAlignment="1">
      <alignment horizontal="center" vertical="center" wrapText="1"/>
    </xf>
    <xf numFmtId="0" fontId="118" fillId="74" borderId="29" xfId="61304" applyFont="1" applyFill="1" applyBorder="1" applyAlignment="1">
      <alignment horizontal="center" vertical="center" wrapText="1"/>
    </xf>
    <xf numFmtId="0" fontId="118" fillId="74" borderId="35" xfId="61304" applyFont="1" applyFill="1" applyBorder="1" applyAlignment="1">
      <alignment horizontal="center" vertical="center" wrapText="1"/>
    </xf>
    <xf numFmtId="3" fontId="160" fillId="74" borderId="55" xfId="61304" applyNumberFormat="1" applyFont="1" applyFill="1" applyBorder="1" applyAlignment="1">
      <alignment horizontal="center" vertical="center"/>
    </xf>
    <xf numFmtId="3" fontId="160" fillId="74" borderId="2" xfId="61304" applyNumberFormat="1" applyFont="1" applyFill="1" applyBorder="1" applyAlignment="1">
      <alignment horizontal="center" vertical="center"/>
    </xf>
    <xf numFmtId="0" fontId="157" fillId="74" borderId="0" xfId="61304" applyFont="1" applyFill="1" applyAlignment="1">
      <alignment horizontal="center" vertical="center"/>
    </xf>
    <xf numFmtId="0" fontId="118" fillId="74" borderId="25" xfId="61304" applyFont="1" applyFill="1" applyBorder="1" applyAlignment="1" applyProtection="1">
      <alignment horizontal="center" vertical="center" wrapText="1"/>
      <protection locked="0"/>
    </xf>
    <xf numFmtId="0" fontId="118" fillId="74" borderId="55" xfId="61304" applyFont="1" applyFill="1" applyBorder="1" applyAlignment="1" applyProtection="1">
      <alignment horizontal="center" vertical="center" wrapText="1"/>
      <protection locked="0"/>
    </xf>
    <xf numFmtId="0" fontId="118" fillId="74" borderId="27" xfId="61304" applyFont="1" applyFill="1" applyBorder="1" applyAlignment="1">
      <alignment horizontal="center" vertical="center" wrapText="1"/>
    </xf>
    <xf numFmtId="0" fontId="118" fillId="74" borderId="2" xfId="61304" applyFont="1" applyFill="1" applyBorder="1" applyAlignment="1">
      <alignment horizontal="center" vertical="center" wrapText="1"/>
    </xf>
    <xf numFmtId="0" fontId="118" fillId="74" borderId="55" xfId="61304" applyFont="1" applyFill="1" applyBorder="1" applyAlignment="1" applyProtection="1">
      <alignment horizontal="center" vertical="center"/>
      <protection locked="0"/>
    </xf>
    <xf numFmtId="0" fontId="118" fillId="74" borderId="27" xfId="61304" applyFont="1" applyFill="1" applyBorder="1" applyAlignment="1" applyProtection="1">
      <alignment horizontal="center" vertical="center"/>
      <protection locked="0"/>
    </xf>
    <xf numFmtId="0" fontId="118" fillId="74" borderId="2" xfId="61304" applyFont="1" applyFill="1" applyBorder="1" applyAlignment="1" applyProtection="1">
      <alignment horizontal="center" vertical="center"/>
      <protection locked="0"/>
    </xf>
    <xf numFmtId="3" fontId="126" fillId="74" borderId="55" xfId="61304" applyNumberFormat="1" applyFont="1" applyFill="1" applyBorder="1" applyAlignment="1">
      <alignment horizontal="center" vertical="center" wrapText="1"/>
    </xf>
    <xf numFmtId="3" fontId="126" fillId="74" borderId="27" xfId="61304" applyNumberFormat="1" applyFont="1" applyFill="1" applyBorder="1" applyAlignment="1">
      <alignment horizontal="center" vertical="center" wrapText="1"/>
    </xf>
    <xf numFmtId="3" fontId="126" fillId="74" borderId="2" xfId="61304" applyNumberFormat="1" applyFont="1" applyFill="1" applyBorder="1" applyAlignment="1">
      <alignment horizontal="center" vertical="center" wrapText="1"/>
    </xf>
    <xf numFmtId="3" fontId="126" fillId="74" borderId="25" xfId="61304" applyNumberFormat="1" applyFont="1" applyFill="1" applyBorder="1" applyAlignment="1" applyProtection="1">
      <alignment horizontal="center" vertical="center"/>
      <protection locked="0"/>
    </xf>
    <xf numFmtId="3" fontId="126" fillId="74" borderId="26" xfId="61304" applyNumberFormat="1" applyFont="1" applyFill="1" applyBorder="1" applyAlignment="1" applyProtection="1">
      <alignment horizontal="center" vertical="center"/>
      <protection locked="0"/>
    </xf>
    <xf numFmtId="3" fontId="126" fillId="74" borderId="30" xfId="61304" applyNumberFormat="1" applyFont="1" applyFill="1" applyBorder="1" applyAlignment="1" applyProtection="1">
      <alignment horizontal="center" vertical="center"/>
      <protection locked="0"/>
    </xf>
    <xf numFmtId="0" fontId="126" fillId="74" borderId="1" xfId="61304" applyFont="1" applyFill="1" applyBorder="1" applyAlignment="1">
      <alignment horizontal="center" vertical="center"/>
    </xf>
    <xf numFmtId="3" fontId="118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18" fillId="74" borderId="1" xfId="61304" applyNumberFormat="1" applyFont="1" applyFill="1" applyBorder="1" applyAlignment="1" applyProtection="1">
      <alignment horizontal="center" vertical="center"/>
      <protection locked="0"/>
    </xf>
    <xf numFmtId="3" fontId="126" fillId="74" borderId="55" xfId="61304" applyNumberFormat="1" applyFont="1" applyFill="1" applyBorder="1" applyAlignment="1">
      <alignment horizontal="center" vertical="center"/>
    </xf>
    <xf numFmtId="3" fontId="126" fillId="74" borderId="27" xfId="61304" applyNumberFormat="1" applyFont="1" applyFill="1" applyBorder="1" applyAlignment="1">
      <alignment horizontal="center" vertical="center"/>
    </xf>
    <xf numFmtId="3" fontId="126" fillId="74" borderId="2" xfId="61304" applyNumberFormat="1" applyFont="1" applyFill="1" applyBorder="1" applyAlignment="1">
      <alignment horizontal="center" vertical="center"/>
    </xf>
    <xf numFmtId="0" fontId="144" fillId="74" borderId="1" xfId="61313" applyFont="1" applyFill="1" applyBorder="1" applyAlignment="1">
      <alignment horizontal="center" vertical="center" wrapText="1"/>
    </xf>
    <xf numFmtId="3" fontId="144" fillId="74" borderId="1" xfId="61313" applyNumberFormat="1" applyFont="1" applyFill="1" applyBorder="1" applyAlignment="1">
      <alignment horizontal="center" vertical="center" wrapText="1"/>
    </xf>
  </cellXfs>
  <cellStyles count="61316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3" xfId="61264" xr:uid="{00000000-0005-0000-0000-000000E10000}"/>
    <cellStyle name="Обычный 10 10 10 4" xfId="61308" xr:uid="{00000000-0005-0000-0000-000001E10000}"/>
    <cellStyle name="Обычный 10 10 11" xfId="61267" xr:uid="{00000000-0005-0000-0000-000002E10000}"/>
    <cellStyle name="Обычный 10 10 12" xfId="61288" xr:uid="{00000000-0005-0000-0000-000003E10000}"/>
    <cellStyle name="Обычный 10 10 13" xfId="61292" xr:uid="{00000000-0005-0000-0000-000004E10000}"/>
    <cellStyle name="Обычный 10 10 14" xfId="61296" xr:uid="{00000000-0005-0000-0000-000005E10000}"/>
    <cellStyle name="Обычный 10 10 15" xfId="61311" xr:uid="{00000000-0005-0000-0000-000006E10000}"/>
    <cellStyle name="Обычный 10 10 2" xfId="57590" xr:uid="{00000000-0005-0000-0000-000007E10000}"/>
    <cellStyle name="Обычный 10 10 2 2" xfId="57591" xr:uid="{00000000-0005-0000-0000-000008E10000}"/>
    <cellStyle name="Обычный 10 10 2 3" xfId="57592" xr:uid="{00000000-0005-0000-0000-000009E10000}"/>
    <cellStyle name="Обычный 10 10 3" xfId="57593" xr:uid="{00000000-0005-0000-0000-00000AE10000}"/>
    <cellStyle name="Обычный 10 10 3 2" xfId="57594" xr:uid="{00000000-0005-0000-0000-00000BE10000}"/>
    <cellStyle name="Обычный 10 10 3 3" xfId="60910" xr:uid="{00000000-0005-0000-0000-00000CE10000}"/>
    <cellStyle name="Обычный 10 10 3 3 2" xfId="61205" xr:uid="{00000000-0005-0000-0000-00000DE10000}"/>
    <cellStyle name="Обычный 10 10 3 3 3" xfId="61232" xr:uid="{00000000-0005-0000-0000-00000EE10000}"/>
    <cellStyle name="Обычный 10 10 3 3 4" xfId="61253" xr:uid="{00000000-0005-0000-0000-00000FE10000}"/>
    <cellStyle name="Обычный 10 10 3 3 5" xfId="61256" xr:uid="{00000000-0005-0000-0000-000010E10000}"/>
    <cellStyle name="Обычный 10 10 4" xfId="57595" xr:uid="{00000000-0005-0000-0000-000011E10000}"/>
    <cellStyle name="Обычный 10 10 5" xfId="57596" xr:uid="{00000000-0005-0000-0000-000012E10000}"/>
    <cellStyle name="Обычный 10 10 6" xfId="57597" xr:uid="{00000000-0005-0000-0000-000013E10000}"/>
    <cellStyle name="Обычный 10 10 7" xfId="61193" xr:uid="{00000000-0005-0000-0000-000014E10000}"/>
    <cellStyle name="Обычный 10 10 8" xfId="61200" xr:uid="{00000000-0005-0000-0000-000015E10000}"/>
    <cellStyle name="Обычный 10 10 9" xfId="61210" xr:uid="{00000000-0005-0000-0000-000016E10000}"/>
    <cellStyle name="Обычный 10 10 9 2" xfId="61234" xr:uid="{00000000-0005-0000-0000-000017E10000}"/>
    <cellStyle name="Обычный 10 11" xfId="57598" xr:uid="{00000000-0005-0000-0000-000018E10000}"/>
    <cellStyle name="Обычный 10 11 2" xfId="57599" xr:uid="{00000000-0005-0000-0000-000019E10000}"/>
    <cellStyle name="Обычный 10 11 2 2" xfId="57600" xr:uid="{00000000-0005-0000-0000-00001AE10000}"/>
    <cellStyle name="Обычный 10 11 2 3" xfId="57601" xr:uid="{00000000-0005-0000-0000-00001BE10000}"/>
    <cellStyle name="Обычный 10 11 3" xfId="57602" xr:uid="{00000000-0005-0000-0000-00001CE10000}"/>
    <cellStyle name="Обычный 10 11 3 2" xfId="57603" xr:uid="{00000000-0005-0000-0000-00001DE10000}"/>
    <cellStyle name="Обычный 10 11 3 3" xfId="60911" xr:uid="{00000000-0005-0000-0000-00001EE10000}"/>
    <cellStyle name="Обычный 10 11 4" xfId="57604" xr:uid="{00000000-0005-0000-0000-00001FE10000}"/>
    <cellStyle name="Обычный 10 11 5" xfId="57605" xr:uid="{00000000-0005-0000-0000-000020E10000}"/>
    <cellStyle name="Обычный 10 12" xfId="57606" xr:uid="{00000000-0005-0000-0000-000021E10000}"/>
    <cellStyle name="Обычный 10 12 2" xfId="57607" xr:uid="{00000000-0005-0000-0000-000022E10000}"/>
    <cellStyle name="Обычный 10 12 2 2" xfId="57608" xr:uid="{00000000-0005-0000-0000-000023E10000}"/>
    <cellStyle name="Обычный 10 12 2 3" xfId="57609" xr:uid="{00000000-0005-0000-0000-000024E10000}"/>
    <cellStyle name="Обычный 10 12 3" xfId="57610" xr:uid="{00000000-0005-0000-0000-000025E10000}"/>
    <cellStyle name="Обычный 10 12 3 2" xfId="57611" xr:uid="{00000000-0005-0000-0000-000026E10000}"/>
    <cellStyle name="Обычный 10 12 3 3" xfId="60912" xr:uid="{00000000-0005-0000-0000-000027E10000}"/>
    <cellStyle name="Обычный 10 12 4" xfId="57612" xr:uid="{00000000-0005-0000-0000-000028E10000}"/>
    <cellStyle name="Обычный 10 12 5" xfId="57613" xr:uid="{00000000-0005-0000-0000-000029E10000}"/>
    <cellStyle name="Обычный 10 13" xfId="57614" xr:uid="{00000000-0005-0000-0000-00002AE10000}"/>
    <cellStyle name="Обычный 10 13 2" xfId="57615" xr:uid="{00000000-0005-0000-0000-00002BE10000}"/>
    <cellStyle name="Обычный 10 13 2 2" xfId="57616" xr:uid="{00000000-0005-0000-0000-00002CE10000}"/>
    <cellStyle name="Обычный 10 13 2 3" xfId="57617" xr:uid="{00000000-0005-0000-0000-00002DE10000}"/>
    <cellStyle name="Обычный 10 13 3" xfId="57618" xr:uid="{00000000-0005-0000-0000-00002EE10000}"/>
    <cellStyle name="Обычный 10 13 3 2" xfId="57619" xr:uid="{00000000-0005-0000-0000-00002FE10000}"/>
    <cellStyle name="Обычный 10 13 3 3" xfId="60913" xr:uid="{00000000-0005-0000-0000-000030E10000}"/>
    <cellStyle name="Обычный 10 13 4" xfId="57620" xr:uid="{00000000-0005-0000-0000-000031E10000}"/>
    <cellStyle name="Обычный 10 13 5" xfId="57621" xr:uid="{00000000-0005-0000-0000-000032E10000}"/>
    <cellStyle name="Обычный 10 14" xfId="57622" xr:uid="{00000000-0005-0000-0000-000033E10000}"/>
    <cellStyle name="Обычный 10 14 2" xfId="57623" xr:uid="{00000000-0005-0000-0000-000034E10000}"/>
    <cellStyle name="Обычный 10 14 2 2" xfId="57624" xr:uid="{00000000-0005-0000-0000-000035E10000}"/>
    <cellStyle name="Обычный 10 14 2 3" xfId="57625" xr:uid="{00000000-0005-0000-0000-000036E10000}"/>
    <cellStyle name="Обычный 10 14 3" xfId="57626" xr:uid="{00000000-0005-0000-0000-000037E10000}"/>
    <cellStyle name="Обычный 10 14 3 2" xfId="57627" xr:uid="{00000000-0005-0000-0000-000038E10000}"/>
    <cellStyle name="Обычный 10 14 3 3" xfId="60914" xr:uid="{00000000-0005-0000-0000-000039E10000}"/>
    <cellStyle name="Обычный 10 14 4" xfId="57628" xr:uid="{00000000-0005-0000-0000-00003AE10000}"/>
    <cellStyle name="Обычный 10 14 5" xfId="57629" xr:uid="{00000000-0005-0000-0000-00003BE10000}"/>
    <cellStyle name="Обычный 10 15" xfId="57630" xr:uid="{00000000-0005-0000-0000-00003CE10000}"/>
    <cellStyle name="Обычный 10 15 2" xfId="57631" xr:uid="{00000000-0005-0000-0000-00003DE10000}"/>
    <cellStyle name="Обычный 10 15 2 2" xfId="57632" xr:uid="{00000000-0005-0000-0000-00003EE10000}"/>
    <cellStyle name="Обычный 10 15 2 3" xfId="57633" xr:uid="{00000000-0005-0000-0000-00003FE10000}"/>
    <cellStyle name="Обычный 10 15 3" xfId="57634" xr:uid="{00000000-0005-0000-0000-000040E10000}"/>
    <cellStyle name="Обычный 10 15 3 2" xfId="57635" xr:uid="{00000000-0005-0000-0000-000041E10000}"/>
    <cellStyle name="Обычный 10 15 3 3" xfId="60915" xr:uid="{00000000-0005-0000-0000-000042E10000}"/>
    <cellStyle name="Обычный 10 15 4" xfId="57636" xr:uid="{00000000-0005-0000-0000-000043E10000}"/>
    <cellStyle name="Обычный 10 15 5" xfId="57637" xr:uid="{00000000-0005-0000-0000-000044E10000}"/>
    <cellStyle name="Обычный 10 16" xfId="57638" xr:uid="{00000000-0005-0000-0000-000045E10000}"/>
    <cellStyle name="Обычный 10 16 2" xfId="57639" xr:uid="{00000000-0005-0000-0000-000046E10000}"/>
    <cellStyle name="Обычный 10 16 2 2" xfId="57640" xr:uid="{00000000-0005-0000-0000-000047E10000}"/>
    <cellStyle name="Обычный 10 16 2 3" xfId="57641" xr:uid="{00000000-0005-0000-0000-000048E10000}"/>
    <cellStyle name="Обычный 10 16 3" xfId="57642" xr:uid="{00000000-0005-0000-0000-000049E10000}"/>
    <cellStyle name="Обычный 10 16 3 2" xfId="57643" xr:uid="{00000000-0005-0000-0000-00004AE10000}"/>
    <cellStyle name="Обычный 10 16 3 3" xfId="60916" xr:uid="{00000000-0005-0000-0000-00004BE10000}"/>
    <cellStyle name="Обычный 10 16 4" xfId="57644" xr:uid="{00000000-0005-0000-0000-00004CE10000}"/>
    <cellStyle name="Обычный 10 16 5" xfId="57645" xr:uid="{00000000-0005-0000-0000-00004DE10000}"/>
    <cellStyle name="Обычный 10 17" xfId="57646" xr:uid="{00000000-0005-0000-0000-00004EE10000}"/>
    <cellStyle name="Обычный 10 17 2" xfId="57647" xr:uid="{00000000-0005-0000-0000-00004FE10000}"/>
    <cellStyle name="Обычный 10 17 2 2" xfId="57648" xr:uid="{00000000-0005-0000-0000-000050E10000}"/>
    <cellStyle name="Обычный 10 17 2 3" xfId="57649" xr:uid="{00000000-0005-0000-0000-000051E10000}"/>
    <cellStyle name="Обычный 10 17 3" xfId="57650" xr:uid="{00000000-0005-0000-0000-000052E10000}"/>
    <cellStyle name="Обычный 10 17 3 2" xfId="57651" xr:uid="{00000000-0005-0000-0000-000053E10000}"/>
    <cellStyle name="Обычный 10 17 3 3" xfId="60917" xr:uid="{00000000-0005-0000-0000-000054E10000}"/>
    <cellStyle name="Обычный 10 17 4" xfId="57652" xr:uid="{00000000-0005-0000-0000-000055E10000}"/>
    <cellStyle name="Обычный 10 17 5" xfId="57653" xr:uid="{00000000-0005-0000-0000-000056E10000}"/>
    <cellStyle name="Обычный 10 18" xfId="57654" xr:uid="{00000000-0005-0000-0000-000057E10000}"/>
    <cellStyle name="Обычный 10 18 2" xfId="57655" xr:uid="{00000000-0005-0000-0000-000058E10000}"/>
    <cellStyle name="Обычный 10 18 3" xfId="57656" xr:uid="{00000000-0005-0000-0000-000059E10000}"/>
    <cellStyle name="Обычный 10 19" xfId="57657" xr:uid="{00000000-0005-0000-0000-00005AE10000}"/>
    <cellStyle name="Обычный 10 19 2" xfId="57658" xr:uid="{00000000-0005-0000-0000-00005BE10000}"/>
    <cellStyle name="Обычный 10 19 3" xfId="60918" xr:uid="{00000000-0005-0000-0000-00005CE10000}"/>
    <cellStyle name="Обычный 10 2" xfId="13" xr:uid="{00000000-0005-0000-0000-00005DE10000}"/>
    <cellStyle name="Обычный 10 2 2" xfId="57659" xr:uid="{00000000-0005-0000-0000-00005EE10000}"/>
    <cellStyle name="Обычный 10 2 3" xfId="57660" xr:uid="{00000000-0005-0000-0000-00005FE10000}"/>
    <cellStyle name="Обычный 10 2 4" xfId="57661" xr:uid="{00000000-0005-0000-0000-000060E10000}"/>
    <cellStyle name="Обычный 10 20" xfId="57662" xr:uid="{00000000-0005-0000-0000-000061E10000}"/>
    <cellStyle name="Обычный 10 21" xfId="57663" xr:uid="{00000000-0005-0000-0000-000062E10000}"/>
    <cellStyle name="Обычный 10 3" xfId="57664" xr:uid="{00000000-0005-0000-0000-000063E10000}"/>
    <cellStyle name="Обычный 10 3 2" xfId="57665" xr:uid="{00000000-0005-0000-0000-000064E10000}"/>
    <cellStyle name="Обычный 10 3 2 2" xfId="57666" xr:uid="{00000000-0005-0000-0000-000065E10000}"/>
    <cellStyle name="Обычный 10 3 2 2 2" xfId="57667" xr:uid="{00000000-0005-0000-0000-000066E10000}"/>
    <cellStyle name="Обычный 10 3 2 2 2 2" xfId="57668" xr:uid="{00000000-0005-0000-0000-000067E10000}"/>
    <cellStyle name="Обычный 10 3 2 2 2 3" xfId="57669" xr:uid="{00000000-0005-0000-0000-000068E10000}"/>
    <cellStyle name="Обычный 10 3 2 2 3" xfId="57670" xr:uid="{00000000-0005-0000-0000-000069E10000}"/>
    <cellStyle name="Обычный 10 3 2 2 3 2" xfId="57671" xr:uid="{00000000-0005-0000-0000-00006AE10000}"/>
    <cellStyle name="Обычный 10 3 2 2 3 3" xfId="60919" xr:uid="{00000000-0005-0000-0000-00006BE10000}"/>
    <cellStyle name="Обычный 10 3 2 2 4" xfId="57672" xr:uid="{00000000-0005-0000-0000-00006CE10000}"/>
    <cellStyle name="Обычный 10 3 2 2 5" xfId="57673" xr:uid="{00000000-0005-0000-0000-00006DE10000}"/>
    <cellStyle name="Обычный 10 3 2 3" xfId="57674" xr:uid="{00000000-0005-0000-0000-00006EE10000}"/>
    <cellStyle name="Обычный 10 3 2 3 2" xfId="57675" xr:uid="{00000000-0005-0000-0000-00006FE10000}"/>
    <cellStyle name="Обычный 10 3 2 3 3" xfId="57676" xr:uid="{00000000-0005-0000-0000-000070E10000}"/>
    <cellStyle name="Обычный 10 3 2 4" xfId="57677" xr:uid="{00000000-0005-0000-0000-000071E10000}"/>
    <cellStyle name="Обычный 10 3 2 4 2" xfId="57678" xr:uid="{00000000-0005-0000-0000-000072E10000}"/>
    <cellStyle name="Обычный 10 3 2 4 3" xfId="60920" xr:uid="{00000000-0005-0000-0000-000073E10000}"/>
    <cellStyle name="Обычный 10 3 2 5" xfId="57679" xr:uid="{00000000-0005-0000-0000-000074E10000}"/>
    <cellStyle name="Обычный 10 3 2 6" xfId="57680" xr:uid="{00000000-0005-0000-0000-000075E10000}"/>
    <cellStyle name="Обычный 10 3 2_объемы 2018г111" xfId="60921" xr:uid="{00000000-0005-0000-0000-000076E10000}"/>
    <cellStyle name="Обычный 10 3 3" xfId="57681" xr:uid="{00000000-0005-0000-0000-000077E10000}"/>
    <cellStyle name="Обычный 10 3 3 2" xfId="57682" xr:uid="{00000000-0005-0000-0000-000078E10000}"/>
    <cellStyle name="Обычный 10 3 3 2 2" xfId="57683" xr:uid="{00000000-0005-0000-0000-000079E10000}"/>
    <cellStyle name="Обычный 10 3 3 2 3" xfId="57684" xr:uid="{00000000-0005-0000-0000-00007AE10000}"/>
    <cellStyle name="Обычный 10 3 3 3" xfId="57685" xr:uid="{00000000-0005-0000-0000-00007BE10000}"/>
    <cellStyle name="Обычный 10 3 3 3 2" xfId="57686" xr:uid="{00000000-0005-0000-0000-00007CE10000}"/>
    <cellStyle name="Обычный 10 3 3 3 3" xfId="60922" xr:uid="{00000000-0005-0000-0000-00007DE10000}"/>
    <cellStyle name="Обычный 10 3 3 4" xfId="57687" xr:uid="{00000000-0005-0000-0000-00007EE10000}"/>
    <cellStyle name="Обычный 10 3 3 5" xfId="57688" xr:uid="{00000000-0005-0000-0000-00007FE10000}"/>
    <cellStyle name="Обычный 10 3 4" xfId="57689" xr:uid="{00000000-0005-0000-0000-000080E10000}"/>
    <cellStyle name="Обычный 10 3 4 2" xfId="57690" xr:uid="{00000000-0005-0000-0000-000081E10000}"/>
    <cellStyle name="Обычный 10 3 4 3" xfId="57691" xr:uid="{00000000-0005-0000-0000-000082E10000}"/>
    <cellStyle name="Обычный 10 3 5" xfId="57692" xr:uid="{00000000-0005-0000-0000-000083E10000}"/>
    <cellStyle name="Обычный 10 3 5 2" xfId="57693" xr:uid="{00000000-0005-0000-0000-000084E10000}"/>
    <cellStyle name="Обычный 10 3 5 3" xfId="60923" xr:uid="{00000000-0005-0000-0000-000085E10000}"/>
    <cellStyle name="Обычный 10 3 6" xfId="57694" xr:uid="{00000000-0005-0000-0000-000086E10000}"/>
    <cellStyle name="Обычный 10 3 7" xfId="57695" xr:uid="{00000000-0005-0000-0000-000087E10000}"/>
    <cellStyle name="Обычный 10 3_объемы 2018г111" xfId="60924" xr:uid="{00000000-0005-0000-0000-000088E10000}"/>
    <cellStyle name="Обычный 10 4" xfId="57696" xr:uid="{00000000-0005-0000-0000-000089E10000}"/>
    <cellStyle name="Обычный 10 4 2" xfId="57697" xr:uid="{00000000-0005-0000-0000-00008AE10000}"/>
    <cellStyle name="Обычный 10 4 2 2" xfId="57698" xr:uid="{00000000-0005-0000-0000-00008BE10000}"/>
    <cellStyle name="Обычный 10 4 2 2 2" xfId="57699" xr:uid="{00000000-0005-0000-0000-00008CE10000}"/>
    <cellStyle name="Обычный 10 4 2 2 3" xfId="57700" xr:uid="{00000000-0005-0000-0000-00008DE10000}"/>
    <cellStyle name="Обычный 10 4 2 3" xfId="57701" xr:uid="{00000000-0005-0000-0000-00008EE10000}"/>
    <cellStyle name="Обычный 10 4 2 3 2" xfId="57702" xr:uid="{00000000-0005-0000-0000-00008FE10000}"/>
    <cellStyle name="Обычный 10 4 2 3 3" xfId="60925" xr:uid="{00000000-0005-0000-0000-000090E10000}"/>
    <cellStyle name="Обычный 10 4 2 4" xfId="57703" xr:uid="{00000000-0005-0000-0000-000091E10000}"/>
    <cellStyle name="Обычный 10 4 2 5" xfId="57704" xr:uid="{00000000-0005-0000-0000-000092E10000}"/>
    <cellStyle name="Обычный 10 4 3" xfId="57705" xr:uid="{00000000-0005-0000-0000-000093E10000}"/>
    <cellStyle name="Обычный 10 4 3 2" xfId="57706" xr:uid="{00000000-0005-0000-0000-000094E10000}"/>
    <cellStyle name="Обычный 10 4 3 3" xfId="57707" xr:uid="{00000000-0005-0000-0000-000095E10000}"/>
    <cellStyle name="Обычный 10 4 4" xfId="57708" xr:uid="{00000000-0005-0000-0000-000096E10000}"/>
    <cellStyle name="Обычный 10 4 4 2" xfId="57709" xr:uid="{00000000-0005-0000-0000-000097E10000}"/>
    <cellStyle name="Обычный 10 4 4 3" xfId="60926" xr:uid="{00000000-0005-0000-0000-000098E10000}"/>
    <cellStyle name="Обычный 10 4 5" xfId="57710" xr:uid="{00000000-0005-0000-0000-000099E10000}"/>
    <cellStyle name="Обычный 10 4 6" xfId="57711" xr:uid="{00000000-0005-0000-0000-00009AE10000}"/>
    <cellStyle name="Обычный 10 4_объемы 2018г111" xfId="60927" xr:uid="{00000000-0005-0000-0000-00009BE10000}"/>
    <cellStyle name="Обычный 10 5" xfId="57712" xr:uid="{00000000-0005-0000-0000-00009CE10000}"/>
    <cellStyle name="Обычный 10 5 2" xfId="57713" xr:uid="{00000000-0005-0000-0000-00009DE10000}"/>
    <cellStyle name="Обычный 10 5 2 2" xfId="57714" xr:uid="{00000000-0005-0000-0000-00009EE10000}"/>
    <cellStyle name="Обычный 10 5 2 3" xfId="57715" xr:uid="{00000000-0005-0000-0000-00009FE10000}"/>
    <cellStyle name="Обычный 10 5 3" xfId="57716" xr:uid="{00000000-0005-0000-0000-0000A0E10000}"/>
    <cellStyle name="Обычный 10 5 3 2" xfId="57717" xr:uid="{00000000-0005-0000-0000-0000A1E10000}"/>
    <cellStyle name="Обычный 10 5 3 3" xfId="60928" xr:uid="{00000000-0005-0000-0000-0000A2E10000}"/>
    <cellStyle name="Обычный 10 5 4" xfId="57718" xr:uid="{00000000-0005-0000-0000-0000A3E10000}"/>
    <cellStyle name="Обычный 10 5 5" xfId="57719" xr:uid="{00000000-0005-0000-0000-0000A4E10000}"/>
    <cellStyle name="Обычный 10 6" xfId="57720" xr:uid="{00000000-0005-0000-0000-0000A5E10000}"/>
    <cellStyle name="Обычный 10 6 2" xfId="57721" xr:uid="{00000000-0005-0000-0000-0000A6E10000}"/>
    <cellStyle name="Обычный 10 6 2 2" xfId="57722" xr:uid="{00000000-0005-0000-0000-0000A7E10000}"/>
    <cellStyle name="Обычный 10 6 2 3" xfId="57723" xr:uid="{00000000-0005-0000-0000-0000A8E10000}"/>
    <cellStyle name="Обычный 10 6 3" xfId="57724" xr:uid="{00000000-0005-0000-0000-0000A9E10000}"/>
    <cellStyle name="Обычный 10 6 3 2" xfId="57725" xr:uid="{00000000-0005-0000-0000-0000AAE10000}"/>
    <cellStyle name="Обычный 10 6 3 3" xfId="60929" xr:uid="{00000000-0005-0000-0000-0000ABE10000}"/>
    <cellStyle name="Обычный 10 6 4" xfId="57726" xr:uid="{00000000-0005-0000-0000-0000ACE10000}"/>
    <cellStyle name="Обычный 10 6 5" xfId="57727" xr:uid="{00000000-0005-0000-0000-0000ADE10000}"/>
    <cellStyle name="Обычный 10 7" xfId="57728" xr:uid="{00000000-0005-0000-0000-0000AEE10000}"/>
    <cellStyle name="Обычный 10 7 2" xfId="57729" xr:uid="{00000000-0005-0000-0000-0000AFE10000}"/>
    <cellStyle name="Обычный 10 7 2 2" xfId="57730" xr:uid="{00000000-0005-0000-0000-0000B0E10000}"/>
    <cellStyle name="Обычный 10 7 2 3" xfId="57731" xr:uid="{00000000-0005-0000-0000-0000B1E10000}"/>
    <cellStyle name="Обычный 10 7 3" xfId="57732" xr:uid="{00000000-0005-0000-0000-0000B2E10000}"/>
    <cellStyle name="Обычный 10 7 3 2" xfId="57733" xr:uid="{00000000-0005-0000-0000-0000B3E10000}"/>
    <cellStyle name="Обычный 10 7 3 3" xfId="60930" xr:uid="{00000000-0005-0000-0000-0000B4E10000}"/>
    <cellStyle name="Обычный 10 7 4" xfId="57734" xr:uid="{00000000-0005-0000-0000-0000B5E10000}"/>
    <cellStyle name="Обычный 10 7 5" xfId="57735" xr:uid="{00000000-0005-0000-0000-0000B6E10000}"/>
    <cellStyle name="Обычный 10 8" xfId="57736" xr:uid="{00000000-0005-0000-0000-0000B7E10000}"/>
    <cellStyle name="Обычный 10 8 2" xfId="57737" xr:uid="{00000000-0005-0000-0000-0000B8E10000}"/>
    <cellStyle name="Обычный 10 8 2 2" xfId="57738" xr:uid="{00000000-0005-0000-0000-0000B9E10000}"/>
    <cellStyle name="Обычный 10 8 2 3" xfId="57739" xr:uid="{00000000-0005-0000-0000-0000BAE10000}"/>
    <cellStyle name="Обычный 10 8 3" xfId="57740" xr:uid="{00000000-0005-0000-0000-0000BBE10000}"/>
    <cellStyle name="Обычный 10 8 3 2" xfId="57741" xr:uid="{00000000-0005-0000-0000-0000BCE10000}"/>
    <cellStyle name="Обычный 10 8 3 3" xfId="60931" xr:uid="{00000000-0005-0000-0000-0000BDE10000}"/>
    <cellStyle name="Обычный 10 8 4" xfId="57742" xr:uid="{00000000-0005-0000-0000-0000BEE10000}"/>
    <cellStyle name="Обычный 10 8 5" xfId="57743" xr:uid="{00000000-0005-0000-0000-0000BFE10000}"/>
    <cellStyle name="Обычный 10 9" xfId="57744" xr:uid="{00000000-0005-0000-0000-0000C0E10000}"/>
    <cellStyle name="Обычный 10 9 2" xfId="57745" xr:uid="{00000000-0005-0000-0000-0000C1E10000}"/>
    <cellStyle name="Обычный 10 9 2 2" xfId="57746" xr:uid="{00000000-0005-0000-0000-0000C2E10000}"/>
    <cellStyle name="Обычный 10 9 2 3" xfId="57747" xr:uid="{00000000-0005-0000-0000-0000C3E10000}"/>
    <cellStyle name="Обычный 10 9 3" xfId="57748" xr:uid="{00000000-0005-0000-0000-0000C4E10000}"/>
    <cellStyle name="Обычный 10 9 3 2" xfId="57749" xr:uid="{00000000-0005-0000-0000-0000C5E10000}"/>
    <cellStyle name="Обычный 10 9 3 3" xfId="60932" xr:uid="{00000000-0005-0000-0000-0000C6E10000}"/>
    <cellStyle name="Обычный 10 9 4" xfId="57750" xr:uid="{00000000-0005-0000-0000-0000C7E10000}"/>
    <cellStyle name="Обычный 10 9 5" xfId="57751" xr:uid="{00000000-0005-0000-0000-0000C8E10000}"/>
    <cellStyle name="Обычный 10_объемы 2018г111" xfId="60933" xr:uid="{00000000-0005-0000-0000-0000C9E10000}"/>
    <cellStyle name="Обычный 100" xfId="57752" xr:uid="{00000000-0005-0000-0000-0000CAE10000}"/>
    <cellStyle name="Обычный 101" xfId="57753" xr:uid="{00000000-0005-0000-0000-0000CBE10000}"/>
    <cellStyle name="Обычный 102" xfId="57754" xr:uid="{00000000-0005-0000-0000-0000CCE10000}"/>
    <cellStyle name="Обычный 103" xfId="57755" xr:uid="{00000000-0005-0000-0000-0000CDE10000}"/>
    <cellStyle name="Обычный 104" xfId="57756" xr:uid="{00000000-0005-0000-0000-0000CEE10000}"/>
    <cellStyle name="Обычный 105" xfId="57757" xr:uid="{00000000-0005-0000-0000-0000CFE10000}"/>
    <cellStyle name="Обычный 106" xfId="57758" xr:uid="{00000000-0005-0000-0000-0000D0E10000}"/>
    <cellStyle name="Обычный 107" xfId="57759" xr:uid="{00000000-0005-0000-0000-0000D1E10000}"/>
    <cellStyle name="Обычный 108" xfId="57760" xr:uid="{00000000-0005-0000-0000-0000D2E10000}"/>
    <cellStyle name="Обычный 109" xfId="57761" xr:uid="{00000000-0005-0000-0000-0000D3E10000}"/>
    <cellStyle name="Обычный 11" xfId="57762" xr:uid="{00000000-0005-0000-0000-0000D4E10000}"/>
    <cellStyle name="Обычный 11 10" xfId="57763" xr:uid="{00000000-0005-0000-0000-0000D5E10000}"/>
    <cellStyle name="Обычный 11 10 2" xfId="57764" xr:uid="{00000000-0005-0000-0000-0000D6E10000}"/>
    <cellStyle name="Обычный 11 10 2 2" xfId="57765" xr:uid="{00000000-0005-0000-0000-0000D7E10000}"/>
    <cellStyle name="Обычный 11 10 2 3" xfId="57766" xr:uid="{00000000-0005-0000-0000-0000D8E10000}"/>
    <cellStyle name="Обычный 11 10 3" xfId="57767" xr:uid="{00000000-0005-0000-0000-0000D9E10000}"/>
    <cellStyle name="Обычный 11 10 3 2" xfId="57768" xr:uid="{00000000-0005-0000-0000-0000DAE10000}"/>
    <cellStyle name="Обычный 11 10 3 3" xfId="60934" xr:uid="{00000000-0005-0000-0000-0000DBE10000}"/>
    <cellStyle name="Обычный 11 10 4" xfId="57769" xr:uid="{00000000-0005-0000-0000-0000DCE10000}"/>
    <cellStyle name="Обычный 11 10 5" xfId="57770" xr:uid="{00000000-0005-0000-0000-0000DDE10000}"/>
    <cellStyle name="Обычный 11 11" xfId="57771" xr:uid="{00000000-0005-0000-0000-0000DEE10000}"/>
    <cellStyle name="Обычный 11 11 2" xfId="57772" xr:uid="{00000000-0005-0000-0000-0000DFE10000}"/>
    <cellStyle name="Обычный 11 11 2 2" xfId="57773" xr:uid="{00000000-0005-0000-0000-0000E0E10000}"/>
    <cellStyle name="Обычный 11 11 2 3" xfId="57774" xr:uid="{00000000-0005-0000-0000-0000E1E10000}"/>
    <cellStyle name="Обычный 11 11 3" xfId="57775" xr:uid="{00000000-0005-0000-0000-0000E2E10000}"/>
    <cellStyle name="Обычный 11 11 3 2" xfId="57776" xr:uid="{00000000-0005-0000-0000-0000E3E10000}"/>
    <cellStyle name="Обычный 11 11 3 3" xfId="60935" xr:uid="{00000000-0005-0000-0000-0000E4E10000}"/>
    <cellStyle name="Обычный 11 11 4" xfId="57777" xr:uid="{00000000-0005-0000-0000-0000E5E10000}"/>
    <cellStyle name="Обычный 11 11 5" xfId="57778" xr:uid="{00000000-0005-0000-0000-0000E6E10000}"/>
    <cellStyle name="Обычный 11 12" xfId="57779" xr:uid="{00000000-0005-0000-0000-0000E7E10000}"/>
    <cellStyle name="Обычный 11 12 2" xfId="57780" xr:uid="{00000000-0005-0000-0000-0000E8E10000}"/>
    <cellStyle name="Обычный 11 12 2 2" xfId="57781" xr:uid="{00000000-0005-0000-0000-0000E9E10000}"/>
    <cellStyle name="Обычный 11 12 2 3" xfId="57782" xr:uid="{00000000-0005-0000-0000-0000EAE10000}"/>
    <cellStyle name="Обычный 11 12 3" xfId="57783" xr:uid="{00000000-0005-0000-0000-0000EBE10000}"/>
    <cellStyle name="Обычный 11 12 3 2" xfId="57784" xr:uid="{00000000-0005-0000-0000-0000ECE10000}"/>
    <cellStyle name="Обычный 11 12 3 3" xfId="60936" xr:uid="{00000000-0005-0000-0000-0000EDE10000}"/>
    <cellStyle name="Обычный 11 12 4" xfId="57785" xr:uid="{00000000-0005-0000-0000-0000EEE10000}"/>
    <cellStyle name="Обычный 11 12 5" xfId="57786" xr:uid="{00000000-0005-0000-0000-0000EFE10000}"/>
    <cellStyle name="Обычный 11 13" xfId="57787" xr:uid="{00000000-0005-0000-0000-0000F0E10000}"/>
    <cellStyle name="Обычный 11 13 2" xfId="57788" xr:uid="{00000000-0005-0000-0000-0000F1E10000}"/>
    <cellStyle name="Обычный 11 13 2 2" xfId="57789" xr:uid="{00000000-0005-0000-0000-0000F2E10000}"/>
    <cellStyle name="Обычный 11 13 2 3" xfId="57790" xr:uid="{00000000-0005-0000-0000-0000F3E10000}"/>
    <cellStyle name="Обычный 11 13 3" xfId="57791" xr:uid="{00000000-0005-0000-0000-0000F4E10000}"/>
    <cellStyle name="Обычный 11 13 3 2" xfId="57792" xr:uid="{00000000-0005-0000-0000-0000F5E10000}"/>
    <cellStyle name="Обычный 11 13 3 3" xfId="60937" xr:uid="{00000000-0005-0000-0000-0000F6E10000}"/>
    <cellStyle name="Обычный 11 13 4" xfId="57793" xr:uid="{00000000-0005-0000-0000-0000F7E10000}"/>
    <cellStyle name="Обычный 11 13 5" xfId="57794" xr:uid="{00000000-0005-0000-0000-0000F8E10000}"/>
    <cellStyle name="Обычный 11 14" xfId="57795" xr:uid="{00000000-0005-0000-0000-0000F9E10000}"/>
    <cellStyle name="Обычный 11 14 2" xfId="57796" xr:uid="{00000000-0005-0000-0000-0000FAE10000}"/>
    <cellStyle name="Обычный 11 14 2 2" xfId="57797" xr:uid="{00000000-0005-0000-0000-0000FBE10000}"/>
    <cellStyle name="Обычный 11 14 2 3" xfId="57798" xr:uid="{00000000-0005-0000-0000-0000FCE10000}"/>
    <cellStyle name="Обычный 11 14 3" xfId="57799" xr:uid="{00000000-0005-0000-0000-0000FDE10000}"/>
    <cellStyle name="Обычный 11 14 3 2" xfId="57800" xr:uid="{00000000-0005-0000-0000-0000FEE10000}"/>
    <cellStyle name="Обычный 11 14 3 3" xfId="60938" xr:uid="{00000000-0005-0000-0000-0000FFE10000}"/>
    <cellStyle name="Обычный 11 14 4" xfId="57801" xr:uid="{00000000-0005-0000-0000-000000E20000}"/>
    <cellStyle name="Обычный 11 14 5" xfId="57802" xr:uid="{00000000-0005-0000-0000-000001E20000}"/>
    <cellStyle name="Обычный 11 15" xfId="57803" xr:uid="{00000000-0005-0000-0000-000002E20000}"/>
    <cellStyle name="Обычный 11 15 2" xfId="57804" xr:uid="{00000000-0005-0000-0000-000003E20000}"/>
    <cellStyle name="Обычный 11 15 2 2" xfId="57805" xr:uid="{00000000-0005-0000-0000-000004E20000}"/>
    <cellStyle name="Обычный 11 15 2 3" xfId="57806" xr:uid="{00000000-0005-0000-0000-000005E20000}"/>
    <cellStyle name="Обычный 11 15 3" xfId="57807" xr:uid="{00000000-0005-0000-0000-000006E20000}"/>
    <cellStyle name="Обычный 11 15 3 2" xfId="57808" xr:uid="{00000000-0005-0000-0000-000007E20000}"/>
    <cellStyle name="Обычный 11 15 3 3" xfId="60939" xr:uid="{00000000-0005-0000-0000-000008E20000}"/>
    <cellStyle name="Обычный 11 15 4" xfId="57809" xr:uid="{00000000-0005-0000-0000-000009E20000}"/>
    <cellStyle name="Обычный 11 15 5" xfId="57810" xr:uid="{00000000-0005-0000-0000-00000AE20000}"/>
    <cellStyle name="Обычный 11 16" xfId="57811" xr:uid="{00000000-0005-0000-0000-00000BE20000}"/>
    <cellStyle name="Обычный 11 16 2" xfId="57812" xr:uid="{00000000-0005-0000-0000-00000CE20000}"/>
    <cellStyle name="Обычный 11 16 2 2" xfId="57813" xr:uid="{00000000-0005-0000-0000-00000DE20000}"/>
    <cellStyle name="Обычный 11 16 2 3" xfId="57814" xr:uid="{00000000-0005-0000-0000-00000EE20000}"/>
    <cellStyle name="Обычный 11 16 3" xfId="57815" xr:uid="{00000000-0005-0000-0000-00000FE20000}"/>
    <cellStyle name="Обычный 11 16 3 2" xfId="57816" xr:uid="{00000000-0005-0000-0000-000010E20000}"/>
    <cellStyle name="Обычный 11 16 3 3" xfId="60940" xr:uid="{00000000-0005-0000-0000-000011E20000}"/>
    <cellStyle name="Обычный 11 16 4" xfId="57817" xr:uid="{00000000-0005-0000-0000-000012E20000}"/>
    <cellStyle name="Обычный 11 16 5" xfId="57818" xr:uid="{00000000-0005-0000-0000-000013E20000}"/>
    <cellStyle name="Обычный 11 17" xfId="57819" xr:uid="{00000000-0005-0000-0000-000014E20000}"/>
    <cellStyle name="Обычный 11 17 2" xfId="57820" xr:uid="{00000000-0005-0000-0000-000015E20000}"/>
    <cellStyle name="Обычный 11 17 3" xfId="57821" xr:uid="{00000000-0005-0000-0000-000016E20000}"/>
    <cellStyle name="Обычный 11 18" xfId="57822" xr:uid="{00000000-0005-0000-0000-000017E20000}"/>
    <cellStyle name="Обычный 11 18 2" xfId="57823" xr:uid="{00000000-0005-0000-0000-000018E20000}"/>
    <cellStyle name="Обычный 11 18 3" xfId="60941" xr:uid="{00000000-0005-0000-0000-000019E20000}"/>
    <cellStyle name="Обычный 11 19" xfId="57824" xr:uid="{00000000-0005-0000-0000-00001AE20000}"/>
    <cellStyle name="Обычный 11 2" xfId="57825" xr:uid="{00000000-0005-0000-0000-00001BE20000}"/>
    <cellStyle name="Обычный 11 2 2" xfId="57826" xr:uid="{00000000-0005-0000-0000-00001CE20000}"/>
    <cellStyle name="Обычный 11 2 2 2" xfId="57827" xr:uid="{00000000-0005-0000-0000-00001DE20000}"/>
    <cellStyle name="Обычный 11 2 2 2 2" xfId="57828" xr:uid="{00000000-0005-0000-0000-00001EE20000}"/>
    <cellStyle name="Обычный 11 2 2 2 2 2" xfId="57829" xr:uid="{00000000-0005-0000-0000-00001FE20000}"/>
    <cellStyle name="Обычный 11 2 2 2 2 3" xfId="57830" xr:uid="{00000000-0005-0000-0000-000020E20000}"/>
    <cellStyle name="Обычный 11 2 2 2 3" xfId="57831" xr:uid="{00000000-0005-0000-0000-000021E20000}"/>
    <cellStyle name="Обычный 11 2 2 2 3 2" xfId="57832" xr:uid="{00000000-0005-0000-0000-000022E20000}"/>
    <cellStyle name="Обычный 11 2 2 2 3 3" xfId="60942" xr:uid="{00000000-0005-0000-0000-000023E20000}"/>
    <cellStyle name="Обычный 11 2 2 2 4" xfId="57833" xr:uid="{00000000-0005-0000-0000-000024E20000}"/>
    <cellStyle name="Обычный 11 2 2 2 5" xfId="57834" xr:uid="{00000000-0005-0000-0000-000025E20000}"/>
    <cellStyle name="Обычный 11 2 2 3" xfId="57835" xr:uid="{00000000-0005-0000-0000-000026E20000}"/>
    <cellStyle name="Обычный 11 2 2 3 2" xfId="57836" xr:uid="{00000000-0005-0000-0000-000027E20000}"/>
    <cellStyle name="Обычный 11 2 2 3 3" xfId="57837" xr:uid="{00000000-0005-0000-0000-000028E20000}"/>
    <cellStyle name="Обычный 11 2 2 4" xfId="57838" xr:uid="{00000000-0005-0000-0000-000029E20000}"/>
    <cellStyle name="Обычный 11 2 2 4 2" xfId="57839" xr:uid="{00000000-0005-0000-0000-00002AE20000}"/>
    <cellStyle name="Обычный 11 2 2 4 3" xfId="60943" xr:uid="{00000000-0005-0000-0000-00002BE20000}"/>
    <cellStyle name="Обычный 11 2 2 5" xfId="57840" xr:uid="{00000000-0005-0000-0000-00002CE20000}"/>
    <cellStyle name="Обычный 11 2 2 6" xfId="57841" xr:uid="{00000000-0005-0000-0000-00002DE20000}"/>
    <cellStyle name="Обычный 11 2 2_объемы 2018г111" xfId="60944" xr:uid="{00000000-0005-0000-0000-00002EE20000}"/>
    <cellStyle name="Обычный 11 2 3" xfId="57842" xr:uid="{00000000-0005-0000-0000-00002FE20000}"/>
    <cellStyle name="Обычный 11 2 3 2" xfId="57843" xr:uid="{00000000-0005-0000-0000-000030E20000}"/>
    <cellStyle name="Обычный 11 2 3 2 2" xfId="57844" xr:uid="{00000000-0005-0000-0000-000031E20000}"/>
    <cellStyle name="Обычный 11 2 3 2 3" xfId="57845" xr:uid="{00000000-0005-0000-0000-000032E20000}"/>
    <cellStyle name="Обычный 11 2 3 3" xfId="57846" xr:uid="{00000000-0005-0000-0000-000033E20000}"/>
    <cellStyle name="Обычный 11 2 3 3 2" xfId="57847" xr:uid="{00000000-0005-0000-0000-000034E20000}"/>
    <cellStyle name="Обычный 11 2 3 3 3" xfId="60945" xr:uid="{00000000-0005-0000-0000-000035E20000}"/>
    <cellStyle name="Обычный 11 2 3 4" xfId="57848" xr:uid="{00000000-0005-0000-0000-000036E20000}"/>
    <cellStyle name="Обычный 11 2 3 5" xfId="57849" xr:uid="{00000000-0005-0000-0000-000037E20000}"/>
    <cellStyle name="Обычный 11 2 4" xfId="57850" xr:uid="{00000000-0005-0000-0000-000038E20000}"/>
    <cellStyle name="Обычный 11 2 4 2" xfId="57851" xr:uid="{00000000-0005-0000-0000-000039E20000}"/>
    <cellStyle name="Обычный 11 2 4 3" xfId="57852" xr:uid="{00000000-0005-0000-0000-00003AE20000}"/>
    <cellStyle name="Обычный 11 2 5" xfId="57853" xr:uid="{00000000-0005-0000-0000-00003BE20000}"/>
    <cellStyle name="Обычный 11 2 5 2" xfId="57854" xr:uid="{00000000-0005-0000-0000-00003CE20000}"/>
    <cellStyle name="Обычный 11 2 5 3" xfId="60946" xr:uid="{00000000-0005-0000-0000-00003DE20000}"/>
    <cellStyle name="Обычный 11 2 6" xfId="57855" xr:uid="{00000000-0005-0000-0000-00003EE20000}"/>
    <cellStyle name="Обычный 11 2 7" xfId="57856" xr:uid="{00000000-0005-0000-0000-00003FE20000}"/>
    <cellStyle name="Обычный 11 2_объемы 2018г111" xfId="60947" xr:uid="{00000000-0005-0000-0000-000040E20000}"/>
    <cellStyle name="Обычный 11 20" xfId="57857" xr:uid="{00000000-0005-0000-0000-000041E20000}"/>
    <cellStyle name="Обычный 11 3" xfId="57858" xr:uid="{00000000-0005-0000-0000-000042E20000}"/>
    <cellStyle name="Обычный 11 3 2" xfId="57859" xr:uid="{00000000-0005-0000-0000-000043E20000}"/>
    <cellStyle name="Обычный 11 3 2 2" xfId="57860" xr:uid="{00000000-0005-0000-0000-000044E20000}"/>
    <cellStyle name="Обычный 11 3 2 2 2" xfId="57861" xr:uid="{00000000-0005-0000-0000-000045E20000}"/>
    <cellStyle name="Обычный 11 3 2 2 3" xfId="57862" xr:uid="{00000000-0005-0000-0000-000046E20000}"/>
    <cellStyle name="Обычный 11 3 2 3" xfId="57863" xr:uid="{00000000-0005-0000-0000-000047E20000}"/>
    <cellStyle name="Обычный 11 3 2 3 2" xfId="57864" xr:uid="{00000000-0005-0000-0000-000048E20000}"/>
    <cellStyle name="Обычный 11 3 2 3 3" xfId="60948" xr:uid="{00000000-0005-0000-0000-000049E20000}"/>
    <cellStyle name="Обычный 11 3 2 4" xfId="57865" xr:uid="{00000000-0005-0000-0000-00004AE20000}"/>
    <cellStyle name="Обычный 11 3 2 5" xfId="57866" xr:uid="{00000000-0005-0000-0000-00004BE20000}"/>
    <cellStyle name="Обычный 11 3 3" xfId="57867" xr:uid="{00000000-0005-0000-0000-00004CE20000}"/>
    <cellStyle name="Обычный 11 3 3 2" xfId="57868" xr:uid="{00000000-0005-0000-0000-00004DE20000}"/>
    <cellStyle name="Обычный 11 3 3 3" xfId="57869" xr:uid="{00000000-0005-0000-0000-00004EE20000}"/>
    <cellStyle name="Обычный 11 3 4" xfId="57870" xr:uid="{00000000-0005-0000-0000-00004FE20000}"/>
    <cellStyle name="Обычный 11 3 4 2" xfId="57871" xr:uid="{00000000-0005-0000-0000-000050E20000}"/>
    <cellStyle name="Обычный 11 3 4 3" xfId="60949" xr:uid="{00000000-0005-0000-0000-000051E20000}"/>
    <cellStyle name="Обычный 11 3 5" xfId="57872" xr:uid="{00000000-0005-0000-0000-000052E20000}"/>
    <cellStyle name="Обычный 11 3 6" xfId="57873" xr:uid="{00000000-0005-0000-0000-000053E20000}"/>
    <cellStyle name="Обычный 11 3_объемы 2018г111" xfId="60950" xr:uid="{00000000-0005-0000-0000-000054E20000}"/>
    <cellStyle name="Обычный 11 4" xfId="57874" xr:uid="{00000000-0005-0000-0000-000055E20000}"/>
    <cellStyle name="Обычный 11 4 2" xfId="57875" xr:uid="{00000000-0005-0000-0000-000056E20000}"/>
    <cellStyle name="Обычный 11 4 2 2" xfId="57876" xr:uid="{00000000-0005-0000-0000-000057E20000}"/>
    <cellStyle name="Обычный 11 4 2 3" xfId="57877" xr:uid="{00000000-0005-0000-0000-000058E20000}"/>
    <cellStyle name="Обычный 11 4 3" xfId="57878" xr:uid="{00000000-0005-0000-0000-000059E20000}"/>
    <cellStyle name="Обычный 11 4 3 2" xfId="57879" xr:uid="{00000000-0005-0000-0000-00005AE20000}"/>
    <cellStyle name="Обычный 11 4 3 3" xfId="60951" xr:uid="{00000000-0005-0000-0000-00005BE20000}"/>
    <cellStyle name="Обычный 11 4 4" xfId="57880" xr:uid="{00000000-0005-0000-0000-00005CE20000}"/>
    <cellStyle name="Обычный 11 4 5" xfId="57881" xr:uid="{00000000-0005-0000-0000-00005DE20000}"/>
    <cellStyle name="Обычный 11 5" xfId="57882" xr:uid="{00000000-0005-0000-0000-00005EE20000}"/>
    <cellStyle name="Обычный 11 5 2" xfId="57883" xr:uid="{00000000-0005-0000-0000-00005FE20000}"/>
    <cellStyle name="Обычный 11 5 2 2" xfId="57884" xr:uid="{00000000-0005-0000-0000-000060E20000}"/>
    <cellStyle name="Обычный 11 5 2 3" xfId="57885" xr:uid="{00000000-0005-0000-0000-000061E20000}"/>
    <cellStyle name="Обычный 11 5 3" xfId="57886" xr:uid="{00000000-0005-0000-0000-000062E20000}"/>
    <cellStyle name="Обычный 11 5 3 2" xfId="57887" xr:uid="{00000000-0005-0000-0000-000063E20000}"/>
    <cellStyle name="Обычный 11 5 3 3" xfId="60952" xr:uid="{00000000-0005-0000-0000-000064E20000}"/>
    <cellStyle name="Обычный 11 5 4" xfId="57888" xr:uid="{00000000-0005-0000-0000-000065E20000}"/>
    <cellStyle name="Обычный 11 5 5" xfId="57889" xr:uid="{00000000-0005-0000-0000-000066E20000}"/>
    <cellStyle name="Обычный 11 6" xfId="57890" xr:uid="{00000000-0005-0000-0000-000067E20000}"/>
    <cellStyle name="Обычный 11 6 2" xfId="57891" xr:uid="{00000000-0005-0000-0000-000068E20000}"/>
    <cellStyle name="Обычный 11 6 2 2" xfId="57892" xr:uid="{00000000-0005-0000-0000-000069E20000}"/>
    <cellStyle name="Обычный 11 6 2 3" xfId="57893" xr:uid="{00000000-0005-0000-0000-00006AE20000}"/>
    <cellStyle name="Обычный 11 6 3" xfId="57894" xr:uid="{00000000-0005-0000-0000-00006BE20000}"/>
    <cellStyle name="Обычный 11 6 3 2" xfId="57895" xr:uid="{00000000-0005-0000-0000-00006CE20000}"/>
    <cellStyle name="Обычный 11 6 3 3" xfId="60953" xr:uid="{00000000-0005-0000-0000-00006DE20000}"/>
    <cellStyle name="Обычный 11 6 4" xfId="57896" xr:uid="{00000000-0005-0000-0000-00006EE20000}"/>
    <cellStyle name="Обычный 11 6 5" xfId="57897" xr:uid="{00000000-0005-0000-0000-00006FE20000}"/>
    <cellStyle name="Обычный 11 7" xfId="57898" xr:uid="{00000000-0005-0000-0000-000070E20000}"/>
    <cellStyle name="Обычный 11 7 2" xfId="57899" xr:uid="{00000000-0005-0000-0000-000071E20000}"/>
    <cellStyle name="Обычный 11 7 2 2" xfId="57900" xr:uid="{00000000-0005-0000-0000-000072E20000}"/>
    <cellStyle name="Обычный 11 7 2 3" xfId="57901" xr:uid="{00000000-0005-0000-0000-000073E20000}"/>
    <cellStyle name="Обычный 11 7 3" xfId="57902" xr:uid="{00000000-0005-0000-0000-000074E20000}"/>
    <cellStyle name="Обычный 11 7 3 2" xfId="57903" xr:uid="{00000000-0005-0000-0000-000075E20000}"/>
    <cellStyle name="Обычный 11 7 3 3" xfId="60954" xr:uid="{00000000-0005-0000-0000-000076E20000}"/>
    <cellStyle name="Обычный 11 7 4" xfId="57904" xr:uid="{00000000-0005-0000-0000-000077E20000}"/>
    <cellStyle name="Обычный 11 7 5" xfId="57905" xr:uid="{00000000-0005-0000-0000-000078E20000}"/>
    <cellStyle name="Обычный 11 8" xfId="57906" xr:uid="{00000000-0005-0000-0000-000079E20000}"/>
    <cellStyle name="Обычный 11 8 2" xfId="57907" xr:uid="{00000000-0005-0000-0000-00007AE20000}"/>
    <cellStyle name="Обычный 11 8 2 2" xfId="57908" xr:uid="{00000000-0005-0000-0000-00007BE20000}"/>
    <cellStyle name="Обычный 11 8 2 3" xfId="57909" xr:uid="{00000000-0005-0000-0000-00007CE20000}"/>
    <cellStyle name="Обычный 11 8 3" xfId="57910" xr:uid="{00000000-0005-0000-0000-00007DE20000}"/>
    <cellStyle name="Обычный 11 8 3 2" xfId="57911" xr:uid="{00000000-0005-0000-0000-00007EE20000}"/>
    <cellStyle name="Обычный 11 8 3 3" xfId="60955" xr:uid="{00000000-0005-0000-0000-00007FE20000}"/>
    <cellStyle name="Обычный 11 8 4" xfId="57912" xr:uid="{00000000-0005-0000-0000-000080E20000}"/>
    <cellStyle name="Обычный 11 8 5" xfId="57913" xr:uid="{00000000-0005-0000-0000-000081E20000}"/>
    <cellStyle name="Обычный 11 9" xfId="57914" xr:uid="{00000000-0005-0000-0000-000082E20000}"/>
    <cellStyle name="Обычный 11 9 2" xfId="57915" xr:uid="{00000000-0005-0000-0000-000083E20000}"/>
    <cellStyle name="Обычный 11 9 2 2" xfId="57916" xr:uid="{00000000-0005-0000-0000-000084E20000}"/>
    <cellStyle name="Обычный 11 9 2 3" xfId="57917" xr:uid="{00000000-0005-0000-0000-000085E20000}"/>
    <cellStyle name="Обычный 11 9 3" xfId="57918" xr:uid="{00000000-0005-0000-0000-000086E20000}"/>
    <cellStyle name="Обычный 11 9 3 2" xfId="57919" xr:uid="{00000000-0005-0000-0000-000087E20000}"/>
    <cellStyle name="Обычный 11 9 3 3" xfId="60956" xr:uid="{00000000-0005-0000-0000-000088E20000}"/>
    <cellStyle name="Обычный 11 9 4" xfId="57920" xr:uid="{00000000-0005-0000-0000-000089E20000}"/>
    <cellStyle name="Обычный 11 9 5" xfId="57921" xr:uid="{00000000-0005-0000-0000-00008AE20000}"/>
    <cellStyle name="Обычный 11_объемы 2018г111" xfId="60957" xr:uid="{00000000-0005-0000-0000-00008BE20000}"/>
    <cellStyle name="Обычный 110" xfId="57922" xr:uid="{00000000-0005-0000-0000-00008CE20000}"/>
    <cellStyle name="Обычный 111" xfId="57923" xr:uid="{00000000-0005-0000-0000-00008DE20000}"/>
    <cellStyle name="Обычный 112" xfId="57924" xr:uid="{00000000-0005-0000-0000-00008EE20000}"/>
    <cellStyle name="Обычный 113" xfId="57925" xr:uid="{00000000-0005-0000-0000-00008FE20000}"/>
    <cellStyle name="Обычный 114" xfId="57926" xr:uid="{00000000-0005-0000-0000-000090E20000}"/>
    <cellStyle name="Обычный 115" xfId="57927" xr:uid="{00000000-0005-0000-0000-000091E20000}"/>
    <cellStyle name="Обычный 116" xfId="57928" xr:uid="{00000000-0005-0000-0000-000092E20000}"/>
    <cellStyle name="Обычный 117" xfId="57929" xr:uid="{00000000-0005-0000-0000-000093E20000}"/>
    <cellStyle name="Обычный 118" xfId="57930" xr:uid="{00000000-0005-0000-0000-000094E20000}"/>
    <cellStyle name="Обычный 119" xfId="57931" xr:uid="{00000000-0005-0000-0000-000095E20000}"/>
    <cellStyle name="Обычный 12" xfId="57932" xr:uid="{00000000-0005-0000-0000-000096E20000}"/>
    <cellStyle name="Обычный 12 10" xfId="57933" xr:uid="{00000000-0005-0000-0000-000097E20000}"/>
    <cellStyle name="Обычный 12 10 2" xfId="57934" xr:uid="{00000000-0005-0000-0000-000098E20000}"/>
    <cellStyle name="Обычный 12 10 2 2" xfId="57935" xr:uid="{00000000-0005-0000-0000-000099E20000}"/>
    <cellStyle name="Обычный 12 10 2 3" xfId="57936" xr:uid="{00000000-0005-0000-0000-00009AE20000}"/>
    <cellStyle name="Обычный 12 10 3" xfId="57937" xr:uid="{00000000-0005-0000-0000-00009BE20000}"/>
    <cellStyle name="Обычный 12 10 3 2" xfId="57938" xr:uid="{00000000-0005-0000-0000-00009CE20000}"/>
    <cellStyle name="Обычный 12 10 3 3" xfId="60958" xr:uid="{00000000-0005-0000-0000-00009DE20000}"/>
    <cellStyle name="Обычный 12 10 4" xfId="57939" xr:uid="{00000000-0005-0000-0000-00009EE20000}"/>
    <cellStyle name="Обычный 12 10 5" xfId="57940" xr:uid="{00000000-0005-0000-0000-00009FE20000}"/>
    <cellStyle name="Обычный 12 11" xfId="57941" xr:uid="{00000000-0005-0000-0000-0000A0E20000}"/>
    <cellStyle name="Обычный 12 11 2" xfId="57942" xr:uid="{00000000-0005-0000-0000-0000A1E20000}"/>
    <cellStyle name="Обычный 12 11 2 2" xfId="57943" xr:uid="{00000000-0005-0000-0000-0000A2E20000}"/>
    <cellStyle name="Обычный 12 11 2 3" xfId="57944" xr:uid="{00000000-0005-0000-0000-0000A3E20000}"/>
    <cellStyle name="Обычный 12 11 3" xfId="57945" xr:uid="{00000000-0005-0000-0000-0000A4E20000}"/>
    <cellStyle name="Обычный 12 11 3 2" xfId="57946" xr:uid="{00000000-0005-0000-0000-0000A5E20000}"/>
    <cellStyle name="Обычный 12 11 3 3" xfId="60959" xr:uid="{00000000-0005-0000-0000-0000A6E20000}"/>
    <cellStyle name="Обычный 12 11 4" xfId="57947" xr:uid="{00000000-0005-0000-0000-0000A7E20000}"/>
    <cellStyle name="Обычный 12 11 5" xfId="57948" xr:uid="{00000000-0005-0000-0000-0000A8E20000}"/>
    <cellStyle name="Обычный 12 12" xfId="57949" xr:uid="{00000000-0005-0000-0000-0000A9E20000}"/>
    <cellStyle name="Обычный 12 12 2" xfId="57950" xr:uid="{00000000-0005-0000-0000-0000AAE20000}"/>
    <cellStyle name="Обычный 12 12 2 2" xfId="57951" xr:uid="{00000000-0005-0000-0000-0000ABE20000}"/>
    <cellStyle name="Обычный 12 12 2 3" xfId="57952" xr:uid="{00000000-0005-0000-0000-0000ACE20000}"/>
    <cellStyle name="Обычный 12 12 3" xfId="57953" xr:uid="{00000000-0005-0000-0000-0000ADE20000}"/>
    <cellStyle name="Обычный 12 12 3 2" xfId="57954" xr:uid="{00000000-0005-0000-0000-0000AEE20000}"/>
    <cellStyle name="Обычный 12 12 3 3" xfId="60960" xr:uid="{00000000-0005-0000-0000-0000AFE20000}"/>
    <cellStyle name="Обычный 12 12 4" xfId="57955" xr:uid="{00000000-0005-0000-0000-0000B0E20000}"/>
    <cellStyle name="Обычный 12 12 5" xfId="57956" xr:uid="{00000000-0005-0000-0000-0000B1E20000}"/>
    <cellStyle name="Обычный 12 13" xfId="57957" xr:uid="{00000000-0005-0000-0000-0000B2E20000}"/>
    <cellStyle name="Обычный 12 13 2" xfId="57958" xr:uid="{00000000-0005-0000-0000-0000B3E20000}"/>
    <cellStyle name="Обычный 12 13 2 2" xfId="57959" xr:uid="{00000000-0005-0000-0000-0000B4E20000}"/>
    <cellStyle name="Обычный 12 13 2 3" xfId="57960" xr:uid="{00000000-0005-0000-0000-0000B5E20000}"/>
    <cellStyle name="Обычный 12 13 3" xfId="57961" xr:uid="{00000000-0005-0000-0000-0000B6E20000}"/>
    <cellStyle name="Обычный 12 13 3 2" xfId="57962" xr:uid="{00000000-0005-0000-0000-0000B7E20000}"/>
    <cellStyle name="Обычный 12 13 3 3" xfId="60961" xr:uid="{00000000-0005-0000-0000-0000B8E20000}"/>
    <cellStyle name="Обычный 12 13 4" xfId="57963" xr:uid="{00000000-0005-0000-0000-0000B9E20000}"/>
    <cellStyle name="Обычный 12 13 5" xfId="57964" xr:uid="{00000000-0005-0000-0000-0000BAE20000}"/>
    <cellStyle name="Обычный 12 14" xfId="57965" xr:uid="{00000000-0005-0000-0000-0000BBE20000}"/>
    <cellStyle name="Обычный 12 14 2" xfId="57966" xr:uid="{00000000-0005-0000-0000-0000BCE20000}"/>
    <cellStyle name="Обычный 12 14 2 2" xfId="57967" xr:uid="{00000000-0005-0000-0000-0000BDE20000}"/>
    <cellStyle name="Обычный 12 14 2 3" xfId="57968" xr:uid="{00000000-0005-0000-0000-0000BEE20000}"/>
    <cellStyle name="Обычный 12 14 3" xfId="57969" xr:uid="{00000000-0005-0000-0000-0000BFE20000}"/>
    <cellStyle name="Обычный 12 14 3 2" xfId="57970" xr:uid="{00000000-0005-0000-0000-0000C0E20000}"/>
    <cellStyle name="Обычный 12 14 3 3" xfId="60962" xr:uid="{00000000-0005-0000-0000-0000C1E20000}"/>
    <cellStyle name="Обычный 12 14 4" xfId="57971" xr:uid="{00000000-0005-0000-0000-0000C2E20000}"/>
    <cellStyle name="Обычный 12 14 5" xfId="57972" xr:uid="{00000000-0005-0000-0000-0000C3E20000}"/>
    <cellStyle name="Обычный 12 15" xfId="57973" xr:uid="{00000000-0005-0000-0000-0000C4E20000}"/>
    <cellStyle name="Обычный 12 15 2" xfId="57974" xr:uid="{00000000-0005-0000-0000-0000C5E20000}"/>
    <cellStyle name="Обычный 12 15 2 2" xfId="57975" xr:uid="{00000000-0005-0000-0000-0000C6E20000}"/>
    <cellStyle name="Обычный 12 15 2 3" xfId="57976" xr:uid="{00000000-0005-0000-0000-0000C7E20000}"/>
    <cellStyle name="Обычный 12 15 3" xfId="57977" xr:uid="{00000000-0005-0000-0000-0000C8E20000}"/>
    <cellStyle name="Обычный 12 15 3 2" xfId="57978" xr:uid="{00000000-0005-0000-0000-0000C9E20000}"/>
    <cellStyle name="Обычный 12 15 3 3" xfId="60963" xr:uid="{00000000-0005-0000-0000-0000CAE20000}"/>
    <cellStyle name="Обычный 12 15 4" xfId="57979" xr:uid="{00000000-0005-0000-0000-0000CBE20000}"/>
    <cellStyle name="Обычный 12 15 5" xfId="57980" xr:uid="{00000000-0005-0000-0000-0000CCE20000}"/>
    <cellStyle name="Обычный 12 16" xfId="57981" xr:uid="{00000000-0005-0000-0000-0000CDE20000}"/>
    <cellStyle name="Обычный 12 16 2" xfId="57982" xr:uid="{00000000-0005-0000-0000-0000CEE20000}"/>
    <cellStyle name="Обычный 12 16 2 2" xfId="57983" xr:uid="{00000000-0005-0000-0000-0000CFE20000}"/>
    <cellStyle name="Обычный 12 16 2 3" xfId="57984" xr:uid="{00000000-0005-0000-0000-0000D0E20000}"/>
    <cellStyle name="Обычный 12 16 3" xfId="57985" xr:uid="{00000000-0005-0000-0000-0000D1E20000}"/>
    <cellStyle name="Обычный 12 16 3 2" xfId="57986" xr:uid="{00000000-0005-0000-0000-0000D2E20000}"/>
    <cellStyle name="Обычный 12 16 3 3" xfId="60964" xr:uid="{00000000-0005-0000-0000-0000D3E20000}"/>
    <cellStyle name="Обычный 12 16 4" xfId="57987" xr:uid="{00000000-0005-0000-0000-0000D4E20000}"/>
    <cellStyle name="Обычный 12 16 5" xfId="57988" xr:uid="{00000000-0005-0000-0000-0000D5E20000}"/>
    <cellStyle name="Обычный 12 17" xfId="57989" xr:uid="{00000000-0005-0000-0000-0000D6E20000}"/>
    <cellStyle name="Обычный 12 17 2" xfId="57990" xr:uid="{00000000-0005-0000-0000-0000D7E20000}"/>
    <cellStyle name="Обычный 12 17 3" xfId="57991" xr:uid="{00000000-0005-0000-0000-0000D8E20000}"/>
    <cellStyle name="Обычный 12 18" xfId="57992" xr:uid="{00000000-0005-0000-0000-0000D9E20000}"/>
    <cellStyle name="Обычный 12 18 2" xfId="57993" xr:uid="{00000000-0005-0000-0000-0000DAE20000}"/>
    <cellStyle name="Обычный 12 18 3" xfId="60965" xr:uid="{00000000-0005-0000-0000-0000DBE20000}"/>
    <cellStyle name="Обычный 12 19" xfId="57994" xr:uid="{00000000-0005-0000-0000-0000DCE20000}"/>
    <cellStyle name="Обычный 12 2" xfId="57995" xr:uid="{00000000-0005-0000-0000-0000DDE20000}"/>
    <cellStyle name="Обычный 12 2 2" xfId="57996" xr:uid="{00000000-0005-0000-0000-0000DEE20000}"/>
    <cellStyle name="Обычный 12 2 2 2" xfId="57997" xr:uid="{00000000-0005-0000-0000-0000DFE20000}"/>
    <cellStyle name="Обычный 12 2 2 2 2" xfId="57998" xr:uid="{00000000-0005-0000-0000-0000E0E20000}"/>
    <cellStyle name="Обычный 12 2 2 2 2 2" xfId="57999" xr:uid="{00000000-0005-0000-0000-0000E1E20000}"/>
    <cellStyle name="Обычный 12 2 2 2 2 3" xfId="58000" xr:uid="{00000000-0005-0000-0000-0000E2E20000}"/>
    <cellStyle name="Обычный 12 2 2 2 3" xfId="58001" xr:uid="{00000000-0005-0000-0000-0000E3E20000}"/>
    <cellStyle name="Обычный 12 2 2 2 3 2" xfId="58002" xr:uid="{00000000-0005-0000-0000-0000E4E20000}"/>
    <cellStyle name="Обычный 12 2 2 2 3 3" xfId="60966" xr:uid="{00000000-0005-0000-0000-0000E5E20000}"/>
    <cellStyle name="Обычный 12 2 2 2 4" xfId="58003" xr:uid="{00000000-0005-0000-0000-0000E6E20000}"/>
    <cellStyle name="Обычный 12 2 2 2 5" xfId="58004" xr:uid="{00000000-0005-0000-0000-0000E7E20000}"/>
    <cellStyle name="Обычный 12 2 2 3" xfId="58005" xr:uid="{00000000-0005-0000-0000-0000E8E20000}"/>
    <cellStyle name="Обычный 12 2 2 3 2" xfId="58006" xr:uid="{00000000-0005-0000-0000-0000E9E20000}"/>
    <cellStyle name="Обычный 12 2 2 3 3" xfId="58007" xr:uid="{00000000-0005-0000-0000-0000EAE20000}"/>
    <cellStyle name="Обычный 12 2 2 4" xfId="58008" xr:uid="{00000000-0005-0000-0000-0000EBE20000}"/>
    <cellStyle name="Обычный 12 2 2 4 2" xfId="58009" xr:uid="{00000000-0005-0000-0000-0000ECE20000}"/>
    <cellStyle name="Обычный 12 2 2 4 3" xfId="60967" xr:uid="{00000000-0005-0000-0000-0000EDE20000}"/>
    <cellStyle name="Обычный 12 2 2 5" xfId="58010" xr:uid="{00000000-0005-0000-0000-0000EEE20000}"/>
    <cellStyle name="Обычный 12 2 2 6" xfId="58011" xr:uid="{00000000-0005-0000-0000-0000EFE20000}"/>
    <cellStyle name="Обычный 12 2 2_объемы 2018г111" xfId="60968" xr:uid="{00000000-0005-0000-0000-0000F0E20000}"/>
    <cellStyle name="Обычный 12 2 3" xfId="58012" xr:uid="{00000000-0005-0000-0000-0000F1E20000}"/>
    <cellStyle name="Обычный 12 2 3 2" xfId="58013" xr:uid="{00000000-0005-0000-0000-0000F2E20000}"/>
    <cellStyle name="Обычный 12 2 3 2 2" xfId="58014" xr:uid="{00000000-0005-0000-0000-0000F3E20000}"/>
    <cellStyle name="Обычный 12 2 3 2 3" xfId="58015" xr:uid="{00000000-0005-0000-0000-0000F4E20000}"/>
    <cellStyle name="Обычный 12 2 3 3" xfId="58016" xr:uid="{00000000-0005-0000-0000-0000F5E20000}"/>
    <cellStyle name="Обычный 12 2 3 3 2" xfId="58017" xr:uid="{00000000-0005-0000-0000-0000F6E20000}"/>
    <cellStyle name="Обычный 12 2 3 3 3" xfId="60969" xr:uid="{00000000-0005-0000-0000-0000F7E20000}"/>
    <cellStyle name="Обычный 12 2 3 4" xfId="58018" xr:uid="{00000000-0005-0000-0000-0000F8E20000}"/>
    <cellStyle name="Обычный 12 2 3 5" xfId="58019" xr:uid="{00000000-0005-0000-0000-0000F9E20000}"/>
    <cellStyle name="Обычный 12 2 4" xfId="58020" xr:uid="{00000000-0005-0000-0000-0000FAE20000}"/>
    <cellStyle name="Обычный 12 2 4 2" xfId="58021" xr:uid="{00000000-0005-0000-0000-0000FBE20000}"/>
    <cellStyle name="Обычный 12 2 4 3" xfId="58022" xr:uid="{00000000-0005-0000-0000-0000FCE20000}"/>
    <cellStyle name="Обычный 12 2 5" xfId="58023" xr:uid="{00000000-0005-0000-0000-0000FDE20000}"/>
    <cellStyle name="Обычный 12 2 5 2" xfId="58024" xr:uid="{00000000-0005-0000-0000-0000FEE20000}"/>
    <cellStyle name="Обычный 12 2 5 3" xfId="60970" xr:uid="{00000000-0005-0000-0000-0000FFE20000}"/>
    <cellStyle name="Обычный 12 2 6" xfId="58025" xr:uid="{00000000-0005-0000-0000-000000E30000}"/>
    <cellStyle name="Обычный 12 2 7" xfId="58026" xr:uid="{00000000-0005-0000-0000-000001E30000}"/>
    <cellStyle name="Обычный 12 2_объемы 2018г111" xfId="60971" xr:uid="{00000000-0005-0000-0000-000002E30000}"/>
    <cellStyle name="Обычный 12 20" xfId="58027" xr:uid="{00000000-0005-0000-0000-000003E30000}"/>
    <cellStyle name="Обычный 12 3" xfId="58028" xr:uid="{00000000-0005-0000-0000-000004E30000}"/>
    <cellStyle name="Обычный 12 3 2" xfId="58029" xr:uid="{00000000-0005-0000-0000-000005E30000}"/>
    <cellStyle name="Обычный 12 3 2 2" xfId="58030" xr:uid="{00000000-0005-0000-0000-000006E30000}"/>
    <cellStyle name="Обычный 12 3 2 2 2" xfId="58031" xr:uid="{00000000-0005-0000-0000-000007E30000}"/>
    <cellStyle name="Обычный 12 3 2 2 3" xfId="58032" xr:uid="{00000000-0005-0000-0000-000008E30000}"/>
    <cellStyle name="Обычный 12 3 2 3" xfId="58033" xr:uid="{00000000-0005-0000-0000-000009E30000}"/>
    <cellStyle name="Обычный 12 3 2 3 2" xfId="58034" xr:uid="{00000000-0005-0000-0000-00000AE30000}"/>
    <cellStyle name="Обычный 12 3 2 3 3" xfId="60972" xr:uid="{00000000-0005-0000-0000-00000BE30000}"/>
    <cellStyle name="Обычный 12 3 2 4" xfId="58035" xr:uid="{00000000-0005-0000-0000-00000CE30000}"/>
    <cellStyle name="Обычный 12 3 2 5" xfId="58036" xr:uid="{00000000-0005-0000-0000-00000DE30000}"/>
    <cellStyle name="Обычный 12 3 3" xfId="58037" xr:uid="{00000000-0005-0000-0000-00000EE30000}"/>
    <cellStyle name="Обычный 12 3 3 2" xfId="58038" xr:uid="{00000000-0005-0000-0000-00000FE30000}"/>
    <cellStyle name="Обычный 12 3 3 3" xfId="58039" xr:uid="{00000000-0005-0000-0000-000010E30000}"/>
    <cellStyle name="Обычный 12 3 4" xfId="58040" xr:uid="{00000000-0005-0000-0000-000011E30000}"/>
    <cellStyle name="Обычный 12 3 4 2" xfId="58041" xr:uid="{00000000-0005-0000-0000-000012E30000}"/>
    <cellStyle name="Обычный 12 3 4 3" xfId="60973" xr:uid="{00000000-0005-0000-0000-000013E30000}"/>
    <cellStyle name="Обычный 12 3 5" xfId="58042" xr:uid="{00000000-0005-0000-0000-000014E30000}"/>
    <cellStyle name="Обычный 12 3 6" xfId="58043" xr:uid="{00000000-0005-0000-0000-000015E30000}"/>
    <cellStyle name="Обычный 12 3_объемы 2018г111" xfId="60974" xr:uid="{00000000-0005-0000-0000-000016E30000}"/>
    <cellStyle name="Обычный 12 4" xfId="58044" xr:uid="{00000000-0005-0000-0000-000017E30000}"/>
    <cellStyle name="Обычный 12 4 2" xfId="58045" xr:uid="{00000000-0005-0000-0000-000018E30000}"/>
    <cellStyle name="Обычный 12 4 2 2" xfId="58046" xr:uid="{00000000-0005-0000-0000-000019E30000}"/>
    <cellStyle name="Обычный 12 4 2 3" xfId="58047" xr:uid="{00000000-0005-0000-0000-00001AE30000}"/>
    <cellStyle name="Обычный 12 4 3" xfId="58048" xr:uid="{00000000-0005-0000-0000-00001BE30000}"/>
    <cellStyle name="Обычный 12 4 3 2" xfId="58049" xr:uid="{00000000-0005-0000-0000-00001CE30000}"/>
    <cellStyle name="Обычный 12 4 3 3" xfId="60975" xr:uid="{00000000-0005-0000-0000-00001DE30000}"/>
    <cellStyle name="Обычный 12 4 4" xfId="58050" xr:uid="{00000000-0005-0000-0000-00001EE30000}"/>
    <cellStyle name="Обычный 12 4 5" xfId="58051" xr:uid="{00000000-0005-0000-0000-00001FE30000}"/>
    <cellStyle name="Обычный 12 5" xfId="58052" xr:uid="{00000000-0005-0000-0000-000020E30000}"/>
    <cellStyle name="Обычный 12 5 2" xfId="58053" xr:uid="{00000000-0005-0000-0000-000021E30000}"/>
    <cellStyle name="Обычный 12 5 2 2" xfId="58054" xr:uid="{00000000-0005-0000-0000-000022E30000}"/>
    <cellStyle name="Обычный 12 5 2 3" xfId="58055" xr:uid="{00000000-0005-0000-0000-000023E30000}"/>
    <cellStyle name="Обычный 12 5 3" xfId="58056" xr:uid="{00000000-0005-0000-0000-000024E30000}"/>
    <cellStyle name="Обычный 12 5 3 2" xfId="58057" xr:uid="{00000000-0005-0000-0000-000025E30000}"/>
    <cellStyle name="Обычный 12 5 3 3" xfId="60976" xr:uid="{00000000-0005-0000-0000-000026E30000}"/>
    <cellStyle name="Обычный 12 5 4" xfId="58058" xr:uid="{00000000-0005-0000-0000-000027E30000}"/>
    <cellStyle name="Обычный 12 5 5" xfId="58059" xr:uid="{00000000-0005-0000-0000-000028E30000}"/>
    <cellStyle name="Обычный 12 6" xfId="58060" xr:uid="{00000000-0005-0000-0000-000029E30000}"/>
    <cellStyle name="Обычный 12 6 2" xfId="58061" xr:uid="{00000000-0005-0000-0000-00002AE30000}"/>
    <cellStyle name="Обычный 12 6 2 2" xfId="58062" xr:uid="{00000000-0005-0000-0000-00002BE30000}"/>
    <cellStyle name="Обычный 12 6 2 3" xfId="58063" xr:uid="{00000000-0005-0000-0000-00002CE30000}"/>
    <cellStyle name="Обычный 12 6 3" xfId="58064" xr:uid="{00000000-0005-0000-0000-00002DE30000}"/>
    <cellStyle name="Обычный 12 6 3 2" xfId="58065" xr:uid="{00000000-0005-0000-0000-00002EE30000}"/>
    <cellStyle name="Обычный 12 6 3 3" xfId="60977" xr:uid="{00000000-0005-0000-0000-00002FE30000}"/>
    <cellStyle name="Обычный 12 6 4" xfId="58066" xr:uid="{00000000-0005-0000-0000-000030E30000}"/>
    <cellStyle name="Обычный 12 6 5" xfId="58067" xr:uid="{00000000-0005-0000-0000-000031E30000}"/>
    <cellStyle name="Обычный 12 7" xfId="58068" xr:uid="{00000000-0005-0000-0000-000032E30000}"/>
    <cellStyle name="Обычный 12 7 2" xfId="58069" xr:uid="{00000000-0005-0000-0000-000033E30000}"/>
    <cellStyle name="Обычный 12 7 2 2" xfId="58070" xr:uid="{00000000-0005-0000-0000-000034E30000}"/>
    <cellStyle name="Обычный 12 7 2 3" xfId="58071" xr:uid="{00000000-0005-0000-0000-000035E30000}"/>
    <cellStyle name="Обычный 12 7 3" xfId="58072" xr:uid="{00000000-0005-0000-0000-000036E30000}"/>
    <cellStyle name="Обычный 12 7 3 2" xfId="58073" xr:uid="{00000000-0005-0000-0000-000037E30000}"/>
    <cellStyle name="Обычный 12 7 3 3" xfId="60978" xr:uid="{00000000-0005-0000-0000-000038E30000}"/>
    <cellStyle name="Обычный 12 7 4" xfId="58074" xr:uid="{00000000-0005-0000-0000-000039E30000}"/>
    <cellStyle name="Обычный 12 7 5" xfId="58075" xr:uid="{00000000-0005-0000-0000-00003AE30000}"/>
    <cellStyle name="Обычный 12 8" xfId="58076" xr:uid="{00000000-0005-0000-0000-00003BE30000}"/>
    <cellStyle name="Обычный 12 8 2" xfId="58077" xr:uid="{00000000-0005-0000-0000-00003CE30000}"/>
    <cellStyle name="Обычный 12 8 2 2" xfId="58078" xr:uid="{00000000-0005-0000-0000-00003DE30000}"/>
    <cellStyle name="Обычный 12 8 2 3" xfId="58079" xr:uid="{00000000-0005-0000-0000-00003EE30000}"/>
    <cellStyle name="Обычный 12 8 3" xfId="58080" xr:uid="{00000000-0005-0000-0000-00003FE30000}"/>
    <cellStyle name="Обычный 12 8 3 2" xfId="58081" xr:uid="{00000000-0005-0000-0000-000040E30000}"/>
    <cellStyle name="Обычный 12 8 3 3" xfId="60979" xr:uid="{00000000-0005-0000-0000-000041E30000}"/>
    <cellStyle name="Обычный 12 8 4" xfId="58082" xr:uid="{00000000-0005-0000-0000-000042E30000}"/>
    <cellStyle name="Обычный 12 8 5" xfId="58083" xr:uid="{00000000-0005-0000-0000-000043E30000}"/>
    <cellStyle name="Обычный 12 9" xfId="58084" xr:uid="{00000000-0005-0000-0000-000044E30000}"/>
    <cellStyle name="Обычный 12 9 2" xfId="58085" xr:uid="{00000000-0005-0000-0000-000045E30000}"/>
    <cellStyle name="Обычный 12 9 2 2" xfId="58086" xr:uid="{00000000-0005-0000-0000-000046E30000}"/>
    <cellStyle name="Обычный 12 9 2 3" xfId="58087" xr:uid="{00000000-0005-0000-0000-000047E30000}"/>
    <cellStyle name="Обычный 12 9 3" xfId="58088" xr:uid="{00000000-0005-0000-0000-000048E30000}"/>
    <cellStyle name="Обычный 12 9 3 2" xfId="58089" xr:uid="{00000000-0005-0000-0000-000049E30000}"/>
    <cellStyle name="Обычный 12 9 3 3" xfId="60980" xr:uid="{00000000-0005-0000-0000-00004AE30000}"/>
    <cellStyle name="Обычный 12 9 4" xfId="58090" xr:uid="{00000000-0005-0000-0000-00004BE30000}"/>
    <cellStyle name="Обычный 12 9 5" xfId="58091" xr:uid="{00000000-0005-0000-0000-00004CE30000}"/>
    <cellStyle name="Обычный 12_объемы 2018г111" xfId="60981" xr:uid="{00000000-0005-0000-0000-00004DE30000}"/>
    <cellStyle name="Обычный 120" xfId="58092" xr:uid="{00000000-0005-0000-0000-00004EE30000}"/>
    <cellStyle name="Обычный 121" xfId="58093" xr:uid="{00000000-0005-0000-0000-00004FE30000}"/>
    <cellStyle name="Обычный 122" xfId="58094" xr:uid="{00000000-0005-0000-0000-000050E30000}"/>
    <cellStyle name="Обычный 123" xfId="58095" xr:uid="{00000000-0005-0000-0000-000051E30000}"/>
    <cellStyle name="Обычный 124" xfId="58096" xr:uid="{00000000-0005-0000-0000-000052E30000}"/>
    <cellStyle name="Обычный 125" xfId="58097" xr:uid="{00000000-0005-0000-0000-000053E30000}"/>
    <cellStyle name="Обычный 126" xfId="58098" xr:uid="{00000000-0005-0000-0000-000054E30000}"/>
    <cellStyle name="Обычный 127" xfId="58099" xr:uid="{00000000-0005-0000-0000-000055E30000}"/>
    <cellStyle name="Обычный 128" xfId="58100" xr:uid="{00000000-0005-0000-0000-000056E30000}"/>
    <cellStyle name="Обычный 129" xfId="58101" xr:uid="{00000000-0005-0000-0000-000057E30000}"/>
    <cellStyle name="Обычный 13" xfId="58102" xr:uid="{00000000-0005-0000-0000-000058E30000}"/>
    <cellStyle name="Обычный 13 10" xfId="58103" xr:uid="{00000000-0005-0000-0000-000059E30000}"/>
    <cellStyle name="Обычный 13 10 2" xfId="58104" xr:uid="{00000000-0005-0000-0000-00005AE30000}"/>
    <cellStyle name="Обычный 13 10 2 2" xfId="58105" xr:uid="{00000000-0005-0000-0000-00005BE30000}"/>
    <cellStyle name="Обычный 13 10 2 3" xfId="58106" xr:uid="{00000000-0005-0000-0000-00005CE30000}"/>
    <cellStyle name="Обычный 13 10 3" xfId="58107" xr:uid="{00000000-0005-0000-0000-00005DE30000}"/>
    <cellStyle name="Обычный 13 10 3 2" xfId="58108" xr:uid="{00000000-0005-0000-0000-00005EE30000}"/>
    <cellStyle name="Обычный 13 10 3 3" xfId="60982" xr:uid="{00000000-0005-0000-0000-00005FE30000}"/>
    <cellStyle name="Обычный 13 10 4" xfId="58109" xr:uid="{00000000-0005-0000-0000-000060E30000}"/>
    <cellStyle name="Обычный 13 10 5" xfId="58110" xr:uid="{00000000-0005-0000-0000-000061E30000}"/>
    <cellStyle name="Обычный 13 11" xfId="58111" xr:uid="{00000000-0005-0000-0000-000062E30000}"/>
    <cellStyle name="Обычный 13 11 2" xfId="58112" xr:uid="{00000000-0005-0000-0000-000063E30000}"/>
    <cellStyle name="Обычный 13 11 2 2" xfId="58113" xr:uid="{00000000-0005-0000-0000-000064E30000}"/>
    <cellStyle name="Обычный 13 11 2 3" xfId="58114" xr:uid="{00000000-0005-0000-0000-000065E30000}"/>
    <cellStyle name="Обычный 13 11 3" xfId="58115" xr:uid="{00000000-0005-0000-0000-000066E30000}"/>
    <cellStyle name="Обычный 13 11 3 2" xfId="58116" xr:uid="{00000000-0005-0000-0000-000067E30000}"/>
    <cellStyle name="Обычный 13 11 3 3" xfId="60983" xr:uid="{00000000-0005-0000-0000-000068E30000}"/>
    <cellStyle name="Обычный 13 11 4" xfId="58117" xr:uid="{00000000-0005-0000-0000-000069E30000}"/>
    <cellStyle name="Обычный 13 11 5" xfId="58118" xr:uid="{00000000-0005-0000-0000-00006AE30000}"/>
    <cellStyle name="Обычный 13 12" xfId="58119" xr:uid="{00000000-0005-0000-0000-00006BE30000}"/>
    <cellStyle name="Обычный 13 12 2" xfId="58120" xr:uid="{00000000-0005-0000-0000-00006CE30000}"/>
    <cellStyle name="Обычный 13 12 2 2" xfId="58121" xr:uid="{00000000-0005-0000-0000-00006DE30000}"/>
    <cellStyle name="Обычный 13 12 2 3" xfId="58122" xr:uid="{00000000-0005-0000-0000-00006EE30000}"/>
    <cellStyle name="Обычный 13 12 3" xfId="58123" xr:uid="{00000000-0005-0000-0000-00006FE30000}"/>
    <cellStyle name="Обычный 13 12 3 2" xfId="58124" xr:uid="{00000000-0005-0000-0000-000070E30000}"/>
    <cellStyle name="Обычный 13 12 3 3" xfId="60984" xr:uid="{00000000-0005-0000-0000-000071E30000}"/>
    <cellStyle name="Обычный 13 12 4" xfId="58125" xr:uid="{00000000-0005-0000-0000-000072E30000}"/>
    <cellStyle name="Обычный 13 12 5" xfId="58126" xr:uid="{00000000-0005-0000-0000-000073E30000}"/>
    <cellStyle name="Обычный 13 13" xfId="58127" xr:uid="{00000000-0005-0000-0000-000074E30000}"/>
    <cellStyle name="Обычный 13 13 2" xfId="58128" xr:uid="{00000000-0005-0000-0000-000075E30000}"/>
    <cellStyle name="Обычный 13 13 2 2" xfId="58129" xr:uid="{00000000-0005-0000-0000-000076E30000}"/>
    <cellStyle name="Обычный 13 13 2 3" xfId="58130" xr:uid="{00000000-0005-0000-0000-000077E30000}"/>
    <cellStyle name="Обычный 13 13 3" xfId="58131" xr:uid="{00000000-0005-0000-0000-000078E30000}"/>
    <cellStyle name="Обычный 13 13 3 2" xfId="58132" xr:uid="{00000000-0005-0000-0000-000079E30000}"/>
    <cellStyle name="Обычный 13 13 3 3" xfId="60985" xr:uid="{00000000-0005-0000-0000-00007AE30000}"/>
    <cellStyle name="Обычный 13 13 4" xfId="58133" xr:uid="{00000000-0005-0000-0000-00007BE30000}"/>
    <cellStyle name="Обычный 13 13 5" xfId="58134" xr:uid="{00000000-0005-0000-0000-00007CE30000}"/>
    <cellStyle name="Обычный 13 14" xfId="58135" xr:uid="{00000000-0005-0000-0000-00007DE30000}"/>
    <cellStyle name="Обычный 13 14 2" xfId="58136" xr:uid="{00000000-0005-0000-0000-00007EE30000}"/>
    <cellStyle name="Обычный 13 14 2 2" xfId="58137" xr:uid="{00000000-0005-0000-0000-00007FE30000}"/>
    <cellStyle name="Обычный 13 14 2 3" xfId="58138" xr:uid="{00000000-0005-0000-0000-000080E30000}"/>
    <cellStyle name="Обычный 13 14 3" xfId="58139" xr:uid="{00000000-0005-0000-0000-000081E30000}"/>
    <cellStyle name="Обычный 13 14 3 2" xfId="58140" xr:uid="{00000000-0005-0000-0000-000082E30000}"/>
    <cellStyle name="Обычный 13 14 3 3" xfId="60986" xr:uid="{00000000-0005-0000-0000-000083E30000}"/>
    <cellStyle name="Обычный 13 14 4" xfId="58141" xr:uid="{00000000-0005-0000-0000-000084E30000}"/>
    <cellStyle name="Обычный 13 14 5" xfId="58142" xr:uid="{00000000-0005-0000-0000-000085E30000}"/>
    <cellStyle name="Обычный 13 15" xfId="58143" xr:uid="{00000000-0005-0000-0000-000086E30000}"/>
    <cellStyle name="Обычный 13 15 2" xfId="58144" xr:uid="{00000000-0005-0000-0000-000087E30000}"/>
    <cellStyle name="Обычный 13 15 2 2" xfId="58145" xr:uid="{00000000-0005-0000-0000-000088E30000}"/>
    <cellStyle name="Обычный 13 15 2 3" xfId="58146" xr:uid="{00000000-0005-0000-0000-000089E30000}"/>
    <cellStyle name="Обычный 13 15 3" xfId="58147" xr:uid="{00000000-0005-0000-0000-00008AE30000}"/>
    <cellStyle name="Обычный 13 15 3 2" xfId="58148" xr:uid="{00000000-0005-0000-0000-00008BE30000}"/>
    <cellStyle name="Обычный 13 15 3 3" xfId="60987" xr:uid="{00000000-0005-0000-0000-00008CE30000}"/>
    <cellStyle name="Обычный 13 15 4" xfId="58149" xr:uid="{00000000-0005-0000-0000-00008DE30000}"/>
    <cellStyle name="Обычный 13 15 5" xfId="58150" xr:uid="{00000000-0005-0000-0000-00008EE30000}"/>
    <cellStyle name="Обычный 13 16" xfId="58151" xr:uid="{00000000-0005-0000-0000-00008FE30000}"/>
    <cellStyle name="Обычный 13 16 2" xfId="58152" xr:uid="{00000000-0005-0000-0000-000090E30000}"/>
    <cellStyle name="Обычный 13 16 2 2" xfId="58153" xr:uid="{00000000-0005-0000-0000-000091E30000}"/>
    <cellStyle name="Обычный 13 16 2 3" xfId="58154" xr:uid="{00000000-0005-0000-0000-000092E30000}"/>
    <cellStyle name="Обычный 13 16 3" xfId="58155" xr:uid="{00000000-0005-0000-0000-000093E30000}"/>
    <cellStyle name="Обычный 13 16 3 2" xfId="58156" xr:uid="{00000000-0005-0000-0000-000094E30000}"/>
    <cellStyle name="Обычный 13 16 3 3" xfId="60988" xr:uid="{00000000-0005-0000-0000-000095E30000}"/>
    <cellStyle name="Обычный 13 16 4" xfId="58157" xr:uid="{00000000-0005-0000-0000-000096E30000}"/>
    <cellStyle name="Обычный 13 16 5" xfId="58158" xr:uid="{00000000-0005-0000-0000-000097E30000}"/>
    <cellStyle name="Обычный 13 17" xfId="58159" xr:uid="{00000000-0005-0000-0000-000098E30000}"/>
    <cellStyle name="Обычный 13 17 2" xfId="58160" xr:uid="{00000000-0005-0000-0000-000099E30000}"/>
    <cellStyle name="Обычный 13 17 3" xfId="58161" xr:uid="{00000000-0005-0000-0000-00009AE30000}"/>
    <cellStyle name="Обычный 13 18" xfId="58162" xr:uid="{00000000-0005-0000-0000-00009BE30000}"/>
    <cellStyle name="Обычный 13 18 2" xfId="58163" xr:uid="{00000000-0005-0000-0000-00009CE30000}"/>
    <cellStyle name="Обычный 13 18 3" xfId="60989" xr:uid="{00000000-0005-0000-0000-00009DE30000}"/>
    <cellStyle name="Обычный 13 19" xfId="58164" xr:uid="{00000000-0005-0000-0000-00009EE30000}"/>
    <cellStyle name="Обычный 13 2" xfId="58165" xr:uid="{00000000-0005-0000-0000-00009FE30000}"/>
    <cellStyle name="Обычный 13 2 2" xfId="58166" xr:uid="{00000000-0005-0000-0000-0000A0E30000}"/>
    <cellStyle name="Обычный 13 2 2 2" xfId="58167" xr:uid="{00000000-0005-0000-0000-0000A1E30000}"/>
    <cellStyle name="Обычный 13 2 2 2 2" xfId="58168" xr:uid="{00000000-0005-0000-0000-0000A2E30000}"/>
    <cellStyle name="Обычный 13 2 2 2 2 2" xfId="58169" xr:uid="{00000000-0005-0000-0000-0000A3E30000}"/>
    <cellStyle name="Обычный 13 2 2 2 2 3" xfId="58170" xr:uid="{00000000-0005-0000-0000-0000A4E30000}"/>
    <cellStyle name="Обычный 13 2 2 2 3" xfId="58171" xr:uid="{00000000-0005-0000-0000-0000A5E30000}"/>
    <cellStyle name="Обычный 13 2 2 2 3 2" xfId="58172" xr:uid="{00000000-0005-0000-0000-0000A6E30000}"/>
    <cellStyle name="Обычный 13 2 2 2 3 3" xfId="60990" xr:uid="{00000000-0005-0000-0000-0000A7E30000}"/>
    <cellStyle name="Обычный 13 2 2 2 4" xfId="58173" xr:uid="{00000000-0005-0000-0000-0000A8E30000}"/>
    <cellStyle name="Обычный 13 2 2 2 5" xfId="58174" xr:uid="{00000000-0005-0000-0000-0000A9E30000}"/>
    <cellStyle name="Обычный 13 2 2 3" xfId="58175" xr:uid="{00000000-0005-0000-0000-0000AAE30000}"/>
    <cellStyle name="Обычный 13 2 2 3 2" xfId="58176" xr:uid="{00000000-0005-0000-0000-0000ABE30000}"/>
    <cellStyle name="Обычный 13 2 2 3 3" xfId="58177" xr:uid="{00000000-0005-0000-0000-0000ACE30000}"/>
    <cellStyle name="Обычный 13 2 2 4" xfId="58178" xr:uid="{00000000-0005-0000-0000-0000ADE30000}"/>
    <cellStyle name="Обычный 13 2 2 4 2" xfId="58179" xr:uid="{00000000-0005-0000-0000-0000AEE30000}"/>
    <cellStyle name="Обычный 13 2 2 4 3" xfId="60991" xr:uid="{00000000-0005-0000-0000-0000AFE30000}"/>
    <cellStyle name="Обычный 13 2 2 5" xfId="58180" xr:uid="{00000000-0005-0000-0000-0000B0E30000}"/>
    <cellStyle name="Обычный 13 2 2 6" xfId="58181" xr:uid="{00000000-0005-0000-0000-0000B1E30000}"/>
    <cellStyle name="Обычный 13 2 2_объемы 2018г111" xfId="60992" xr:uid="{00000000-0005-0000-0000-0000B2E30000}"/>
    <cellStyle name="Обычный 13 2 3" xfId="58182" xr:uid="{00000000-0005-0000-0000-0000B3E30000}"/>
    <cellStyle name="Обычный 13 2 3 2" xfId="58183" xr:uid="{00000000-0005-0000-0000-0000B4E30000}"/>
    <cellStyle name="Обычный 13 2 3 2 2" xfId="58184" xr:uid="{00000000-0005-0000-0000-0000B5E30000}"/>
    <cellStyle name="Обычный 13 2 3 2 3" xfId="58185" xr:uid="{00000000-0005-0000-0000-0000B6E30000}"/>
    <cellStyle name="Обычный 13 2 3 3" xfId="58186" xr:uid="{00000000-0005-0000-0000-0000B7E30000}"/>
    <cellStyle name="Обычный 13 2 3 3 2" xfId="58187" xr:uid="{00000000-0005-0000-0000-0000B8E30000}"/>
    <cellStyle name="Обычный 13 2 3 3 3" xfId="60993" xr:uid="{00000000-0005-0000-0000-0000B9E30000}"/>
    <cellStyle name="Обычный 13 2 3 4" xfId="58188" xr:uid="{00000000-0005-0000-0000-0000BAE30000}"/>
    <cellStyle name="Обычный 13 2 3 5" xfId="58189" xr:uid="{00000000-0005-0000-0000-0000BBE30000}"/>
    <cellStyle name="Обычный 13 2 4" xfId="58190" xr:uid="{00000000-0005-0000-0000-0000BCE30000}"/>
    <cellStyle name="Обычный 13 2 4 2" xfId="58191" xr:uid="{00000000-0005-0000-0000-0000BDE30000}"/>
    <cellStyle name="Обычный 13 2 4 3" xfId="58192" xr:uid="{00000000-0005-0000-0000-0000BEE30000}"/>
    <cellStyle name="Обычный 13 2 5" xfId="58193" xr:uid="{00000000-0005-0000-0000-0000BFE30000}"/>
    <cellStyle name="Обычный 13 2 5 2" xfId="58194" xr:uid="{00000000-0005-0000-0000-0000C0E30000}"/>
    <cellStyle name="Обычный 13 2 5 3" xfId="60994" xr:uid="{00000000-0005-0000-0000-0000C1E30000}"/>
    <cellStyle name="Обычный 13 2 6" xfId="58195" xr:uid="{00000000-0005-0000-0000-0000C2E30000}"/>
    <cellStyle name="Обычный 13 2 7" xfId="58196" xr:uid="{00000000-0005-0000-0000-0000C3E30000}"/>
    <cellStyle name="Обычный 13 2_объемы 2018г111" xfId="60995" xr:uid="{00000000-0005-0000-0000-0000C4E30000}"/>
    <cellStyle name="Обычный 13 20" xfId="58197" xr:uid="{00000000-0005-0000-0000-0000C5E30000}"/>
    <cellStyle name="Обычный 13 3" xfId="58198" xr:uid="{00000000-0005-0000-0000-0000C6E30000}"/>
    <cellStyle name="Обычный 13 3 2" xfId="58199" xr:uid="{00000000-0005-0000-0000-0000C7E30000}"/>
    <cellStyle name="Обычный 13 3 2 2" xfId="58200" xr:uid="{00000000-0005-0000-0000-0000C8E30000}"/>
    <cellStyle name="Обычный 13 3 2 2 2" xfId="58201" xr:uid="{00000000-0005-0000-0000-0000C9E30000}"/>
    <cellStyle name="Обычный 13 3 2 2 3" xfId="58202" xr:uid="{00000000-0005-0000-0000-0000CAE30000}"/>
    <cellStyle name="Обычный 13 3 2 3" xfId="58203" xr:uid="{00000000-0005-0000-0000-0000CBE30000}"/>
    <cellStyle name="Обычный 13 3 2 3 2" xfId="58204" xr:uid="{00000000-0005-0000-0000-0000CCE30000}"/>
    <cellStyle name="Обычный 13 3 2 3 3" xfId="60996" xr:uid="{00000000-0005-0000-0000-0000CDE30000}"/>
    <cellStyle name="Обычный 13 3 2 4" xfId="58205" xr:uid="{00000000-0005-0000-0000-0000CEE30000}"/>
    <cellStyle name="Обычный 13 3 2 5" xfId="58206" xr:uid="{00000000-0005-0000-0000-0000CFE30000}"/>
    <cellStyle name="Обычный 13 3 3" xfId="58207" xr:uid="{00000000-0005-0000-0000-0000D0E30000}"/>
    <cellStyle name="Обычный 13 3 3 2" xfId="58208" xr:uid="{00000000-0005-0000-0000-0000D1E30000}"/>
    <cellStyle name="Обычный 13 3 3 3" xfId="58209" xr:uid="{00000000-0005-0000-0000-0000D2E30000}"/>
    <cellStyle name="Обычный 13 3 4" xfId="58210" xr:uid="{00000000-0005-0000-0000-0000D3E30000}"/>
    <cellStyle name="Обычный 13 3 4 2" xfId="58211" xr:uid="{00000000-0005-0000-0000-0000D4E30000}"/>
    <cellStyle name="Обычный 13 3 4 3" xfId="60997" xr:uid="{00000000-0005-0000-0000-0000D5E30000}"/>
    <cellStyle name="Обычный 13 3 5" xfId="58212" xr:uid="{00000000-0005-0000-0000-0000D6E30000}"/>
    <cellStyle name="Обычный 13 3 6" xfId="58213" xr:uid="{00000000-0005-0000-0000-0000D7E30000}"/>
    <cellStyle name="Обычный 13 3_объемы 2018г111" xfId="60998" xr:uid="{00000000-0005-0000-0000-0000D8E30000}"/>
    <cellStyle name="Обычный 13 4" xfId="58214" xr:uid="{00000000-0005-0000-0000-0000D9E30000}"/>
    <cellStyle name="Обычный 13 4 2" xfId="58215" xr:uid="{00000000-0005-0000-0000-0000DAE30000}"/>
    <cellStyle name="Обычный 13 4 2 2" xfId="58216" xr:uid="{00000000-0005-0000-0000-0000DBE30000}"/>
    <cellStyle name="Обычный 13 4 2 3" xfId="58217" xr:uid="{00000000-0005-0000-0000-0000DCE30000}"/>
    <cellStyle name="Обычный 13 4 3" xfId="58218" xr:uid="{00000000-0005-0000-0000-0000DDE30000}"/>
    <cellStyle name="Обычный 13 4 3 2" xfId="58219" xr:uid="{00000000-0005-0000-0000-0000DEE30000}"/>
    <cellStyle name="Обычный 13 4 3 3" xfId="60999" xr:uid="{00000000-0005-0000-0000-0000DFE30000}"/>
    <cellStyle name="Обычный 13 4 4" xfId="58220" xr:uid="{00000000-0005-0000-0000-0000E0E30000}"/>
    <cellStyle name="Обычный 13 4 5" xfId="58221" xr:uid="{00000000-0005-0000-0000-0000E1E30000}"/>
    <cellStyle name="Обычный 13 5" xfId="58222" xr:uid="{00000000-0005-0000-0000-0000E2E30000}"/>
    <cellStyle name="Обычный 13 5 2" xfId="58223" xr:uid="{00000000-0005-0000-0000-0000E3E30000}"/>
    <cellStyle name="Обычный 13 5 2 2" xfId="58224" xr:uid="{00000000-0005-0000-0000-0000E4E30000}"/>
    <cellStyle name="Обычный 13 5 2 3" xfId="58225" xr:uid="{00000000-0005-0000-0000-0000E5E30000}"/>
    <cellStyle name="Обычный 13 5 3" xfId="58226" xr:uid="{00000000-0005-0000-0000-0000E6E30000}"/>
    <cellStyle name="Обычный 13 5 3 2" xfId="58227" xr:uid="{00000000-0005-0000-0000-0000E7E30000}"/>
    <cellStyle name="Обычный 13 5 3 3" xfId="61000" xr:uid="{00000000-0005-0000-0000-0000E8E30000}"/>
    <cellStyle name="Обычный 13 5 4" xfId="58228" xr:uid="{00000000-0005-0000-0000-0000E9E30000}"/>
    <cellStyle name="Обычный 13 5 5" xfId="58229" xr:uid="{00000000-0005-0000-0000-0000EAE30000}"/>
    <cellStyle name="Обычный 13 6" xfId="58230" xr:uid="{00000000-0005-0000-0000-0000EBE30000}"/>
    <cellStyle name="Обычный 13 6 2" xfId="58231" xr:uid="{00000000-0005-0000-0000-0000ECE30000}"/>
    <cellStyle name="Обычный 13 6 2 2" xfId="58232" xr:uid="{00000000-0005-0000-0000-0000EDE30000}"/>
    <cellStyle name="Обычный 13 6 2 3" xfId="58233" xr:uid="{00000000-0005-0000-0000-0000EEE30000}"/>
    <cellStyle name="Обычный 13 6 3" xfId="58234" xr:uid="{00000000-0005-0000-0000-0000EFE30000}"/>
    <cellStyle name="Обычный 13 6 3 2" xfId="58235" xr:uid="{00000000-0005-0000-0000-0000F0E30000}"/>
    <cellStyle name="Обычный 13 6 3 3" xfId="61001" xr:uid="{00000000-0005-0000-0000-0000F1E30000}"/>
    <cellStyle name="Обычный 13 6 4" xfId="58236" xr:uid="{00000000-0005-0000-0000-0000F2E30000}"/>
    <cellStyle name="Обычный 13 6 5" xfId="58237" xr:uid="{00000000-0005-0000-0000-0000F3E30000}"/>
    <cellStyle name="Обычный 13 7" xfId="58238" xr:uid="{00000000-0005-0000-0000-0000F4E30000}"/>
    <cellStyle name="Обычный 13 7 2" xfId="58239" xr:uid="{00000000-0005-0000-0000-0000F5E30000}"/>
    <cellStyle name="Обычный 13 7 2 2" xfId="58240" xr:uid="{00000000-0005-0000-0000-0000F6E30000}"/>
    <cellStyle name="Обычный 13 7 2 3" xfId="58241" xr:uid="{00000000-0005-0000-0000-0000F7E30000}"/>
    <cellStyle name="Обычный 13 7 3" xfId="58242" xr:uid="{00000000-0005-0000-0000-0000F8E30000}"/>
    <cellStyle name="Обычный 13 7 3 2" xfId="58243" xr:uid="{00000000-0005-0000-0000-0000F9E30000}"/>
    <cellStyle name="Обычный 13 7 3 3" xfId="61002" xr:uid="{00000000-0005-0000-0000-0000FAE30000}"/>
    <cellStyle name="Обычный 13 7 4" xfId="58244" xr:uid="{00000000-0005-0000-0000-0000FBE30000}"/>
    <cellStyle name="Обычный 13 7 5" xfId="58245" xr:uid="{00000000-0005-0000-0000-0000FCE30000}"/>
    <cellStyle name="Обычный 13 8" xfId="58246" xr:uid="{00000000-0005-0000-0000-0000FDE30000}"/>
    <cellStyle name="Обычный 13 8 2" xfId="58247" xr:uid="{00000000-0005-0000-0000-0000FEE30000}"/>
    <cellStyle name="Обычный 13 8 2 2" xfId="58248" xr:uid="{00000000-0005-0000-0000-0000FFE30000}"/>
    <cellStyle name="Обычный 13 8 2 3" xfId="58249" xr:uid="{00000000-0005-0000-0000-000000E40000}"/>
    <cellStyle name="Обычный 13 8 3" xfId="58250" xr:uid="{00000000-0005-0000-0000-000001E40000}"/>
    <cellStyle name="Обычный 13 8 3 2" xfId="58251" xr:uid="{00000000-0005-0000-0000-000002E40000}"/>
    <cellStyle name="Обычный 13 8 3 3" xfId="61003" xr:uid="{00000000-0005-0000-0000-000003E40000}"/>
    <cellStyle name="Обычный 13 8 4" xfId="58252" xr:uid="{00000000-0005-0000-0000-000004E40000}"/>
    <cellStyle name="Обычный 13 8 5" xfId="58253" xr:uid="{00000000-0005-0000-0000-000005E40000}"/>
    <cellStyle name="Обычный 13 9" xfId="58254" xr:uid="{00000000-0005-0000-0000-000006E40000}"/>
    <cellStyle name="Обычный 13 9 2" xfId="58255" xr:uid="{00000000-0005-0000-0000-000007E40000}"/>
    <cellStyle name="Обычный 13 9 2 2" xfId="58256" xr:uid="{00000000-0005-0000-0000-000008E40000}"/>
    <cellStyle name="Обычный 13 9 2 3" xfId="58257" xr:uid="{00000000-0005-0000-0000-000009E40000}"/>
    <cellStyle name="Обычный 13 9 3" xfId="58258" xr:uid="{00000000-0005-0000-0000-00000AE40000}"/>
    <cellStyle name="Обычный 13 9 3 2" xfId="58259" xr:uid="{00000000-0005-0000-0000-00000BE40000}"/>
    <cellStyle name="Обычный 13 9 3 3" xfId="61004" xr:uid="{00000000-0005-0000-0000-00000CE40000}"/>
    <cellStyle name="Обычный 13 9 4" xfId="58260" xr:uid="{00000000-0005-0000-0000-00000DE40000}"/>
    <cellStyle name="Обычный 13 9 5" xfId="58261" xr:uid="{00000000-0005-0000-0000-00000EE40000}"/>
    <cellStyle name="Обычный 13_объемы 2018г111" xfId="61005" xr:uid="{00000000-0005-0000-0000-00000FE40000}"/>
    <cellStyle name="Обычный 130" xfId="58262" xr:uid="{00000000-0005-0000-0000-000010E40000}"/>
    <cellStyle name="Обычный 131" xfId="58263" xr:uid="{00000000-0005-0000-0000-000011E40000}"/>
    <cellStyle name="Обычный 132" xfId="58264" xr:uid="{00000000-0005-0000-0000-000012E40000}"/>
    <cellStyle name="Обычный 133" xfId="58265" xr:uid="{00000000-0005-0000-0000-000013E40000}"/>
    <cellStyle name="Обычный 134" xfId="58266" xr:uid="{00000000-0005-0000-0000-000014E40000}"/>
    <cellStyle name="Обычный 135" xfId="58267" xr:uid="{00000000-0005-0000-0000-000015E40000}"/>
    <cellStyle name="Обычный 136" xfId="58268" xr:uid="{00000000-0005-0000-0000-000016E40000}"/>
    <cellStyle name="Обычный 137" xfId="58269" xr:uid="{00000000-0005-0000-0000-000017E40000}"/>
    <cellStyle name="Обычный 138" xfId="58270" xr:uid="{00000000-0005-0000-0000-000018E40000}"/>
    <cellStyle name="Обычный 139" xfId="58271" xr:uid="{00000000-0005-0000-0000-000019E40000}"/>
    <cellStyle name="Обычный 14" xfId="58272" xr:uid="{00000000-0005-0000-0000-00001AE40000}"/>
    <cellStyle name="Обычный 14 10" xfId="58273" xr:uid="{00000000-0005-0000-0000-00001BE40000}"/>
    <cellStyle name="Обычный 14 10 2" xfId="58274" xr:uid="{00000000-0005-0000-0000-00001CE40000}"/>
    <cellStyle name="Обычный 14 10 2 2" xfId="58275" xr:uid="{00000000-0005-0000-0000-00001DE40000}"/>
    <cellStyle name="Обычный 14 10 2 3" xfId="58276" xr:uid="{00000000-0005-0000-0000-00001EE40000}"/>
    <cellStyle name="Обычный 14 10 3" xfId="58277" xr:uid="{00000000-0005-0000-0000-00001FE40000}"/>
    <cellStyle name="Обычный 14 10 3 2" xfId="58278" xr:uid="{00000000-0005-0000-0000-000020E40000}"/>
    <cellStyle name="Обычный 14 10 3 3" xfId="61006" xr:uid="{00000000-0005-0000-0000-000021E40000}"/>
    <cellStyle name="Обычный 14 10 4" xfId="58279" xr:uid="{00000000-0005-0000-0000-000022E40000}"/>
    <cellStyle name="Обычный 14 10 5" xfId="58280" xr:uid="{00000000-0005-0000-0000-000023E40000}"/>
    <cellStyle name="Обычный 14 11" xfId="58281" xr:uid="{00000000-0005-0000-0000-000024E40000}"/>
    <cellStyle name="Обычный 14 11 2" xfId="58282" xr:uid="{00000000-0005-0000-0000-000025E40000}"/>
    <cellStyle name="Обычный 14 11 2 2" xfId="58283" xr:uid="{00000000-0005-0000-0000-000026E40000}"/>
    <cellStyle name="Обычный 14 11 2 3" xfId="58284" xr:uid="{00000000-0005-0000-0000-000027E40000}"/>
    <cellStyle name="Обычный 14 11 3" xfId="58285" xr:uid="{00000000-0005-0000-0000-000028E40000}"/>
    <cellStyle name="Обычный 14 11 3 2" xfId="58286" xr:uid="{00000000-0005-0000-0000-000029E40000}"/>
    <cellStyle name="Обычный 14 11 3 3" xfId="61007" xr:uid="{00000000-0005-0000-0000-00002AE40000}"/>
    <cellStyle name="Обычный 14 11 4" xfId="58287" xr:uid="{00000000-0005-0000-0000-00002BE40000}"/>
    <cellStyle name="Обычный 14 11 5" xfId="58288" xr:uid="{00000000-0005-0000-0000-00002CE40000}"/>
    <cellStyle name="Обычный 14 12" xfId="58289" xr:uid="{00000000-0005-0000-0000-00002DE40000}"/>
    <cellStyle name="Обычный 14 12 2" xfId="58290" xr:uid="{00000000-0005-0000-0000-00002EE40000}"/>
    <cellStyle name="Обычный 14 12 2 2" xfId="58291" xr:uid="{00000000-0005-0000-0000-00002FE40000}"/>
    <cellStyle name="Обычный 14 12 2 3" xfId="58292" xr:uid="{00000000-0005-0000-0000-000030E40000}"/>
    <cellStyle name="Обычный 14 12 3" xfId="58293" xr:uid="{00000000-0005-0000-0000-000031E40000}"/>
    <cellStyle name="Обычный 14 12 3 2" xfId="58294" xr:uid="{00000000-0005-0000-0000-000032E40000}"/>
    <cellStyle name="Обычный 14 12 3 3" xfId="61008" xr:uid="{00000000-0005-0000-0000-000033E40000}"/>
    <cellStyle name="Обычный 14 12 4" xfId="58295" xr:uid="{00000000-0005-0000-0000-000034E40000}"/>
    <cellStyle name="Обычный 14 12 5" xfId="58296" xr:uid="{00000000-0005-0000-0000-000035E40000}"/>
    <cellStyle name="Обычный 14 13" xfId="58297" xr:uid="{00000000-0005-0000-0000-000036E40000}"/>
    <cellStyle name="Обычный 14 13 2" xfId="58298" xr:uid="{00000000-0005-0000-0000-000037E40000}"/>
    <cellStyle name="Обычный 14 13 2 2" xfId="58299" xr:uid="{00000000-0005-0000-0000-000038E40000}"/>
    <cellStyle name="Обычный 14 13 2 3" xfId="58300" xr:uid="{00000000-0005-0000-0000-000039E40000}"/>
    <cellStyle name="Обычный 14 13 3" xfId="58301" xr:uid="{00000000-0005-0000-0000-00003AE40000}"/>
    <cellStyle name="Обычный 14 13 3 2" xfId="58302" xr:uid="{00000000-0005-0000-0000-00003BE40000}"/>
    <cellStyle name="Обычный 14 13 3 3" xfId="61009" xr:uid="{00000000-0005-0000-0000-00003CE40000}"/>
    <cellStyle name="Обычный 14 13 4" xfId="58303" xr:uid="{00000000-0005-0000-0000-00003DE40000}"/>
    <cellStyle name="Обычный 14 13 5" xfId="58304" xr:uid="{00000000-0005-0000-0000-00003EE40000}"/>
    <cellStyle name="Обычный 14 14" xfId="58305" xr:uid="{00000000-0005-0000-0000-00003FE40000}"/>
    <cellStyle name="Обычный 14 14 2" xfId="58306" xr:uid="{00000000-0005-0000-0000-000040E40000}"/>
    <cellStyle name="Обычный 14 14 2 2" xfId="58307" xr:uid="{00000000-0005-0000-0000-000041E40000}"/>
    <cellStyle name="Обычный 14 14 2 3" xfId="58308" xr:uid="{00000000-0005-0000-0000-000042E40000}"/>
    <cellStyle name="Обычный 14 14 3" xfId="58309" xr:uid="{00000000-0005-0000-0000-000043E40000}"/>
    <cellStyle name="Обычный 14 14 3 2" xfId="58310" xr:uid="{00000000-0005-0000-0000-000044E40000}"/>
    <cellStyle name="Обычный 14 14 3 3" xfId="61010" xr:uid="{00000000-0005-0000-0000-000045E40000}"/>
    <cellStyle name="Обычный 14 14 4" xfId="58311" xr:uid="{00000000-0005-0000-0000-000046E40000}"/>
    <cellStyle name="Обычный 14 14 5" xfId="58312" xr:uid="{00000000-0005-0000-0000-000047E40000}"/>
    <cellStyle name="Обычный 14 15" xfId="58313" xr:uid="{00000000-0005-0000-0000-000048E40000}"/>
    <cellStyle name="Обычный 14 15 2" xfId="58314" xr:uid="{00000000-0005-0000-0000-000049E40000}"/>
    <cellStyle name="Обычный 14 15 2 2" xfId="58315" xr:uid="{00000000-0005-0000-0000-00004AE40000}"/>
    <cellStyle name="Обычный 14 15 2 3" xfId="58316" xr:uid="{00000000-0005-0000-0000-00004BE40000}"/>
    <cellStyle name="Обычный 14 15 3" xfId="58317" xr:uid="{00000000-0005-0000-0000-00004CE40000}"/>
    <cellStyle name="Обычный 14 15 3 2" xfId="58318" xr:uid="{00000000-0005-0000-0000-00004DE40000}"/>
    <cellStyle name="Обычный 14 15 3 3" xfId="61011" xr:uid="{00000000-0005-0000-0000-00004EE40000}"/>
    <cellStyle name="Обычный 14 15 4" xfId="58319" xr:uid="{00000000-0005-0000-0000-00004FE40000}"/>
    <cellStyle name="Обычный 14 15 5" xfId="58320" xr:uid="{00000000-0005-0000-0000-000050E40000}"/>
    <cellStyle name="Обычный 14 16" xfId="58321" xr:uid="{00000000-0005-0000-0000-000051E40000}"/>
    <cellStyle name="Обычный 14 16 2" xfId="58322" xr:uid="{00000000-0005-0000-0000-000052E40000}"/>
    <cellStyle name="Обычный 14 16 2 2" xfId="58323" xr:uid="{00000000-0005-0000-0000-000053E40000}"/>
    <cellStyle name="Обычный 14 16 2 3" xfId="58324" xr:uid="{00000000-0005-0000-0000-000054E40000}"/>
    <cellStyle name="Обычный 14 16 3" xfId="58325" xr:uid="{00000000-0005-0000-0000-000055E40000}"/>
    <cellStyle name="Обычный 14 16 3 2" xfId="58326" xr:uid="{00000000-0005-0000-0000-000056E40000}"/>
    <cellStyle name="Обычный 14 16 3 3" xfId="61012" xr:uid="{00000000-0005-0000-0000-000057E40000}"/>
    <cellStyle name="Обычный 14 16 4" xfId="58327" xr:uid="{00000000-0005-0000-0000-000058E40000}"/>
    <cellStyle name="Обычный 14 16 5" xfId="58328" xr:uid="{00000000-0005-0000-0000-000059E40000}"/>
    <cellStyle name="Обычный 14 17" xfId="58329" xr:uid="{00000000-0005-0000-0000-00005AE40000}"/>
    <cellStyle name="Обычный 14 17 2" xfId="58330" xr:uid="{00000000-0005-0000-0000-00005BE40000}"/>
    <cellStyle name="Обычный 14 17 3" xfId="58331" xr:uid="{00000000-0005-0000-0000-00005CE40000}"/>
    <cellStyle name="Обычный 14 18" xfId="58332" xr:uid="{00000000-0005-0000-0000-00005DE40000}"/>
    <cellStyle name="Обычный 14 18 2" xfId="58333" xr:uid="{00000000-0005-0000-0000-00005EE40000}"/>
    <cellStyle name="Обычный 14 18 3" xfId="61013" xr:uid="{00000000-0005-0000-0000-00005FE40000}"/>
    <cellStyle name="Обычный 14 19" xfId="58334" xr:uid="{00000000-0005-0000-0000-000060E40000}"/>
    <cellStyle name="Обычный 14 2" xfId="58335" xr:uid="{00000000-0005-0000-0000-000061E40000}"/>
    <cellStyle name="Обычный 14 2 2" xfId="58336" xr:uid="{00000000-0005-0000-0000-000062E40000}"/>
    <cellStyle name="Обычный 14 2 2 2" xfId="58337" xr:uid="{00000000-0005-0000-0000-000063E40000}"/>
    <cellStyle name="Обычный 14 2 2 2 2" xfId="58338" xr:uid="{00000000-0005-0000-0000-000064E40000}"/>
    <cellStyle name="Обычный 14 2 2 2 2 2" xfId="58339" xr:uid="{00000000-0005-0000-0000-000065E40000}"/>
    <cellStyle name="Обычный 14 2 2 2 2 3" xfId="58340" xr:uid="{00000000-0005-0000-0000-000066E40000}"/>
    <cellStyle name="Обычный 14 2 2 2 3" xfId="58341" xr:uid="{00000000-0005-0000-0000-000067E40000}"/>
    <cellStyle name="Обычный 14 2 2 2 3 2" xfId="58342" xr:uid="{00000000-0005-0000-0000-000068E40000}"/>
    <cellStyle name="Обычный 14 2 2 2 3 3" xfId="61014" xr:uid="{00000000-0005-0000-0000-000069E40000}"/>
    <cellStyle name="Обычный 14 2 2 2 4" xfId="58343" xr:uid="{00000000-0005-0000-0000-00006AE40000}"/>
    <cellStyle name="Обычный 14 2 2 2 5" xfId="58344" xr:uid="{00000000-0005-0000-0000-00006BE40000}"/>
    <cellStyle name="Обычный 14 2 2 3" xfId="58345" xr:uid="{00000000-0005-0000-0000-00006CE40000}"/>
    <cellStyle name="Обычный 14 2 2 3 2" xfId="58346" xr:uid="{00000000-0005-0000-0000-00006DE40000}"/>
    <cellStyle name="Обычный 14 2 2 3 3" xfId="58347" xr:uid="{00000000-0005-0000-0000-00006EE40000}"/>
    <cellStyle name="Обычный 14 2 2 4" xfId="58348" xr:uid="{00000000-0005-0000-0000-00006FE40000}"/>
    <cellStyle name="Обычный 14 2 2 4 2" xfId="58349" xr:uid="{00000000-0005-0000-0000-000070E40000}"/>
    <cellStyle name="Обычный 14 2 2 4 3" xfId="61015" xr:uid="{00000000-0005-0000-0000-000071E40000}"/>
    <cellStyle name="Обычный 14 2 2 5" xfId="58350" xr:uid="{00000000-0005-0000-0000-000072E40000}"/>
    <cellStyle name="Обычный 14 2 2 6" xfId="58351" xr:uid="{00000000-0005-0000-0000-000073E40000}"/>
    <cellStyle name="Обычный 14 2 2_объемы 2018г111" xfId="61016" xr:uid="{00000000-0005-0000-0000-000074E40000}"/>
    <cellStyle name="Обычный 14 2 3" xfId="58352" xr:uid="{00000000-0005-0000-0000-000075E40000}"/>
    <cellStyle name="Обычный 14 2 3 2" xfId="58353" xr:uid="{00000000-0005-0000-0000-000076E40000}"/>
    <cellStyle name="Обычный 14 2 3 2 2" xfId="58354" xr:uid="{00000000-0005-0000-0000-000077E40000}"/>
    <cellStyle name="Обычный 14 2 3 2 3" xfId="58355" xr:uid="{00000000-0005-0000-0000-000078E40000}"/>
    <cellStyle name="Обычный 14 2 3 3" xfId="58356" xr:uid="{00000000-0005-0000-0000-000079E40000}"/>
    <cellStyle name="Обычный 14 2 3 3 2" xfId="58357" xr:uid="{00000000-0005-0000-0000-00007AE40000}"/>
    <cellStyle name="Обычный 14 2 3 3 3" xfId="61017" xr:uid="{00000000-0005-0000-0000-00007BE40000}"/>
    <cellStyle name="Обычный 14 2 3 4" xfId="58358" xr:uid="{00000000-0005-0000-0000-00007CE40000}"/>
    <cellStyle name="Обычный 14 2 3 5" xfId="58359" xr:uid="{00000000-0005-0000-0000-00007DE40000}"/>
    <cellStyle name="Обычный 14 2 4" xfId="58360" xr:uid="{00000000-0005-0000-0000-00007EE40000}"/>
    <cellStyle name="Обычный 14 2 4 2" xfId="58361" xr:uid="{00000000-0005-0000-0000-00007FE40000}"/>
    <cellStyle name="Обычный 14 2 4 3" xfId="58362" xr:uid="{00000000-0005-0000-0000-000080E40000}"/>
    <cellStyle name="Обычный 14 2 5" xfId="58363" xr:uid="{00000000-0005-0000-0000-000081E40000}"/>
    <cellStyle name="Обычный 14 2 5 2" xfId="58364" xr:uid="{00000000-0005-0000-0000-000082E40000}"/>
    <cellStyle name="Обычный 14 2 5 3" xfId="61018" xr:uid="{00000000-0005-0000-0000-000083E40000}"/>
    <cellStyle name="Обычный 14 2 6" xfId="58365" xr:uid="{00000000-0005-0000-0000-000084E40000}"/>
    <cellStyle name="Обычный 14 2 7" xfId="58366" xr:uid="{00000000-0005-0000-0000-000085E40000}"/>
    <cellStyle name="Обычный 14 2_объемы 2018г111" xfId="61019" xr:uid="{00000000-0005-0000-0000-000086E40000}"/>
    <cellStyle name="Обычный 14 20" xfId="58367" xr:uid="{00000000-0005-0000-0000-000087E40000}"/>
    <cellStyle name="Обычный 14 3" xfId="58368" xr:uid="{00000000-0005-0000-0000-000088E40000}"/>
    <cellStyle name="Обычный 14 3 2" xfId="58369" xr:uid="{00000000-0005-0000-0000-000089E40000}"/>
    <cellStyle name="Обычный 14 3 2 2" xfId="58370" xr:uid="{00000000-0005-0000-0000-00008AE40000}"/>
    <cellStyle name="Обычный 14 3 2 2 2" xfId="58371" xr:uid="{00000000-0005-0000-0000-00008BE40000}"/>
    <cellStyle name="Обычный 14 3 2 2 3" xfId="58372" xr:uid="{00000000-0005-0000-0000-00008CE40000}"/>
    <cellStyle name="Обычный 14 3 2 3" xfId="58373" xr:uid="{00000000-0005-0000-0000-00008DE40000}"/>
    <cellStyle name="Обычный 14 3 2 3 2" xfId="58374" xr:uid="{00000000-0005-0000-0000-00008EE40000}"/>
    <cellStyle name="Обычный 14 3 2 3 3" xfId="61020" xr:uid="{00000000-0005-0000-0000-00008FE40000}"/>
    <cellStyle name="Обычный 14 3 2 4" xfId="58375" xr:uid="{00000000-0005-0000-0000-000090E40000}"/>
    <cellStyle name="Обычный 14 3 2 5" xfId="58376" xr:uid="{00000000-0005-0000-0000-000091E40000}"/>
    <cellStyle name="Обычный 14 3 3" xfId="58377" xr:uid="{00000000-0005-0000-0000-000092E40000}"/>
    <cellStyle name="Обычный 14 3 3 2" xfId="58378" xr:uid="{00000000-0005-0000-0000-000093E40000}"/>
    <cellStyle name="Обычный 14 3 3 3" xfId="58379" xr:uid="{00000000-0005-0000-0000-000094E40000}"/>
    <cellStyle name="Обычный 14 3 4" xfId="58380" xr:uid="{00000000-0005-0000-0000-000095E40000}"/>
    <cellStyle name="Обычный 14 3 4 2" xfId="58381" xr:uid="{00000000-0005-0000-0000-000096E40000}"/>
    <cellStyle name="Обычный 14 3 4 3" xfId="61021" xr:uid="{00000000-0005-0000-0000-000097E40000}"/>
    <cellStyle name="Обычный 14 3 5" xfId="58382" xr:uid="{00000000-0005-0000-0000-000098E40000}"/>
    <cellStyle name="Обычный 14 3 6" xfId="58383" xr:uid="{00000000-0005-0000-0000-000099E40000}"/>
    <cellStyle name="Обычный 14 3_объемы 2018г111" xfId="61022" xr:uid="{00000000-0005-0000-0000-00009AE40000}"/>
    <cellStyle name="Обычный 14 4" xfId="58384" xr:uid="{00000000-0005-0000-0000-00009BE40000}"/>
    <cellStyle name="Обычный 14 4 2" xfId="58385" xr:uid="{00000000-0005-0000-0000-00009CE40000}"/>
    <cellStyle name="Обычный 14 4 2 2" xfId="58386" xr:uid="{00000000-0005-0000-0000-00009DE40000}"/>
    <cellStyle name="Обычный 14 4 2 3" xfId="58387" xr:uid="{00000000-0005-0000-0000-00009EE40000}"/>
    <cellStyle name="Обычный 14 4 3" xfId="58388" xr:uid="{00000000-0005-0000-0000-00009FE40000}"/>
    <cellStyle name="Обычный 14 4 3 2" xfId="58389" xr:uid="{00000000-0005-0000-0000-0000A0E40000}"/>
    <cellStyle name="Обычный 14 4 3 3" xfId="61023" xr:uid="{00000000-0005-0000-0000-0000A1E40000}"/>
    <cellStyle name="Обычный 14 4 4" xfId="58390" xr:uid="{00000000-0005-0000-0000-0000A2E40000}"/>
    <cellStyle name="Обычный 14 4 5" xfId="58391" xr:uid="{00000000-0005-0000-0000-0000A3E40000}"/>
    <cellStyle name="Обычный 14 5" xfId="58392" xr:uid="{00000000-0005-0000-0000-0000A4E40000}"/>
    <cellStyle name="Обычный 14 5 2" xfId="58393" xr:uid="{00000000-0005-0000-0000-0000A5E40000}"/>
    <cellStyle name="Обычный 14 5 2 2" xfId="58394" xr:uid="{00000000-0005-0000-0000-0000A6E40000}"/>
    <cellStyle name="Обычный 14 5 2 3" xfId="58395" xr:uid="{00000000-0005-0000-0000-0000A7E40000}"/>
    <cellStyle name="Обычный 14 5 3" xfId="58396" xr:uid="{00000000-0005-0000-0000-0000A8E40000}"/>
    <cellStyle name="Обычный 14 5 3 2" xfId="58397" xr:uid="{00000000-0005-0000-0000-0000A9E40000}"/>
    <cellStyle name="Обычный 14 5 3 3" xfId="61024" xr:uid="{00000000-0005-0000-0000-0000AAE40000}"/>
    <cellStyle name="Обычный 14 5 4" xfId="58398" xr:uid="{00000000-0005-0000-0000-0000ABE40000}"/>
    <cellStyle name="Обычный 14 5 5" xfId="58399" xr:uid="{00000000-0005-0000-0000-0000ACE40000}"/>
    <cellStyle name="Обычный 14 6" xfId="58400" xr:uid="{00000000-0005-0000-0000-0000ADE40000}"/>
    <cellStyle name="Обычный 14 6 2" xfId="58401" xr:uid="{00000000-0005-0000-0000-0000AEE40000}"/>
    <cellStyle name="Обычный 14 6 2 2" xfId="58402" xr:uid="{00000000-0005-0000-0000-0000AFE40000}"/>
    <cellStyle name="Обычный 14 6 2 3" xfId="58403" xr:uid="{00000000-0005-0000-0000-0000B0E40000}"/>
    <cellStyle name="Обычный 14 6 3" xfId="58404" xr:uid="{00000000-0005-0000-0000-0000B1E40000}"/>
    <cellStyle name="Обычный 14 6 3 2" xfId="58405" xr:uid="{00000000-0005-0000-0000-0000B2E40000}"/>
    <cellStyle name="Обычный 14 6 3 3" xfId="61025" xr:uid="{00000000-0005-0000-0000-0000B3E40000}"/>
    <cellStyle name="Обычный 14 6 4" xfId="58406" xr:uid="{00000000-0005-0000-0000-0000B4E40000}"/>
    <cellStyle name="Обычный 14 6 5" xfId="58407" xr:uid="{00000000-0005-0000-0000-0000B5E40000}"/>
    <cellStyle name="Обычный 14 7" xfId="58408" xr:uid="{00000000-0005-0000-0000-0000B6E40000}"/>
    <cellStyle name="Обычный 14 7 2" xfId="58409" xr:uid="{00000000-0005-0000-0000-0000B7E40000}"/>
    <cellStyle name="Обычный 14 7 2 2" xfId="58410" xr:uid="{00000000-0005-0000-0000-0000B8E40000}"/>
    <cellStyle name="Обычный 14 7 2 3" xfId="58411" xr:uid="{00000000-0005-0000-0000-0000B9E40000}"/>
    <cellStyle name="Обычный 14 7 3" xfId="58412" xr:uid="{00000000-0005-0000-0000-0000BAE40000}"/>
    <cellStyle name="Обычный 14 7 3 2" xfId="58413" xr:uid="{00000000-0005-0000-0000-0000BBE40000}"/>
    <cellStyle name="Обычный 14 7 3 3" xfId="61026" xr:uid="{00000000-0005-0000-0000-0000BCE40000}"/>
    <cellStyle name="Обычный 14 7 4" xfId="58414" xr:uid="{00000000-0005-0000-0000-0000BDE40000}"/>
    <cellStyle name="Обычный 14 7 5" xfId="58415" xr:uid="{00000000-0005-0000-0000-0000BEE40000}"/>
    <cellStyle name="Обычный 14 8" xfId="58416" xr:uid="{00000000-0005-0000-0000-0000BFE40000}"/>
    <cellStyle name="Обычный 14 8 2" xfId="58417" xr:uid="{00000000-0005-0000-0000-0000C0E40000}"/>
    <cellStyle name="Обычный 14 8 2 2" xfId="58418" xr:uid="{00000000-0005-0000-0000-0000C1E40000}"/>
    <cellStyle name="Обычный 14 8 2 3" xfId="58419" xr:uid="{00000000-0005-0000-0000-0000C2E40000}"/>
    <cellStyle name="Обычный 14 8 3" xfId="58420" xr:uid="{00000000-0005-0000-0000-0000C3E40000}"/>
    <cellStyle name="Обычный 14 8 3 2" xfId="58421" xr:uid="{00000000-0005-0000-0000-0000C4E40000}"/>
    <cellStyle name="Обычный 14 8 3 3" xfId="61027" xr:uid="{00000000-0005-0000-0000-0000C5E40000}"/>
    <cellStyle name="Обычный 14 8 4" xfId="58422" xr:uid="{00000000-0005-0000-0000-0000C6E40000}"/>
    <cellStyle name="Обычный 14 8 5" xfId="58423" xr:uid="{00000000-0005-0000-0000-0000C7E40000}"/>
    <cellStyle name="Обычный 14 9" xfId="58424" xr:uid="{00000000-0005-0000-0000-0000C8E40000}"/>
    <cellStyle name="Обычный 14 9 2" xfId="58425" xr:uid="{00000000-0005-0000-0000-0000C9E40000}"/>
    <cellStyle name="Обычный 14 9 2 2" xfId="58426" xr:uid="{00000000-0005-0000-0000-0000CAE40000}"/>
    <cellStyle name="Обычный 14 9 2 3" xfId="58427" xr:uid="{00000000-0005-0000-0000-0000CBE40000}"/>
    <cellStyle name="Обычный 14 9 3" xfId="58428" xr:uid="{00000000-0005-0000-0000-0000CCE40000}"/>
    <cellStyle name="Обычный 14 9 3 2" xfId="58429" xr:uid="{00000000-0005-0000-0000-0000CDE40000}"/>
    <cellStyle name="Обычный 14 9 3 3" xfId="61028" xr:uid="{00000000-0005-0000-0000-0000CEE40000}"/>
    <cellStyle name="Обычный 14 9 4" xfId="58430" xr:uid="{00000000-0005-0000-0000-0000CFE40000}"/>
    <cellStyle name="Обычный 14 9 5" xfId="58431" xr:uid="{00000000-0005-0000-0000-0000D0E40000}"/>
    <cellStyle name="Обычный 14_объемы 2018г111" xfId="61029" xr:uid="{00000000-0005-0000-0000-0000D1E40000}"/>
    <cellStyle name="Обычный 140" xfId="61247" xr:uid="{00000000-0005-0000-0000-0000D2E40000}"/>
    <cellStyle name="Обычный 140 2" xfId="61268" xr:uid="{00000000-0005-0000-0000-0000D3E40000}"/>
    <cellStyle name="Обычный 140 3" xfId="61269" xr:uid="{00000000-0005-0000-0000-0000D4E40000}"/>
    <cellStyle name="Обычный 141" xfId="61248" xr:uid="{00000000-0005-0000-0000-0000D5E40000}"/>
    <cellStyle name="Обычный 142" xfId="61250" xr:uid="{00000000-0005-0000-0000-0000D6E40000}"/>
    <cellStyle name="Обычный 143" xfId="61254" xr:uid="{00000000-0005-0000-0000-0000D7E40000}"/>
    <cellStyle name="Обычный 143 2" xfId="61263" xr:uid="{00000000-0005-0000-0000-0000D8E40000}"/>
    <cellStyle name="Обычный 143 3" xfId="61298" xr:uid="{00000000-0005-0000-0000-0000D9E40000}"/>
    <cellStyle name="Обычный 143 4" xfId="61299" xr:uid="{00000000-0005-0000-0000-0000DAE40000}"/>
    <cellStyle name="Обычный 143 5" xfId="61305" xr:uid="{00000000-0005-0000-0000-0000DBE40000}"/>
    <cellStyle name="Обычный 143 6" xfId="61313" xr:uid="{005930BB-200A-4CCC-A553-DA7E5697E23C}"/>
    <cellStyle name="Обычный 144" xfId="61293" xr:uid="{00000000-0005-0000-0000-0000DCE40000}"/>
    <cellStyle name="Обычный 145" xfId="61304" xr:uid="{00000000-0005-0000-0000-0000DDE40000}"/>
    <cellStyle name="Обычный 15" xfId="58432" xr:uid="{00000000-0005-0000-0000-0000DEE40000}"/>
    <cellStyle name="Обычный 15 10" xfId="58433" xr:uid="{00000000-0005-0000-0000-0000DFE40000}"/>
    <cellStyle name="Обычный 15 10 2" xfId="58434" xr:uid="{00000000-0005-0000-0000-0000E0E40000}"/>
    <cellStyle name="Обычный 15 10 2 2" xfId="58435" xr:uid="{00000000-0005-0000-0000-0000E1E40000}"/>
    <cellStyle name="Обычный 15 10 2 3" xfId="58436" xr:uid="{00000000-0005-0000-0000-0000E2E40000}"/>
    <cellStyle name="Обычный 15 10 3" xfId="58437" xr:uid="{00000000-0005-0000-0000-0000E3E40000}"/>
    <cellStyle name="Обычный 15 10 3 2" xfId="58438" xr:uid="{00000000-0005-0000-0000-0000E4E40000}"/>
    <cellStyle name="Обычный 15 10 3 3" xfId="61030" xr:uid="{00000000-0005-0000-0000-0000E5E40000}"/>
    <cellStyle name="Обычный 15 10 4" xfId="58439" xr:uid="{00000000-0005-0000-0000-0000E6E40000}"/>
    <cellStyle name="Обычный 15 10 5" xfId="58440" xr:uid="{00000000-0005-0000-0000-0000E7E40000}"/>
    <cellStyle name="Обычный 15 11" xfId="58441" xr:uid="{00000000-0005-0000-0000-0000E8E40000}"/>
    <cellStyle name="Обычный 15 11 2" xfId="58442" xr:uid="{00000000-0005-0000-0000-0000E9E40000}"/>
    <cellStyle name="Обычный 15 11 2 2" xfId="58443" xr:uid="{00000000-0005-0000-0000-0000EAE40000}"/>
    <cellStyle name="Обычный 15 11 2 3" xfId="58444" xr:uid="{00000000-0005-0000-0000-0000EBE40000}"/>
    <cellStyle name="Обычный 15 11 3" xfId="58445" xr:uid="{00000000-0005-0000-0000-0000ECE40000}"/>
    <cellStyle name="Обычный 15 11 3 2" xfId="58446" xr:uid="{00000000-0005-0000-0000-0000EDE40000}"/>
    <cellStyle name="Обычный 15 11 3 3" xfId="61031" xr:uid="{00000000-0005-0000-0000-0000EEE40000}"/>
    <cellStyle name="Обычный 15 11 4" xfId="58447" xr:uid="{00000000-0005-0000-0000-0000EFE40000}"/>
    <cellStyle name="Обычный 15 11 5" xfId="58448" xr:uid="{00000000-0005-0000-0000-0000F0E40000}"/>
    <cellStyle name="Обычный 15 12" xfId="58449" xr:uid="{00000000-0005-0000-0000-0000F1E40000}"/>
    <cellStyle name="Обычный 15 12 2" xfId="58450" xr:uid="{00000000-0005-0000-0000-0000F2E40000}"/>
    <cellStyle name="Обычный 15 12 2 2" xfId="58451" xr:uid="{00000000-0005-0000-0000-0000F3E40000}"/>
    <cellStyle name="Обычный 15 12 2 3" xfId="58452" xr:uid="{00000000-0005-0000-0000-0000F4E40000}"/>
    <cellStyle name="Обычный 15 12 3" xfId="58453" xr:uid="{00000000-0005-0000-0000-0000F5E40000}"/>
    <cellStyle name="Обычный 15 12 3 2" xfId="58454" xr:uid="{00000000-0005-0000-0000-0000F6E40000}"/>
    <cellStyle name="Обычный 15 12 3 3" xfId="61032" xr:uid="{00000000-0005-0000-0000-0000F7E40000}"/>
    <cellStyle name="Обычный 15 12 4" xfId="58455" xr:uid="{00000000-0005-0000-0000-0000F8E40000}"/>
    <cellStyle name="Обычный 15 12 5" xfId="58456" xr:uid="{00000000-0005-0000-0000-0000F9E40000}"/>
    <cellStyle name="Обычный 15 13" xfId="58457" xr:uid="{00000000-0005-0000-0000-0000FAE40000}"/>
    <cellStyle name="Обычный 15 13 2" xfId="58458" xr:uid="{00000000-0005-0000-0000-0000FBE40000}"/>
    <cellStyle name="Обычный 15 13 2 2" xfId="58459" xr:uid="{00000000-0005-0000-0000-0000FCE40000}"/>
    <cellStyle name="Обычный 15 13 2 3" xfId="58460" xr:uid="{00000000-0005-0000-0000-0000FDE40000}"/>
    <cellStyle name="Обычный 15 13 3" xfId="58461" xr:uid="{00000000-0005-0000-0000-0000FEE40000}"/>
    <cellStyle name="Обычный 15 13 3 2" xfId="58462" xr:uid="{00000000-0005-0000-0000-0000FFE40000}"/>
    <cellStyle name="Обычный 15 13 3 3" xfId="61033" xr:uid="{00000000-0005-0000-0000-000000E50000}"/>
    <cellStyle name="Обычный 15 13 4" xfId="58463" xr:uid="{00000000-0005-0000-0000-000001E50000}"/>
    <cellStyle name="Обычный 15 13 5" xfId="58464" xr:uid="{00000000-0005-0000-0000-000002E50000}"/>
    <cellStyle name="Обычный 15 14" xfId="58465" xr:uid="{00000000-0005-0000-0000-000003E50000}"/>
    <cellStyle name="Обычный 15 14 2" xfId="58466" xr:uid="{00000000-0005-0000-0000-000004E50000}"/>
    <cellStyle name="Обычный 15 14 2 2" xfId="58467" xr:uid="{00000000-0005-0000-0000-000005E50000}"/>
    <cellStyle name="Обычный 15 14 2 3" xfId="58468" xr:uid="{00000000-0005-0000-0000-000006E50000}"/>
    <cellStyle name="Обычный 15 14 3" xfId="58469" xr:uid="{00000000-0005-0000-0000-000007E50000}"/>
    <cellStyle name="Обычный 15 14 3 2" xfId="58470" xr:uid="{00000000-0005-0000-0000-000008E50000}"/>
    <cellStyle name="Обычный 15 14 3 3" xfId="61034" xr:uid="{00000000-0005-0000-0000-000009E50000}"/>
    <cellStyle name="Обычный 15 14 4" xfId="58471" xr:uid="{00000000-0005-0000-0000-00000AE50000}"/>
    <cellStyle name="Обычный 15 14 5" xfId="58472" xr:uid="{00000000-0005-0000-0000-00000BE50000}"/>
    <cellStyle name="Обычный 15 15" xfId="58473" xr:uid="{00000000-0005-0000-0000-00000CE50000}"/>
    <cellStyle name="Обычный 15 15 2" xfId="58474" xr:uid="{00000000-0005-0000-0000-00000DE50000}"/>
    <cellStyle name="Обычный 15 15 2 2" xfId="58475" xr:uid="{00000000-0005-0000-0000-00000EE50000}"/>
    <cellStyle name="Обычный 15 15 2 3" xfId="58476" xr:uid="{00000000-0005-0000-0000-00000FE50000}"/>
    <cellStyle name="Обычный 15 15 3" xfId="58477" xr:uid="{00000000-0005-0000-0000-000010E50000}"/>
    <cellStyle name="Обычный 15 15 3 2" xfId="58478" xr:uid="{00000000-0005-0000-0000-000011E50000}"/>
    <cellStyle name="Обычный 15 15 3 3" xfId="61035" xr:uid="{00000000-0005-0000-0000-000012E50000}"/>
    <cellStyle name="Обычный 15 15 4" xfId="58479" xr:uid="{00000000-0005-0000-0000-000013E50000}"/>
    <cellStyle name="Обычный 15 15 5" xfId="58480" xr:uid="{00000000-0005-0000-0000-000014E50000}"/>
    <cellStyle name="Обычный 15 16" xfId="58481" xr:uid="{00000000-0005-0000-0000-000015E50000}"/>
    <cellStyle name="Обычный 15 16 2" xfId="58482" xr:uid="{00000000-0005-0000-0000-000016E50000}"/>
    <cellStyle name="Обычный 15 16 2 2" xfId="58483" xr:uid="{00000000-0005-0000-0000-000017E50000}"/>
    <cellStyle name="Обычный 15 16 2 3" xfId="58484" xr:uid="{00000000-0005-0000-0000-000018E50000}"/>
    <cellStyle name="Обычный 15 16 3" xfId="58485" xr:uid="{00000000-0005-0000-0000-000019E50000}"/>
    <cellStyle name="Обычный 15 16 3 2" xfId="58486" xr:uid="{00000000-0005-0000-0000-00001AE50000}"/>
    <cellStyle name="Обычный 15 16 3 3" xfId="61036" xr:uid="{00000000-0005-0000-0000-00001BE50000}"/>
    <cellStyle name="Обычный 15 16 4" xfId="58487" xr:uid="{00000000-0005-0000-0000-00001CE50000}"/>
    <cellStyle name="Обычный 15 16 5" xfId="58488" xr:uid="{00000000-0005-0000-0000-00001DE50000}"/>
    <cellStyle name="Обычный 15 17" xfId="58489" xr:uid="{00000000-0005-0000-0000-00001EE50000}"/>
    <cellStyle name="Обычный 15 17 2" xfId="58490" xr:uid="{00000000-0005-0000-0000-00001FE50000}"/>
    <cellStyle name="Обычный 15 17 3" xfId="58491" xr:uid="{00000000-0005-0000-0000-000020E50000}"/>
    <cellStyle name="Обычный 15 18" xfId="58492" xr:uid="{00000000-0005-0000-0000-000021E50000}"/>
    <cellStyle name="Обычный 15 18 2" xfId="58493" xr:uid="{00000000-0005-0000-0000-000022E50000}"/>
    <cellStyle name="Обычный 15 18 3" xfId="61037" xr:uid="{00000000-0005-0000-0000-000023E50000}"/>
    <cellStyle name="Обычный 15 19" xfId="58494" xr:uid="{00000000-0005-0000-0000-000024E50000}"/>
    <cellStyle name="Обычный 15 2" xfId="58495" xr:uid="{00000000-0005-0000-0000-000025E50000}"/>
    <cellStyle name="Обычный 15 2 2" xfId="58496" xr:uid="{00000000-0005-0000-0000-000026E50000}"/>
    <cellStyle name="Обычный 15 2 2 2" xfId="58497" xr:uid="{00000000-0005-0000-0000-000027E50000}"/>
    <cellStyle name="Обычный 15 2 2 2 2" xfId="58498" xr:uid="{00000000-0005-0000-0000-000028E50000}"/>
    <cellStyle name="Обычный 15 2 2 2 2 2" xfId="58499" xr:uid="{00000000-0005-0000-0000-000029E50000}"/>
    <cellStyle name="Обычный 15 2 2 2 2 3" xfId="58500" xr:uid="{00000000-0005-0000-0000-00002AE50000}"/>
    <cellStyle name="Обычный 15 2 2 2 3" xfId="58501" xr:uid="{00000000-0005-0000-0000-00002BE50000}"/>
    <cellStyle name="Обычный 15 2 2 2 3 2" xfId="58502" xr:uid="{00000000-0005-0000-0000-00002CE50000}"/>
    <cellStyle name="Обычный 15 2 2 2 3 3" xfId="61038" xr:uid="{00000000-0005-0000-0000-00002DE50000}"/>
    <cellStyle name="Обычный 15 2 2 2 4" xfId="58503" xr:uid="{00000000-0005-0000-0000-00002EE50000}"/>
    <cellStyle name="Обычный 15 2 2 2 5" xfId="58504" xr:uid="{00000000-0005-0000-0000-00002FE50000}"/>
    <cellStyle name="Обычный 15 2 2 3" xfId="58505" xr:uid="{00000000-0005-0000-0000-000030E50000}"/>
    <cellStyle name="Обычный 15 2 2 3 2" xfId="58506" xr:uid="{00000000-0005-0000-0000-000031E50000}"/>
    <cellStyle name="Обычный 15 2 2 3 3" xfId="58507" xr:uid="{00000000-0005-0000-0000-000032E50000}"/>
    <cellStyle name="Обычный 15 2 2 4" xfId="58508" xr:uid="{00000000-0005-0000-0000-000033E50000}"/>
    <cellStyle name="Обычный 15 2 2 4 2" xfId="58509" xr:uid="{00000000-0005-0000-0000-000034E50000}"/>
    <cellStyle name="Обычный 15 2 2 4 3" xfId="61039" xr:uid="{00000000-0005-0000-0000-000035E50000}"/>
    <cellStyle name="Обычный 15 2 2 5" xfId="58510" xr:uid="{00000000-0005-0000-0000-000036E50000}"/>
    <cellStyle name="Обычный 15 2 2 6" xfId="58511" xr:uid="{00000000-0005-0000-0000-000037E50000}"/>
    <cellStyle name="Обычный 15 2 2_объемы 2018г111" xfId="61040" xr:uid="{00000000-0005-0000-0000-000038E50000}"/>
    <cellStyle name="Обычный 15 2 3" xfId="58512" xr:uid="{00000000-0005-0000-0000-000039E50000}"/>
    <cellStyle name="Обычный 15 2 3 2" xfId="58513" xr:uid="{00000000-0005-0000-0000-00003AE50000}"/>
    <cellStyle name="Обычный 15 2 3 2 2" xfId="58514" xr:uid="{00000000-0005-0000-0000-00003BE50000}"/>
    <cellStyle name="Обычный 15 2 3 2 3" xfId="58515" xr:uid="{00000000-0005-0000-0000-00003CE50000}"/>
    <cellStyle name="Обычный 15 2 3 3" xfId="58516" xr:uid="{00000000-0005-0000-0000-00003DE50000}"/>
    <cellStyle name="Обычный 15 2 3 3 2" xfId="58517" xr:uid="{00000000-0005-0000-0000-00003EE50000}"/>
    <cellStyle name="Обычный 15 2 3 3 3" xfId="61041" xr:uid="{00000000-0005-0000-0000-00003FE50000}"/>
    <cellStyle name="Обычный 15 2 3 4" xfId="58518" xr:uid="{00000000-0005-0000-0000-000040E50000}"/>
    <cellStyle name="Обычный 15 2 3 5" xfId="58519" xr:uid="{00000000-0005-0000-0000-000041E50000}"/>
    <cellStyle name="Обычный 15 2 4" xfId="58520" xr:uid="{00000000-0005-0000-0000-000042E50000}"/>
    <cellStyle name="Обычный 15 2 4 2" xfId="58521" xr:uid="{00000000-0005-0000-0000-000043E50000}"/>
    <cellStyle name="Обычный 15 2 4 3" xfId="58522" xr:uid="{00000000-0005-0000-0000-000044E50000}"/>
    <cellStyle name="Обычный 15 2 4 4" xfId="58523" xr:uid="{00000000-0005-0000-0000-000045E50000}"/>
    <cellStyle name="Обычный 15 2 5" xfId="58524" xr:uid="{00000000-0005-0000-0000-000046E50000}"/>
    <cellStyle name="Обычный 15 2 5 2" xfId="58525" xr:uid="{00000000-0005-0000-0000-000047E50000}"/>
    <cellStyle name="Обычный 15 2 5 3" xfId="61042" xr:uid="{00000000-0005-0000-0000-000048E50000}"/>
    <cellStyle name="Обычный 15 2 6" xfId="58526" xr:uid="{00000000-0005-0000-0000-000049E50000}"/>
    <cellStyle name="Обычный 15 2 7" xfId="58527" xr:uid="{00000000-0005-0000-0000-00004AE50000}"/>
    <cellStyle name="Обычный 15 2_объемы 2018г111" xfId="61043" xr:uid="{00000000-0005-0000-0000-00004BE50000}"/>
    <cellStyle name="Обычный 15 20" xfId="58528" xr:uid="{00000000-0005-0000-0000-00004CE50000}"/>
    <cellStyle name="Обычный 15 3" xfId="58529" xr:uid="{00000000-0005-0000-0000-00004DE50000}"/>
    <cellStyle name="Обычный 15 3 2" xfId="58530" xr:uid="{00000000-0005-0000-0000-00004EE50000}"/>
    <cellStyle name="Обычный 15 3 2 2" xfId="58531" xr:uid="{00000000-0005-0000-0000-00004FE50000}"/>
    <cellStyle name="Обычный 15 3 2 2 2" xfId="58532" xr:uid="{00000000-0005-0000-0000-000050E50000}"/>
    <cellStyle name="Обычный 15 3 2 2 3" xfId="58533" xr:uid="{00000000-0005-0000-0000-000051E50000}"/>
    <cellStyle name="Обычный 15 3 2 3" xfId="58534" xr:uid="{00000000-0005-0000-0000-000052E50000}"/>
    <cellStyle name="Обычный 15 3 2 3 2" xfId="58535" xr:uid="{00000000-0005-0000-0000-000053E50000}"/>
    <cellStyle name="Обычный 15 3 2 3 3" xfId="61044" xr:uid="{00000000-0005-0000-0000-000054E50000}"/>
    <cellStyle name="Обычный 15 3 2 4" xfId="58536" xr:uid="{00000000-0005-0000-0000-000055E50000}"/>
    <cellStyle name="Обычный 15 3 2 5" xfId="58537" xr:uid="{00000000-0005-0000-0000-000056E50000}"/>
    <cellStyle name="Обычный 15 3 3" xfId="58538" xr:uid="{00000000-0005-0000-0000-000057E50000}"/>
    <cellStyle name="Обычный 15 3 3 2" xfId="58539" xr:uid="{00000000-0005-0000-0000-000058E50000}"/>
    <cellStyle name="Обычный 15 3 3 3" xfId="58540" xr:uid="{00000000-0005-0000-0000-000059E50000}"/>
    <cellStyle name="Обычный 15 3 4" xfId="58541" xr:uid="{00000000-0005-0000-0000-00005AE50000}"/>
    <cellStyle name="Обычный 15 3 4 2" xfId="58542" xr:uid="{00000000-0005-0000-0000-00005BE50000}"/>
    <cellStyle name="Обычный 15 3 4 3" xfId="61045" xr:uid="{00000000-0005-0000-0000-00005CE50000}"/>
    <cellStyle name="Обычный 15 3 5" xfId="58543" xr:uid="{00000000-0005-0000-0000-00005DE50000}"/>
    <cellStyle name="Обычный 15 3 6" xfId="58544" xr:uid="{00000000-0005-0000-0000-00005EE50000}"/>
    <cellStyle name="Обычный 15 3_объемы 2018г111" xfId="61046" xr:uid="{00000000-0005-0000-0000-00005FE50000}"/>
    <cellStyle name="Обычный 15 4" xfId="58545" xr:uid="{00000000-0005-0000-0000-000060E50000}"/>
    <cellStyle name="Обычный 15 4 2" xfId="58546" xr:uid="{00000000-0005-0000-0000-000061E50000}"/>
    <cellStyle name="Обычный 15 4 2 2" xfId="58547" xr:uid="{00000000-0005-0000-0000-000062E50000}"/>
    <cellStyle name="Обычный 15 4 2 3" xfId="58548" xr:uid="{00000000-0005-0000-0000-000063E50000}"/>
    <cellStyle name="Обычный 15 4 3" xfId="58549" xr:uid="{00000000-0005-0000-0000-000064E50000}"/>
    <cellStyle name="Обычный 15 4 3 2" xfId="58550" xr:uid="{00000000-0005-0000-0000-000065E50000}"/>
    <cellStyle name="Обычный 15 4 3 3" xfId="61047" xr:uid="{00000000-0005-0000-0000-000066E50000}"/>
    <cellStyle name="Обычный 15 4 4" xfId="58551" xr:uid="{00000000-0005-0000-0000-000067E50000}"/>
    <cellStyle name="Обычный 15 4 5" xfId="58552" xr:uid="{00000000-0005-0000-0000-000068E50000}"/>
    <cellStyle name="Обычный 15 5" xfId="58553" xr:uid="{00000000-0005-0000-0000-000069E50000}"/>
    <cellStyle name="Обычный 15 5 2" xfId="58554" xr:uid="{00000000-0005-0000-0000-00006AE50000}"/>
    <cellStyle name="Обычный 15 5 2 2" xfId="58555" xr:uid="{00000000-0005-0000-0000-00006BE50000}"/>
    <cellStyle name="Обычный 15 5 2 3" xfId="58556" xr:uid="{00000000-0005-0000-0000-00006CE50000}"/>
    <cellStyle name="Обычный 15 5 3" xfId="58557" xr:uid="{00000000-0005-0000-0000-00006DE50000}"/>
    <cellStyle name="Обычный 15 5 3 2" xfId="58558" xr:uid="{00000000-0005-0000-0000-00006EE50000}"/>
    <cellStyle name="Обычный 15 5 3 3" xfId="61048" xr:uid="{00000000-0005-0000-0000-00006FE50000}"/>
    <cellStyle name="Обычный 15 5 4" xfId="58559" xr:uid="{00000000-0005-0000-0000-000070E50000}"/>
    <cellStyle name="Обычный 15 5 5" xfId="58560" xr:uid="{00000000-0005-0000-0000-000071E50000}"/>
    <cellStyle name="Обычный 15 6" xfId="58561" xr:uid="{00000000-0005-0000-0000-000072E50000}"/>
    <cellStyle name="Обычный 15 6 2" xfId="58562" xr:uid="{00000000-0005-0000-0000-000073E50000}"/>
    <cellStyle name="Обычный 15 6 2 2" xfId="58563" xr:uid="{00000000-0005-0000-0000-000074E50000}"/>
    <cellStyle name="Обычный 15 6 2 3" xfId="58564" xr:uid="{00000000-0005-0000-0000-000075E50000}"/>
    <cellStyle name="Обычный 15 6 3" xfId="58565" xr:uid="{00000000-0005-0000-0000-000076E50000}"/>
    <cellStyle name="Обычный 15 6 3 2" xfId="58566" xr:uid="{00000000-0005-0000-0000-000077E50000}"/>
    <cellStyle name="Обычный 15 6 3 3" xfId="61049" xr:uid="{00000000-0005-0000-0000-000078E50000}"/>
    <cellStyle name="Обычный 15 6 4" xfId="58567" xr:uid="{00000000-0005-0000-0000-000079E50000}"/>
    <cellStyle name="Обычный 15 6 5" xfId="58568" xr:uid="{00000000-0005-0000-0000-00007AE50000}"/>
    <cellStyle name="Обычный 15 7" xfId="58569" xr:uid="{00000000-0005-0000-0000-00007BE50000}"/>
    <cellStyle name="Обычный 15 7 2" xfId="58570" xr:uid="{00000000-0005-0000-0000-00007CE50000}"/>
    <cellStyle name="Обычный 15 7 2 2" xfId="58571" xr:uid="{00000000-0005-0000-0000-00007DE50000}"/>
    <cellStyle name="Обычный 15 7 2 3" xfId="58572" xr:uid="{00000000-0005-0000-0000-00007EE50000}"/>
    <cellStyle name="Обычный 15 7 3" xfId="58573" xr:uid="{00000000-0005-0000-0000-00007FE50000}"/>
    <cellStyle name="Обычный 15 7 3 2" xfId="58574" xr:uid="{00000000-0005-0000-0000-000080E50000}"/>
    <cellStyle name="Обычный 15 7 3 3" xfId="61050" xr:uid="{00000000-0005-0000-0000-000081E50000}"/>
    <cellStyle name="Обычный 15 7 4" xfId="58575" xr:uid="{00000000-0005-0000-0000-000082E50000}"/>
    <cellStyle name="Обычный 15 7 5" xfId="58576" xr:uid="{00000000-0005-0000-0000-000083E50000}"/>
    <cellStyle name="Обычный 15 8" xfId="58577" xr:uid="{00000000-0005-0000-0000-000084E50000}"/>
    <cellStyle name="Обычный 15 8 2" xfId="58578" xr:uid="{00000000-0005-0000-0000-000085E50000}"/>
    <cellStyle name="Обычный 15 8 2 2" xfId="58579" xr:uid="{00000000-0005-0000-0000-000086E50000}"/>
    <cellStyle name="Обычный 15 8 2 3" xfId="58580" xr:uid="{00000000-0005-0000-0000-000087E50000}"/>
    <cellStyle name="Обычный 15 8 3" xfId="58581" xr:uid="{00000000-0005-0000-0000-000088E50000}"/>
    <cellStyle name="Обычный 15 8 3 2" xfId="58582" xr:uid="{00000000-0005-0000-0000-000089E50000}"/>
    <cellStyle name="Обычный 15 8 3 3" xfId="61051" xr:uid="{00000000-0005-0000-0000-00008AE50000}"/>
    <cellStyle name="Обычный 15 8 4" xfId="58583" xr:uid="{00000000-0005-0000-0000-00008BE50000}"/>
    <cellStyle name="Обычный 15 8 5" xfId="58584" xr:uid="{00000000-0005-0000-0000-00008CE50000}"/>
    <cellStyle name="Обычный 15 9" xfId="58585" xr:uid="{00000000-0005-0000-0000-00008DE50000}"/>
    <cellStyle name="Обычный 15 9 2" xfId="58586" xr:uid="{00000000-0005-0000-0000-00008EE50000}"/>
    <cellStyle name="Обычный 15 9 2 2" xfId="58587" xr:uid="{00000000-0005-0000-0000-00008FE50000}"/>
    <cellStyle name="Обычный 15 9 2 3" xfId="58588" xr:uid="{00000000-0005-0000-0000-000090E50000}"/>
    <cellStyle name="Обычный 15 9 3" xfId="58589" xr:uid="{00000000-0005-0000-0000-000091E50000}"/>
    <cellStyle name="Обычный 15 9 3 2" xfId="58590" xr:uid="{00000000-0005-0000-0000-000092E50000}"/>
    <cellStyle name="Обычный 15 9 3 3" xfId="61052" xr:uid="{00000000-0005-0000-0000-000093E50000}"/>
    <cellStyle name="Обычный 15 9 4" xfId="58591" xr:uid="{00000000-0005-0000-0000-000094E50000}"/>
    <cellStyle name="Обычный 15 9 5" xfId="58592" xr:uid="{00000000-0005-0000-0000-000095E50000}"/>
    <cellStyle name="Обычный 15_объемы 2018г111" xfId="61053" xr:uid="{00000000-0005-0000-0000-000096E50000}"/>
    <cellStyle name="Обычный 16" xfId="58593" xr:uid="{00000000-0005-0000-0000-000097E50000}"/>
    <cellStyle name="Обычный 16 2" xfId="61217" xr:uid="{00000000-0005-0000-0000-000098E50000}"/>
    <cellStyle name="Обычный 17" xfId="58594" xr:uid="{00000000-0005-0000-0000-000099E50000}"/>
    <cellStyle name="Обычный 17 2" xfId="58595" xr:uid="{00000000-0005-0000-0000-00009AE50000}"/>
    <cellStyle name="Обычный 18" xfId="58596" xr:uid="{00000000-0005-0000-0000-00009BE50000}"/>
    <cellStyle name="Обычный 18 2" xfId="58597" xr:uid="{00000000-0005-0000-0000-00009CE50000}"/>
    <cellStyle name="Обычный 18 2 2" xfId="58598" xr:uid="{00000000-0005-0000-0000-00009DE50000}"/>
    <cellStyle name="Обычный 18 2 2 2" xfId="58599" xr:uid="{00000000-0005-0000-0000-00009EE50000}"/>
    <cellStyle name="Обычный 18 2 2 2 2" xfId="58600" xr:uid="{00000000-0005-0000-0000-00009FE50000}"/>
    <cellStyle name="Обычный 18 2 2 2 3" xfId="58601" xr:uid="{00000000-0005-0000-0000-0000A0E50000}"/>
    <cellStyle name="Обычный 18 2 2 3" xfId="58602" xr:uid="{00000000-0005-0000-0000-0000A1E50000}"/>
    <cellStyle name="Обычный 18 2 2 3 2" xfId="58603" xr:uid="{00000000-0005-0000-0000-0000A2E50000}"/>
    <cellStyle name="Обычный 18 2 2 3 3" xfId="61054" xr:uid="{00000000-0005-0000-0000-0000A3E50000}"/>
    <cellStyle name="Обычный 18 2 2 4" xfId="58604" xr:uid="{00000000-0005-0000-0000-0000A4E50000}"/>
    <cellStyle name="Обычный 18 2 2 5" xfId="58605" xr:uid="{00000000-0005-0000-0000-0000A5E50000}"/>
    <cellStyle name="Обычный 18 2 3" xfId="58606" xr:uid="{00000000-0005-0000-0000-0000A6E50000}"/>
    <cellStyle name="Обычный 18 2 3 2" xfId="58607" xr:uid="{00000000-0005-0000-0000-0000A7E50000}"/>
    <cellStyle name="Обычный 18 2 3 3" xfId="58608" xr:uid="{00000000-0005-0000-0000-0000A8E50000}"/>
    <cellStyle name="Обычный 18 2 4" xfId="58609" xr:uid="{00000000-0005-0000-0000-0000A9E50000}"/>
    <cellStyle name="Обычный 18 2 4 2" xfId="58610" xr:uid="{00000000-0005-0000-0000-0000AAE50000}"/>
    <cellStyle name="Обычный 18 2 4 3" xfId="61055" xr:uid="{00000000-0005-0000-0000-0000ABE50000}"/>
    <cellStyle name="Обычный 18 2 5" xfId="58611" xr:uid="{00000000-0005-0000-0000-0000ACE50000}"/>
    <cellStyle name="Обычный 18 2 6" xfId="58612" xr:uid="{00000000-0005-0000-0000-0000ADE50000}"/>
    <cellStyle name="Обычный 18 2_объемы 2018г111" xfId="61056" xr:uid="{00000000-0005-0000-0000-0000AEE50000}"/>
    <cellStyle name="Обычный 18 3" xfId="58613" xr:uid="{00000000-0005-0000-0000-0000AFE50000}"/>
    <cellStyle name="Обычный 18 3 2" xfId="58614" xr:uid="{00000000-0005-0000-0000-0000B0E50000}"/>
    <cellStyle name="Обычный 18 3 2 2" xfId="58615" xr:uid="{00000000-0005-0000-0000-0000B1E50000}"/>
    <cellStyle name="Обычный 18 3 2 3" xfId="58616" xr:uid="{00000000-0005-0000-0000-0000B2E50000}"/>
    <cellStyle name="Обычный 18 3 3" xfId="58617" xr:uid="{00000000-0005-0000-0000-0000B3E50000}"/>
    <cellStyle name="Обычный 18 3 3 2" xfId="58618" xr:uid="{00000000-0005-0000-0000-0000B4E50000}"/>
    <cellStyle name="Обычный 18 3 3 3" xfId="61057" xr:uid="{00000000-0005-0000-0000-0000B5E50000}"/>
    <cellStyle name="Обычный 18 3 4" xfId="58619" xr:uid="{00000000-0005-0000-0000-0000B6E50000}"/>
    <cellStyle name="Обычный 18 3 5" xfId="58620" xr:uid="{00000000-0005-0000-0000-0000B7E50000}"/>
    <cellStyle name="Обычный 18 4" xfId="58621" xr:uid="{00000000-0005-0000-0000-0000B8E50000}"/>
    <cellStyle name="Обычный 18 4 2" xfId="58622" xr:uid="{00000000-0005-0000-0000-0000B9E50000}"/>
    <cellStyle name="Обычный 18 4 3" xfId="58623" xr:uid="{00000000-0005-0000-0000-0000BAE50000}"/>
    <cellStyle name="Обычный 18 5" xfId="58624" xr:uid="{00000000-0005-0000-0000-0000BBE50000}"/>
    <cellStyle name="Обычный 18 5 2" xfId="58625" xr:uid="{00000000-0005-0000-0000-0000BCE50000}"/>
    <cellStyle name="Обычный 18 5 3" xfId="61058" xr:uid="{00000000-0005-0000-0000-0000BDE50000}"/>
    <cellStyle name="Обычный 18 6" xfId="58626" xr:uid="{00000000-0005-0000-0000-0000BEE50000}"/>
    <cellStyle name="Обычный 18 7" xfId="58627" xr:uid="{00000000-0005-0000-0000-0000BFE50000}"/>
    <cellStyle name="Обычный 18_объемы 2018г111" xfId="61059" xr:uid="{00000000-0005-0000-0000-0000C0E50000}"/>
    <cellStyle name="Обычный 19" xfId="58628" xr:uid="{00000000-0005-0000-0000-0000C1E50000}"/>
    <cellStyle name="Обычный 19 2" xfId="58629" xr:uid="{00000000-0005-0000-0000-0000C2E50000}"/>
    <cellStyle name="Обычный 19 2 2" xfId="58630" xr:uid="{00000000-0005-0000-0000-0000C3E50000}"/>
    <cellStyle name="Обычный 19 2 2 2" xfId="58631" xr:uid="{00000000-0005-0000-0000-0000C4E50000}"/>
    <cellStyle name="Обычный 19 2 2 2 2" xfId="58632" xr:uid="{00000000-0005-0000-0000-0000C5E50000}"/>
    <cellStyle name="Обычный 19 2 2 2 3" xfId="58633" xr:uid="{00000000-0005-0000-0000-0000C6E50000}"/>
    <cellStyle name="Обычный 19 2 2 3" xfId="58634" xr:uid="{00000000-0005-0000-0000-0000C7E50000}"/>
    <cellStyle name="Обычный 19 2 2 3 2" xfId="58635" xr:uid="{00000000-0005-0000-0000-0000C8E50000}"/>
    <cellStyle name="Обычный 19 2 2 3 3" xfId="61060" xr:uid="{00000000-0005-0000-0000-0000C9E50000}"/>
    <cellStyle name="Обычный 19 2 2 4" xfId="58636" xr:uid="{00000000-0005-0000-0000-0000CAE50000}"/>
    <cellStyle name="Обычный 19 2 2 5" xfId="58637" xr:uid="{00000000-0005-0000-0000-0000CBE50000}"/>
    <cellStyle name="Обычный 19 2 3" xfId="58638" xr:uid="{00000000-0005-0000-0000-0000CCE50000}"/>
    <cellStyle name="Обычный 19 2 3 2" xfId="58639" xr:uid="{00000000-0005-0000-0000-0000CDE50000}"/>
    <cellStyle name="Обычный 19 2 3 3" xfId="58640" xr:uid="{00000000-0005-0000-0000-0000CEE50000}"/>
    <cellStyle name="Обычный 19 2 4" xfId="58641" xr:uid="{00000000-0005-0000-0000-0000CFE50000}"/>
    <cellStyle name="Обычный 19 2 4 2" xfId="58642" xr:uid="{00000000-0005-0000-0000-0000D0E50000}"/>
    <cellStyle name="Обычный 19 2 4 3" xfId="61061" xr:uid="{00000000-0005-0000-0000-0000D1E50000}"/>
    <cellStyle name="Обычный 19 2 5" xfId="58643" xr:uid="{00000000-0005-0000-0000-0000D2E50000}"/>
    <cellStyle name="Обычный 19 2 6" xfId="58644" xr:uid="{00000000-0005-0000-0000-0000D3E50000}"/>
    <cellStyle name="Обычный 19 2_объемы 2018г111" xfId="61062" xr:uid="{00000000-0005-0000-0000-0000D4E50000}"/>
    <cellStyle name="Обычный 19 3" xfId="58645" xr:uid="{00000000-0005-0000-0000-0000D5E50000}"/>
    <cellStyle name="Обычный 19 3 2" xfId="58646" xr:uid="{00000000-0005-0000-0000-0000D6E50000}"/>
    <cellStyle name="Обычный 19 3 2 2" xfId="58647" xr:uid="{00000000-0005-0000-0000-0000D7E50000}"/>
    <cellStyle name="Обычный 19 3 2 3" xfId="58648" xr:uid="{00000000-0005-0000-0000-0000D8E50000}"/>
    <cellStyle name="Обычный 19 3 3" xfId="58649" xr:uid="{00000000-0005-0000-0000-0000D9E50000}"/>
    <cellStyle name="Обычный 19 3 3 2" xfId="58650" xr:uid="{00000000-0005-0000-0000-0000DAE50000}"/>
    <cellStyle name="Обычный 19 3 3 3" xfId="61063" xr:uid="{00000000-0005-0000-0000-0000DBE50000}"/>
    <cellStyle name="Обычный 19 3 4" xfId="58651" xr:uid="{00000000-0005-0000-0000-0000DCE50000}"/>
    <cellStyle name="Обычный 19 3 5" xfId="58652" xr:uid="{00000000-0005-0000-0000-0000DDE50000}"/>
    <cellStyle name="Обычный 19 4" xfId="58653" xr:uid="{00000000-0005-0000-0000-0000DEE50000}"/>
    <cellStyle name="Обычный 19 4 2" xfId="58654" xr:uid="{00000000-0005-0000-0000-0000DFE50000}"/>
    <cellStyle name="Обычный 19 4 2 2" xfId="58655" xr:uid="{00000000-0005-0000-0000-0000E0E50000}"/>
    <cellStyle name="Обычный 19 4 2 3" xfId="58656" xr:uid="{00000000-0005-0000-0000-0000E1E50000}"/>
    <cellStyle name="Обычный 19 4 3" xfId="58657" xr:uid="{00000000-0005-0000-0000-0000E2E50000}"/>
    <cellStyle name="Обычный 19 4 3 2" xfId="58658" xr:uid="{00000000-0005-0000-0000-0000E3E50000}"/>
    <cellStyle name="Обычный 19 4 3 3" xfId="61064" xr:uid="{00000000-0005-0000-0000-0000E4E50000}"/>
    <cellStyle name="Обычный 19 4 4" xfId="58659" xr:uid="{00000000-0005-0000-0000-0000E5E50000}"/>
    <cellStyle name="Обычный 19 4 5" xfId="58660" xr:uid="{00000000-0005-0000-0000-0000E6E50000}"/>
    <cellStyle name="Обычный 19 5" xfId="58661" xr:uid="{00000000-0005-0000-0000-0000E7E50000}"/>
    <cellStyle name="Обычный 19 5 2" xfId="58662" xr:uid="{00000000-0005-0000-0000-0000E8E50000}"/>
    <cellStyle name="Обычный 19 5 2 2" xfId="58663" xr:uid="{00000000-0005-0000-0000-0000E9E50000}"/>
    <cellStyle name="Обычный 19 5 2 3" xfId="58664" xr:uid="{00000000-0005-0000-0000-0000EAE50000}"/>
    <cellStyle name="Обычный 19 5 3" xfId="58665" xr:uid="{00000000-0005-0000-0000-0000EBE50000}"/>
    <cellStyle name="Обычный 19 5 3 2" xfId="58666" xr:uid="{00000000-0005-0000-0000-0000ECE50000}"/>
    <cellStyle name="Обычный 19 5 3 3" xfId="61065" xr:uid="{00000000-0005-0000-0000-0000EDE50000}"/>
    <cellStyle name="Обычный 19 5 4" xfId="58667" xr:uid="{00000000-0005-0000-0000-0000EEE50000}"/>
    <cellStyle name="Обычный 19 5 5" xfId="58668" xr:uid="{00000000-0005-0000-0000-0000EFE50000}"/>
    <cellStyle name="Обычный 19 6" xfId="58669" xr:uid="{00000000-0005-0000-0000-0000F0E50000}"/>
    <cellStyle name="Обычный 19 6 2" xfId="58670" xr:uid="{00000000-0005-0000-0000-0000F1E50000}"/>
    <cellStyle name="Обычный 19 6 3" xfId="58671" xr:uid="{00000000-0005-0000-0000-0000F2E50000}"/>
    <cellStyle name="Обычный 19 7" xfId="58672" xr:uid="{00000000-0005-0000-0000-0000F3E50000}"/>
    <cellStyle name="Обычный 19 7 2" xfId="58673" xr:uid="{00000000-0005-0000-0000-0000F4E50000}"/>
    <cellStyle name="Обычный 19 7 3" xfId="61066" xr:uid="{00000000-0005-0000-0000-0000F5E50000}"/>
    <cellStyle name="Обычный 19 8" xfId="58674" xr:uid="{00000000-0005-0000-0000-0000F6E50000}"/>
    <cellStyle name="Обычный 19 9" xfId="58675" xr:uid="{00000000-0005-0000-0000-0000F7E50000}"/>
    <cellStyle name="Обычный 19_объемы 2018г111" xfId="61067" xr:uid="{00000000-0005-0000-0000-0000F8E50000}"/>
    <cellStyle name="Обычный 2" xfId="2" xr:uid="{00000000-0005-0000-0000-0000F9E50000}"/>
    <cellStyle name="Обычный 2 10" xfId="16" xr:uid="{00000000-0005-0000-0000-0000FAE50000}"/>
    <cellStyle name="Обычный 2 100" xfId="58676" xr:uid="{00000000-0005-0000-0000-0000FBE50000}"/>
    <cellStyle name="Обычный 2 101" xfId="58677" xr:uid="{00000000-0005-0000-0000-0000FCE50000}"/>
    <cellStyle name="Обычный 2 102" xfId="58678" xr:uid="{00000000-0005-0000-0000-0000FDE50000}"/>
    <cellStyle name="Обычный 2 103" xfId="58679" xr:uid="{00000000-0005-0000-0000-0000FEE50000}"/>
    <cellStyle name="Обычный 2 104" xfId="58680" xr:uid="{00000000-0005-0000-0000-0000FFE50000}"/>
    <cellStyle name="Обычный 2 105" xfId="58681" xr:uid="{00000000-0005-0000-0000-000000E60000}"/>
    <cellStyle name="Обычный 2 106" xfId="58682" xr:uid="{00000000-0005-0000-0000-000001E60000}"/>
    <cellStyle name="Обычный 2 107" xfId="58683" xr:uid="{00000000-0005-0000-0000-000002E60000}"/>
    <cellStyle name="Обычный 2 108" xfId="58684" xr:uid="{00000000-0005-0000-0000-000003E60000}"/>
    <cellStyle name="Обычный 2 109" xfId="58685" xr:uid="{00000000-0005-0000-0000-000004E60000}"/>
    <cellStyle name="Обычный 2 11" xfId="58686" xr:uid="{00000000-0005-0000-0000-000005E60000}"/>
    <cellStyle name="Обычный 2 110" xfId="58687" xr:uid="{00000000-0005-0000-0000-000006E60000}"/>
    <cellStyle name="Обычный 2 111" xfId="58688" xr:uid="{00000000-0005-0000-0000-000007E60000}"/>
    <cellStyle name="Обычный 2 112" xfId="58689" xr:uid="{00000000-0005-0000-0000-000008E60000}"/>
    <cellStyle name="Обычный 2 113" xfId="58690" xr:uid="{00000000-0005-0000-0000-000009E60000}"/>
    <cellStyle name="Обычный 2 114" xfId="58691" xr:uid="{00000000-0005-0000-0000-00000AE60000}"/>
    <cellStyle name="Обычный 2 115" xfId="58692" xr:uid="{00000000-0005-0000-0000-00000BE60000}"/>
    <cellStyle name="Обычный 2 116" xfId="58693" xr:uid="{00000000-0005-0000-0000-00000CE60000}"/>
    <cellStyle name="Обычный 2 117" xfId="58694" xr:uid="{00000000-0005-0000-0000-00000DE60000}"/>
    <cellStyle name="Обычный 2 118" xfId="58695" xr:uid="{00000000-0005-0000-0000-00000EE60000}"/>
    <cellStyle name="Обычный 2 119" xfId="58696" xr:uid="{00000000-0005-0000-0000-00000FE60000}"/>
    <cellStyle name="Обычный 2 12" xfId="58697" xr:uid="{00000000-0005-0000-0000-000010E60000}"/>
    <cellStyle name="Обычный 2 120" xfId="58698" xr:uid="{00000000-0005-0000-0000-000011E60000}"/>
    <cellStyle name="Обычный 2 121" xfId="58699" xr:uid="{00000000-0005-0000-0000-000012E60000}"/>
    <cellStyle name="Обычный 2 122" xfId="58700" xr:uid="{00000000-0005-0000-0000-000013E60000}"/>
    <cellStyle name="Обычный 2 123" xfId="58701" xr:uid="{00000000-0005-0000-0000-000014E60000}"/>
    <cellStyle name="Обычный 2 124" xfId="58702" xr:uid="{00000000-0005-0000-0000-000015E60000}"/>
    <cellStyle name="Обычный 2 125" xfId="58703" xr:uid="{00000000-0005-0000-0000-000016E60000}"/>
    <cellStyle name="Обычный 2 126" xfId="58704" xr:uid="{00000000-0005-0000-0000-000017E60000}"/>
    <cellStyle name="Обычный 2 127" xfId="58705" xr:uid="{00000000-0005-0000-0000-000018E60000}"/>
    <cellStyle name="Обычный 2 128" xfId="58706" xr:uid="{00000000-0005-0000-0000-000019E60000}"/>
    <cellStyle name="Обычный 2 129" xfId="58707" xr:uid="{00000000-0005-0000-0000-00001AE60000}"/>
    <cellStyle name="Обычный 2 13" xfId="58708" xr:uid="{00000000-0005-0000-0000-00001BE60000}"/>
    <cellStyle name="Обычный 2 130" xfId="58709" xr:uid="{00000000-0005-0000-0000-00001CE60000}"/>
    <cellStyle name="Обычный 2 131" xfId="58710" xr:uid="{00000000-0005-0000-0000-00001DE60000}"/>
    <cellStyle name="Обычный 2 132" xfId="58711" xr:uid="{00000000-0005-0000-0000-00001EE60000}"/>
    <cellStyle name="Обычный 2 133" xfId="58712" xr:uid="{00000000-0005-0000-0000-00001FE60000}"/>
    <cellStyle name="Обычный 2 134" xfId="58713" xr:uid="{00000000-0005-0000-0000-000020E60000}"/>
    <cellStyle name="Обычный 2 135" xfId="58714" xr:uid="{00000000-0005-0000-0000-000021E60000}"/>
    <cellStyle name="Обычный 2 136" xfId="58715" xr:uid="{00000000-0005-0000-0000-000022E60000}"/>
    <cellStyle name="Обычный 2 136 10" xfId="61270" xr:uid="{00000000-0005-0000-0000-000023E60000}"/>
    <cellStyle name="Обычный 2 136 11" xfId="61287" xr:uid="{00000000-0005-0000-0000-000024E60000}"/>
    <cellStyle name="Обычный 2 136 11 2" xfId="61295" xr:uid="{00000000-0005-0000-0000-000025E60000}"/>
    <cellStyle name="Обычный 2 136 11 3" xfId="61312" xr:uid="{00000000-0005-0000-0000-000026E60000}"/>
    <cellStyle name="Обычный 2 136 12" xfId="61260" xr:uid="{00000000-0005-0000-0000-000027E60000}"/>
    <cellStyle name="Обычный 2 136 13" xfId="61291" xr:uid="{00000000-0005-0000-0000-000028E60000}"/>
    <cellStyle name="Обычный 2 136 14" xfId="61294" xr:uid="{00000000-0005-0000-0000-000029E60000}"/>
    <cellStyle name="Обычный 2 136 15" xfId="61303" xr:uid="{00000000-0005-0000-0000-00002AE60000}"/>
    <cellStyle name="Обычный 2 136 16" xfId="61306" xr:uid="{00000000-0005-0000-0000-00002BE60000}"/>
    <cellStyle name="Обычный 2 136 17" xfId="61310" xr:uid="{00000000-0005-0000-0000-00002CE60000}"/>
    <cellStyle name="Обычный 2 136 2" xfId="60882" xr:uid="{00000000-0005-0000-0000-00002DE60000}"/>
    <cellStyle name="Обычный 2 136 3" xfId="61191" xr:uid="{00000000-0005-0000-0000-00002EE60000}"/>
    <cellStyle name="Обычный 2 136 4" xfId="61194" xr:uid="{00000000-0005-0000-0000-00002FE60000}"/>
    <cellStyle name="Обычный 2 136 5" xfId="61211" xr:uid="{00000000-0005-0000-0000-000030E60000}"/>
    <cellStyle name="Обычный 2 136 6" xfId="61215" xr:uid="{00000000-0005-0000-0000-000031E60000}"/>
    <cellStyle name="Обычный 2 136 7" xfId="61241" xr:uid="{00000000-0005-0000-0000-000032E60000}"/>
    <cellStyle name="Обычный 2 136 7 2" xfId="61271" xr:uid="{00000000-0005-0000-0000-000033E60000}"/>
    <cellStyle name="Обычный 2 136 8" xfId="61246" xr:uid="{00000000-0005-0000-0000-000034E60000}"/>
    <cellStyle name="Обычный 2 136 9" xfId="61272" xr:uid="{00000000-0005-0000-0000-000035E60000}"/>
    <cellStyle name="Обычный 2 136 9 2" xfId="61273" xr:uid="{00000000-0005-0000-0000-000036E60000}"/>
    <cellStyle name="Обычный 2 137" xfId="18" xr:uid="{00000000-0005-0000-0000-000037E60000}"/>
    <cellStyle name="Обычный 2 138" xfId="58716" xr:uid="{00000000-0005-0000-0000-000038E60000}"/>
    <cellStyle name="Обычный 2 139" xfId="58717" xr:uid="{00000000-0005-0000-0000-000039E60000}"/>
    <cellStyle name="Обычный 2 14" xfId="58718" xr:uid="{00000000-0005-0000-0000-00003AE60000}"/>
    <cellStyle name="Обычный 2 140" xfId="58719" xr:uid="{00000000-0005-0000-0000-00003BE60000}"/>
    <cellStyle name="Обычный 2 141" xfId="61192" xr:uid="{00000000-0005-0000-0000-00003CE60000}"/>
    <cellStyle name="Обычный 2 142" xfId="61196" xr:uid="{00000000-0005-0000-0000-00003DE60000}"/>
    <cellStyle name="Обычный 2 143" xfId="61199" xr:uid="{00000000-0005-0000-0000-00003EE60000}"/>
    <cellStyle name="Обычный 2 144" xfId="61209" xr:uid="{00000000-0005-0000-0000-00003FE60000}"/>
    <cellStyle name="Обычный 2 144 2" xfId="61233" xr:uid="{00000000-0005-0000-0000-000040E60000}"/>
    <cellStyle name="Обычный 2 145" xfId="61213" xr:uid="{00000000-0005-0000-0000-000041E60000}"/>
    <cellStyle name="Обычный 2 145 2" xfId="61235" xr:uid="{00000000-0005-0000-0000-000042E60000}"/>
    <cellStyle name="Обычный 2 146" xfId="61239" xr:uid="{00000000-0005-0000-0000-000043E60000}"/>
    <cellStyle name="Обычный 2 147" xfId="61274" xr:uid="{00000000-0005-0000-0000-000044E60000}"/>
    <cellStyle name="Обычный 2 15" xfId="58720" xr:uid="{00000000-0005-0000-0000-000045E60000}"/>
    <cellStyle name="Обычный 2 16" xfId="58721" xr:uid="{00000000-0005-0000-0000-000046E60000}"/>
    <cellStyle name="Обычный 2 17" xfId="58722" xr:uid="{00000000-0005-0000-0000-000047E60000}"/>
    <cellStyle name="Обычный 2 18" xfId="58723" xr:uid="{00000000-0005-0000-0000-000048E60000}"/>
    <cellStyle name="Обычный 2 19" xfId="58724" xr:uid="{00000000-0005-0000-0000-000049E60000}"/>
    <cellStyle name="Обычный 2 2" xfId="7" xr:uid="{00000000-0005-0000-0000-00004AE60000}"/>
    <cellStyle name="Обычный 2 2 10" xfId="60884" xr:uid="{00000000-0005-0000-0000-00004BE60000}"/>
    <cellStyle name="Обычный 2 2 2" xfId="58725" xr:uid="{00000000-0005-0000-0000-00004CE60000}"/>
    <cellStyle name="Обычный 2 2 2 2" xfId="6" xr:uid="{00000000-0005-0000-0000-00004DE60000}"/>
    <cellStyle name="Обычный 2 2 2 2 2" xfId="58726" xr:uid="{00000000-0005-0000-0000-00004EE60000}"/>
    <cellStyle name="Обычный 2 2 2 3" xfId="58727" xr:uid="{00000000-0005-0000-0000-00004FE60000}"/>
    <cellStyle name="Обычный 2 2 2 3 2" xfId="58728" xr:uid="{00000000-0005-0000-0000-000050E60000}"/>
    <cellStyle name="Обычный 2 2 3" xfId="58729" xr:uid="{00000000-0005-0000-0000-000051E60000}"/>
    <cellStyle name="Обычный 2 2 3 2" xfId="58730" xr:uid="{00000000-0005-0000-0000-000052E60000}"/>
    <cellStyle name="Обычный 2 2 3 3" xfId="58731" xr:uid="{00000000-0005-0000-0000-000053E60000}"/>
    <cellStyle name="Обычный 2 2 4" xfId="58732" xr:uid="{00000000-0005-0000-0000-000054E60000}"/>
    <cellStyle name="Обычный 2 2 4 2" xfId="58733" xr:uid="{00000000-0005-0000-0000-000055E60000}"/>
    <cellStyle name="Обычный 2 2 4 3" xfId="58734" xr:uid="{00000000-0005-0000-0000-000056E60000}"/>
    <cellStyle name="Обычный 2 2 5" xfId="8" xr:uid="{00000000-0005-0000-0000-000057E60000}"/>
    <cellStyle name="Обычный 2 2 5 2" xfId="58735" xr:uid="{00000000-0005-0000-0000-000058E60000}"/>
    <cellStyle name="Обычный 2 2 5 3" xfId="58736" xr:uid="{00000000-0005-0000-0000-000059E60000}"/>
    <cellStyle name="Обычный 2 2 6" xfId="58737" xr:uid="{00000000-0005-0000-0000-00005AE60000}"/>
    <cellStyle name="Обычный 2 2 6 2" xfId="58738" xr:uid="{00000000-0005-0000-0000-00005BE60000}"/>
    <cellStyle name="Обычный 2 2 6 3" xfId="58739" xr:uid="{00000000-0005-0000-0000-00005CE60000}"/>
    <cellStyle name="Обычный 2 2 7" xfId="58740" xr:uid="{00000000-0005-0000-0000-00005DE60000}"/>
    <cellStyle name="Обычный 2 2 7 2" xfId="58741" xr:uid="{00000000-0005-0000-0000-00005EE60000}"/>
    <cellStyle name="Обычный 2 2 7 3" xfId="58742" xr:uid="{00000000-0005-0000-0000-00005FE60000}"/>
    <cellStyle name="Обычный 2 2 8" xfId="58743" xr:uid="{00000000-0005-0000-0000-000060E60000}"/>
    <cellStyle name="Обычный 2 2 9" xfId="58744" xr:uid="{00000000-0005-0000-0000-000061E60000}"/>
    <cellStyle name="Обычный 2 20" xfId="58745" xr:uid="{00000000-0005-0000-0000-000062E60000}"/>
    <cellStyle name="Обычный 2 21" xfId="58746" xr:uid="{00000000-0005-0000-0000-000063E60000}"/>
    <cellStyle name="Обычный 2 22" xfId="58747" xr:uid="{00000000-0005-0000-0000-000064E60000}"/>
    <cellStyle name="Обычный 2 23" xfId="58748" xr:uid="{00000000-0005-0000-0000-000065E60000}"/>
    <cellStyle name="Обычный 2 24" xfId="58749" xr:uid="{00000000-0005-0000-0000-000066E60000}"/>
    <cellStyle name="Обычный 2 25" xfId="58750" xr:uid="{00000000-0005-0000-0000-000067E60000}"/>
    <cellStyle name="Обычный 2 26" xfId="58751" xr:uid="{00000000-0005-0000-0000-000068E60000}"/>
    <cellStyle name="Обычный 2 27" xfId="58752" xr:uid="{00000000-0005-0000-0000-000069E60000}"/>
    <cellStyle name="Обычный 2 28" xfId="58753" xr:uid="{00000000-0005-0000-0000-00006AE60000}"/>
    <cellStyle name="Обычный 2 29" xfId="58754" xr:uid="{00000000-0005-0000-0000-00006BE60000}"/>
    <cellStyle name="Обычный 2 3" xfId="17" xr:uid="{00000000-0005-0000-0000-00006CE60000}"/>
    <cellStyle name="Обычный 2 3 2" xfId="58755" xr:uid="{00000000-0005-0000-0000-00006DE60000}"/>
    <cellStyle name="Обычный 2 3 3" xfId="58756" xr:uid="{00000000-0005-0000-0000-00006EE60000}"/>
    <cellStyle name="Обычный 2 30" xfId="58757" xr:uid="{00000000-0005-0000-0000-00006FE60000}"/>
    <cellStyle name="Обычный 2 31" xfId="58758" xr:uid="{00000000-0005-0000-0000-000070E60000}"/>
    <cellStyle name="Обычный 2 32" xfId="58759" xr:uid="{00000000-0005-0000-0000-000071E60000}"/>
    <cellStyle name="Обычный 2 33" xfId="58760" xr:uid="{00000000-0005-0000-0000-000072E60000}"/>
    <cellStyle name="Обычный 2 34" xfId="58761" xr:uid="{00000000-0005-0000-0000-000073E60000}"/>
    <cellStyle name="Обычный 2 35" xfId="58762" xr:uid="{00000000-0005-0000-0000-000074E60000}"/>
    <cellStyle name="Обычный 2 36" xfId="58763" xr:uid="{00000000-0005-0000-0000-000075E60000}"/>
    <cellStyle name="Обычный 2 37" xfId="58764" xr:uid="{00000000-0005-0000-0000-000076E60000}"/>
    <cellStyle name="Обычный 2 38" xfId="58765" xr:uid="{00000000-0005-0000-0000-000077E60000}"/>
    <cellStyle name="Обычный 2 39" xfId="58766" xr:uid="{00000000-0005-0000-0000-000078E60000}"/>
    <cellStyle name="Обычный 2 4" xfId="58767" xr:uid="{00000000-0005-0000-0000-000079E60000}"/>
    <cellStyle name="Обычный 2 4 2" xfId="61218" xr:uid="{00000000-0005-0000-0000-00007AE60000}"/>
    <cellStyle name="Обычный 2 40" xfId="58768" xr:uid="{00000000-0005-0000-0000-00007BE60000}"/>
    <cellStyle name="Обычный 2 41" xfId="58769" xr:uid="{00000000-0005-0000-0000-00007CE60000}"/>
    <cellStyle name="Обычный 2 42" xfId="58770" xr:uid="{00000000-0005-0000-0000-00007DE60000}"/>
    <cellStyle name="Обычный 2 43" xfId="58771" xr:uid="{00000000-0005-0000-0000-00007EE60000}"/>
    <cellStyle name="Обычный 2 44" xfId="58772" xr:uid="{00000000-0005-0000-0000-00007FE60000}"/>
    <cellStyle name="Обычный 2 45" xfId="58773" xr:uid="{00000000-0005-0000-0000-000080E60000}"/>
    <cellStyle name="Обычный 2 46" xfId="58774" xr:uid="{00000000-0005-0000-0000-000081E60000}"/>
    <cellStyle name="Обычный 2 47" xfId="58775" xr:uid="{00000000-0005-0000-0000-000082E60000}"/>
    <cellStyle name="Обычный 2 48" xfId="58776" xr:uid="{00000000-0005-0000-0000-000083E60000}"/>
    <cellStyle name="Обычный 2 49" xfId="58777" xr:uid="{00000000-0005-0000-0000-000084E60000}"/>
    <cellStyle name="Обычный 2 5" xfId="58778" xr:uid="{00000000-0005-0000-0000-000085E60000}"/>
    <cellStyle name="Обычный 2 5 2" xfId="58779" xr:uid="{00000000-0005-0000-0000-000086E60000}"/>
    <cellStyle name="Обычный 2 5 3" xfId="61259" xr:uid="{00000000-0005-0000-0000-000087E60000}"/>
    <cellStyle name="Обычный 2 5 4" xfId="61302" xr:uid="{00000000-0005-0000-0000-000088E60000}"/>
    <cellStyle name="Обычный 2 50" xfId="58780" xr:uid="{00000000-0005-0000-0000-000089E60000}"/>
    <cellStyle name="Обычный 2 51" xfId="58781" xr:uid="{00000000-0005-0000-0000-00008AE60000}"/>
    <cellStyle name="Обычный 2 52" xfId="58782" xr:uid="{00000000-0005-0000-0000-00008BE60000}"/>
    <cellStyle name="Обычный 2 53" xfId="58783" xr:uid="{00000000-0005-0000-0000-00008CE60000}"/>
    <cellStyle name="Обычный 2 54" xfId="58784" xr:uid="{00000000-0005-0000-0000-00008DE60000}"/>
    <cellStyle name="Обычный 2 55" xfId="58785" xr:uid="{00000000-0005-0000-0000-00008EE60000}"/>
    <cellStyle name="Обычный 2 56" xfId="58786" xr:uid="{00000000-0005-0000-0000-00008FE60000}"/>
    <cellStyle name="Обычный 2 57" xfId="58787" xr:uid="{00000000-0005-0000-0000-000090E60000}"/>
    <cellStyle name="Обычный 2 58" xfId="58788" xr:uid="{00000000-0005-0000-0000-000091E60000}"/>
    <cellStyle name="Обычный 2 59" xfId="58789" xr:uid="{00000000-0005-0000-0000-000092E60000}"/>
    <cellStyle name="Обычный 2 6" xfId="58790" xr:uid="{00000000-0005-0000-0000-000093E60000}"/>
    <cellStyle name="Обычный 2 6 2" xfId="58791" xr:uid="{00000000-0005-0000-0000-000094E60000}"/>
    <cellStyle name="Обычный 2 6 3" xfId="61219" xr:uid="{00000000-0005-0000-0000-000095E60000}"/>
    <cellStyle name="Обычный 2 60" xfId="58792" xr:uid="{00000000-0005-0000-0000-000096E60000}"/>
    <cellStyle name="Обычный 2 61" xfId="58793" xr:uid="{00000000-0005-0000-0000-000097E60000}"/>
    <cellStyle name="Обычный 2 62" xfId="58794" xr:uid="{00000000-0005-0000-0000-000098E60000}"/>
    <cellStyle name="Обычный 2 63" xfId="58795" xr:uid="{00000000-0005-0000-0000-000099E60000}"/>
    <cellStyle name="Обычный 2 64" xfId="58796" xr:uid="{00000000-0005-0000-0000-00009AE60000}"/>
    <cellStyle name="Обычный 2 65" xfId="58797" xr:uid="{00000000-0005-0000-0000-00009BE60000}"/>
    <cellStyle name="Обычный 2 66" xfId="58798" xr:uid="{00000000-0005-0000-0000-00009CE60000}"/>
    <cellStyle name="Обычный 2 67" xfId="58799" xr:uid="{00000000-0005-0000-0000-00009DE60000}"/>
    <cellStyle name="Обычный 2 68" xfId="58800" xr:uid="{00000000-0005-0000-0000-00009EE60000}"/>
    <cellStyle name="Обычный 2 69" xfId="58801" xr:uid="{00000000-0005-0000-0000-00009FE60000}"/>
    <cellStyle name="Обычный 2 7" xfId="58802" xr:uid="{00000000-0005-0000-0000-0000A0E60000}"/>
    <cellStyle name="Обычный 2 7 2" xfId="61220" xr:uid="{00000000-0005-0000-0000-0000A1E60000}"/>
    <cellStyle name="Обычный 2 70" xfId="58803" xr:uid="{00000000-0005-0000-0000-0000A2E60000}"/>
    <cellStyle name="Обычный 2 71" xfId="58804" xr:uid="{00000000-0005-0000-0000-0000A3E60000}"/>
    <cellStyle name="Обычный 2 72" xfId="58805" xr:uid="{00000000-0005-0000-0000-0000A4E60000}"/>
    <cellStyle name="Обычный 2 73" xfId="58806" xr:uid="{00000000-0005-0000-0000-0000A5E60000}"/>
    <cellStyle name="Обычный 2 74" xfId="58807" xr:uid="{00000000-0005-0000-0000-0000A6E60000}"/>
    <cellStyle name="Обычный 2 75" xfId="58808" xr:uid="{00000000-0005-0000-0000-0000A7E60000}"/>
    <cellStyle name="Обычный 2 76" xfId="58809" xr:uid="{00000000-0005-0000-0000-0000A8E60000}"/>
    <cellStyle name="Обычный 2 77" xfId="58810" xr:uid="{00000000-0005-0000-0000-0000A9E60000}"/>
    <cellStyle name="Обычный 2 78" xfId="58811" xr:uid="{00000000-0005-0000-0000-0000AAE60000}"/>
    <cellStyle name="Обычный 2 79" xfId="58812" xr:uid="{00000000-0005-0000-0000-0000ABE60000}"/>
    <cellStyle name="Обычный 2 8" xfId="58813" xr:uid="{00000000-0005-0000-0000-0000ACE60000}"/>
    <cellStyle name="Обычный 2 80" xfId="58814" xr:uid="{00000000-0005-0000-0000-0000ADE60000}"/>
    <cellStyle name="Обычный 2 81" xfId="58815" xr:uid="{00000000-0005-0000-0000-0000AEE60000}"/>
    <cellStyle name="Обычный 2 82" xfId="58816" xr:uid="{00000000-0005-0000-0000-0000AFE60000}"/>
    <cellStyle name="Обычный 2 83" xfId="58817" xr:uid="{00000000-0005-0000-0000-0000B0E60000}"/>
    <cellStyle name="Обычный 2 84" xfId="58818" xr:uid="{00000000-0005-0000-0000-0000B1E60000}"/>
    <cellStyle name="Обычный 2 85" xfId="58819" xr:uid="{00000000-0005-0000-0000-0000B2E60000}"/>
    <cellStyle name="Обычный 2 86" xfId="58820" xr:uid="{00000000-0005-0000-0000-0000B3E60000}"/>
    <cellStyle name="Обычный 2 87" xfId="58821" xr:uid="{00000000-0005-0000-0000-0000B4E60000}"/>
    <cellStyle name="Обычный 2 88" xfId="58822" xr:uid="{00000000-0005-0000-0000-0000B5E60000}"/>
    <cellStyle name="Обычный 2 89" xfId="58823" xr:uid="{00000000-0005-0000-0000-0000B6E60000}"/>
    <cellStyle name="Обычный 2 9" xfId="58824" xr:uid="{00000000-0005-0000-0000-0000B7E60000}"/>
    <cellStyle name="Обычный 2 90" xfId="58825" xr:uid="{00000000-0005-0000-0000-0000B8E60000}"/>
    <cellStyle name="Обычный 2 91" xfId="58826" xr:uid="{00000000-0005-0000-0000-0000B9E60000}"/>
    <cellStyle name="Обычный 2 92" xfId="58827" xr:uid="{00000000-0005-0000-0000-0000BAE60000}"/>
    <cellStyle name="Обычный 2 93" xfId="58828" xr:uid="{00000000-0005-0000-0000-0000BBE60000}"/>
    <cellStyle name="Обычный 2 94" xfId="58829" xr:uid="{00000000-0005-0000-0000-0000BCE60000}"/>
    <cellStyle name="Обычный 2 95" xfId="58830" xr:uid="{00000000-0005-0000-0000-0000BDE60000}"/>
    <cellStyle name="Обычный 2 96" xfId="58831" xr:uid="{00000000-0005-0000-0000-0000BEE60000}"/>
    <cellStyle name="Обычный 2 97" xfId="58832" xr:uid="{00000000-0005-0000-0000-0000BFE60000}"/>
    <cellStyle name="Обычный 2 98" xfId="58833" xr:uid="{00000000-0005-0000-0000-0000C0E60000}"/>
    <cellStyle name="Обычный 2 99" xfId="58834" xr:uid="{00000000-0005-0000-0000-0000C1E60000}"/>
    <cellStyle name="Обычный 2_npa105B" xfId="58835" xr:uid="{00000000-0005-0000-0000-0000C2E60000}"/>
    <cellStyle name="Обычный 20" xfId="58836" xr:uid="{00000000-0005-0000-0000-0000C3E60000}"/>
    <cellStyle name="Обычный 20 2" xfId="58837" xr:uid="{00000000-0005-0000-0000-0000C4E60000}"/>
    <cellStyle name="Обычный 20 2 2" xfId="58838" xr:uid="{00000000-0005-0000-0000-0000C5E60000}"/>
    <cellStyle name="Обычный 20 2 2 2" xfId="58839" xr:uid="{00000000-0005-0000-0000-0000C6E60000}"/>
    <cellStyle name="Обычный 20 2 2 2 2" xfId="58840" xr:uid="{00000000-0005-0000-0000-0000C7E60000}"/>
    <cellStyle name="Обычный 20 2 2 2 3" xfId="58841" xr:uid="{00000000-0005-0000-0000-0000C8E60000}"/>
    <cellStyle name="Обычный 20 2 2 3" xfId="58842" xr:uid="{00000000-0005-0000-0000-0000C9E60000}"/>
    <cellStyle name="Обычный 20 2 2 3 2" xfId="58843" xr:uid="{00000000-0005-0000-0000-0000CAE60000}"/>
    <cellStyle name="Обычный 20 2 2 3 3" xfId="61068" xr:uid="{00000000-0005-0000-0000-0000CBE60000}"/>
    <cellStyle name="Обычный 20 2 2 4" xfId="58844" xr:uid="{00000000-0005-0000-0000-0000CCE60000}"/>
    <cellStyle name="Обычный 20 2 2 5" xfId="58845" xr:uid="{00000000-0005-0000-0000-0000CDE60000}"/>
    <cellStyle name="Обычный 20 2 3" xfId="58846" xr:uid="{00000000-0005-0000-0000-0000CEE60000}"/>
    <cellStyle name="Обычный 20 2 3 2" xfId="58847" xr:uid="{00000000-0005-0000-0000-0000CFE60000}"/>
    <cellStyle name="Обычный 20 2 3 3" xfId="58848" xr:uid="{00000000-0005-0000-0000-0000D0E60000}"/>
    <cellStyle name="Обычный 20 2 4" xfId="58849" xr:uid="{00000000-0005-0000-0000-0000D1E60000}"/>
    <cellStyle name="Обычный 20 2 4 2" xfId="58850" xr:uid="{00000000-0005-0000-0000-0000D2E60000}"/>
    <cellStyle name="Обычный 20 2 4 3" xfId="61069" xr:uid="{00000000-0005-0000-0000-0000D3E60000}"/>
    <cellStyle name="Обычный 20 2 5" xfId="58851" xr:uid="{00000000-0005-0000-0000-0000D4E60000}"/>
    <cellStyle name="Обычный 20 2 6" xfId="58852" xr:uid="{00000000-0005-0000-0000-0000D5E60000}"/>
    <cellStyle name="Обычный 20 2_объемы 2018г111" xfId="61070" xr:uid="{00000000-0005-0000-0000-0000D6E60000}"/>
    <cellStyle name="Обычный 20 3" xfId="58853" xr:uid="{00000000-0005-0000-0000-0000D7E60000}"/>
    <cellStyle name="Обычный 20 3 2" xfId="58854" xr:uid="{00000000-0005-0000-0000-0000D8E60000}"/>
    <cellStyle name="Обычный 20 3 2 2" xfId="58855" xr:uid="{00000000-0005-0000-0000-0000D9E60000}"/>
    <cellStyle name="Обычный 20 3 2 3" xfId="58856" xr:uid="{00000000-0005-0000-0000-0000DAE60000}"/>
    <cellStyle name="Обычный 20 3 3" xfId="58857" xr:uid="{00000000-0005-0000-0000-0000DBE60000}"/>
    <cellStyle name="Обычный 20 3 3 2" xfId="58858" xr:uid="{00000000-0005-0000-0000-0000DCE60000}"/>
    <cellStyle name="Обычный 20 3 3 3" xfId="61071" xr:uid="{00000000-0005-0000-0000-0000DDE60000}"/>
    <cellStyle name="Обычный 20 3 4" xfId="58859" xr:uid="{00000000-0005-0000-0000-0000DEE60000}"/>
    <cellStyle name="Обычный 20 3 5" xfId="58860" xr:uid="{00000000-0005-0000-0000-0000DFE60000}"/>
    <cellStyle name="Обычный 20 4" xfId="58861" xr:uid="{00000000-0005-0000-0000-0000E0E60000}"/>
    <cellStyle name="Обычный 20 4 2" xfId="58862" xr:uid="{00000000-0005-0000-0000-0000E1E60000}"/>
    <cellStyle name="Обычный 20 4 2 2" xfId="58863" xr:uid="{00000000-0005-0000-0000-0000E2E60000}"/>
    <cellStyle name="Обычный 20 4 2 3" xfId="58864" xr:uid="{00000000-0005-0000-0000-0000E3E60000}"/>
    <cellStyle name="Обычный 20 4 3" xfId="58865" xr:uid="{00000000-0005-0000-0000-0000E4E60000}"/>
    <cellStyle name="Обычный 20 4 3 2" xfId="58866" xr:uid="{00000000-0005-0000-0000-0000E5E60000}"/>
    <cellStyle name="Обычный 20 4 4" xfId="58867" xr:uid="{00000000-0005-0000-0000-0000E6E60000}"/>
    <cellStyle name="Обычный 20 4 5" xfId="15" xr:uid="{00000000-0005-0000-0000-0000E7E60000}"/>
    <cellStyle name="Обычный 20 4 5 2" xfId="61207" xr:uid="{00000000-0005-0000-0000-0000E8E60000}"/>
    <cellStyle name="Обычный 20 4 5 3" xfId="61231" xr:uid="{00000000-0005-0000-0000-0000E9E60000}"/>
    <cellStyle name="Обычный 20 4 5 3 2" xfId="61275" xr:uid="{00000000-0005-0000-0000-0000EAE60000}"/>
    <cellStyle name="Обычный 20 4 5 4" xfId="61238" xr:uid="{00000000-0005-0000-0000-0000EBE60000}"/>
    <cellStyle name="Обычный 20 4 6" xfId="61072" xr:uid="{00000000-0005-0000-0000-0000ECE60000}"/>
    <cellStyle name="Обычный 20 5" xfId="58868" xr:uid="{00000000-0005-0000-0000-0000EDE60000}"/>
    <cellStyle name="Обычный 20 5 2" xfId="58869" xr:uid="{00000000-0005-0000-0000-0000EEE60000}"/>
    <cellStyle name="Обычный 20 5 3" xfId="58870" xr:uid="{00000000-0005-0000-0000-0000EFE60000}"/>
    <cellStyle name="Обычный 20 6" xfId="58871" xr:uid="{00000000-0005-0000-0000-0000F0E60000}"/>
    <cellStyle name="Обычный 20 6 2" xfId="58872" xr:uid="{00000000-0005-0000-0000-0000F1E60000}"/>
    <cellStyle name="Обычный 20 6 3" xfId="58873" xr:uid="{00000000-0005-0000-0000-0000F2E60000}"/>
    <cellStyle name="Обычный 20 7" xfId="58874" xr:uid="{00000000-0005-0000-0000-0000F3E60000}"/>
    <cellStyle name="Обычный 20 7 2" xfId="58875" xr:uid="{00000000-0005-0000-0000-0000F4E60000}"/>
    <cellStyle name="Обычный 20 8" xfId="58876" xr:uid="{00000000-0005-0000-0000-0000F5E60000}"/>
    <cellStyle name="Обычный 20 9" xfId="58877" xr:uid="{00000000-0005-0000-0000-0000F6E60000}"/>
    <cellStyle name="Обычный 20_объемы 2018г111" xfId="61073" xr:uid="{00000000-0005-0000-0000-0000F7E60000}"/>
    <cellStyle name="Обычный 21" xfId="58878" xr:uid="{00000000-0005-0000-0000-0000F8E60000}"/>
    <cellStyle name="Обычный 21 2" xfId="58879" xr:uid="{00000000-0005-0000-0000-0000F9E60000}"/>
    <cellStyle name="Обычный 21 2 2" xfId="58880" xr:uid="{00000000-0005-0000-0000-0000FAE60000}"/>
    <cellStyle name="Обычный 21 2 2 2" xfId="58881" xr:uid="{00000000-0005-0000-0000-0000FBE60000}"/>
    <cellStyle name="Обычный 21 2 2 2 2" xfId="58882" xr:uid="{00000000-0005-0000-0000-0000FCE60000}"/>
    <cellStyle name="Обычный 21 2 2 2 3" xfId="58883" xr:uid="{00000000-0005-0000-0000-0000FDE60000}"/>
    <cellStyle name="Обычный 21 2 2 3" xfId="58884" xr:uid="{00000000-0005-0000-0000-0000FEE60000}"/>
    <cellStyle name="Обычный 21 2 2 3 2" xfId="58885" xr:uid="{00000000-0005-0000-0000-0000FFE60000}"/>
    <cellStyle name="Обычный 21 2 2 3 3" xfId="61074" xr:uid="{00000000-0005-0000-0000-000000E70000}"/>
    <cellStyle name="Обычный 21 2 2 4" xfId="58886" xr:uid="{00000000-0005-0000-0000-000001E70000}"/>
    <cellStyle name="Обычный 21 2 2 5" xfId="58887" xr:uid="{00000000-0005-0000-0000-000002E70000}"/>
    <cellStyle name="Обычный 21 2 3" xfId="58888" xr:uid="{00000000-0005-0000-0000-000003E70000}"/>
    <cellStyle name="Обычный 21 2 3 2" xfId="58889" xr:uid="{00000000-0005-0000-0000-000004E70000}"/>
    <cellStyle name="Обычный 21 2 3 3" xfId="58890" xr:uid="{00000000-0005-0000-0000-000005E70000}"/>
    <cellStyle name="Обычный 21 2 4" xfId="58891" xr:uid="{00000000-0005-0000-0000-000006E70000}"/>
    <cellStyle name="Обычный 21 2 4 2" xfId="58892" xr:uid="{00000000-0005-0000-0000-000007E70000}"/>
    <cellStyle name="Обычный 21 2 4 3" xfId="61075" xr:uid="{00000000-0005-0000-0000-000008E70000}"/>
    <cellStyle name="Обычный 21 2 5" xfId="58893" xr:uid="{00000000-0005-0000-0000-000009E70000}"/>
    <cellStyle name="Обычный 21 2 6" xfId="58894" xr:uid="{00000000-0005-0000-0000-00000AE70000}"/>
    <cellStyle name="Обычный 21 2_объемы 2018г111" xfId="61076" xr:uid="{00000000-0005-0000-0000-00000BE70000}"/>
    <cellStyle name="Обычный 21 3" xfId="58895" xr:uid="{00000000-0005-0000-0000-00000CE70000}"/>
    <cellStyle name="Обычный 21 3 2" xfId="58896" xr:uid="{00000000-0005-0000-0000-00000DE70000}"/>
    <cellStyle name="Обычный 21 3 2 2" xfId="58897" xr:uid="{00000000-0005-0000-0000-00000EE70000}"/>
    <cellStyle name="Обычный 21 3 2 3" xfId="58898" xr:uid="{00000000-0005-0000-0000-00000FE70000}"/>
    <cellStyle name="Обычный 21 3 3" xfId="58899" xr:uid="{00000000-0005-0000-0000-000010E70000}"/>
    <cellStyle name="Обычный 21 3 3 2" xfId="58900" xr:uid="{00000000-0005-0000-0000-000011E70000}"/>
    <cellStyle name="Обычный 21 3 3 3" xfId="61077" xr:uid="{00000000-0005-0000-0000-000012E70000}"/>
    <cellStyle name="Обычный 21 3 4" xfId="58901" xr:uid="{00000000-0005-0000-0000-000013E70000}"/>
    <cellStyle name="Обычный 21 3 5" xfId="58902" xr:uid="{00000000-0005-0000-0000-000014E70000}"/>
    <cellStyle name="Обычный 21 4" xfId="58903" xr:uid="{00000000-0005-0000-0000-000015E70000}"/>
    <cellStyle name="Обычный 21 4 2" xfId="58904" xr:uid="{00000000-0005-0000-0000-000016E70000}"/>
    <cellStyle name="Обычный 21 4 3" xfId="58905" xr:uid="{00000000-0005-0000-0000-000017E70000}"/>
    <cellStyle name="Обычный 21 5" xfId="58906" xr:uid="{00000000-0005-0000-0000-000018E70000}"/>
    <cellStyle name="Обычный 21 5 2" xfId="58907" xr:uid="{00000000-0005-0000-0000-000019E70000}"/>
    <cellStyle name="Обычный 21 5 3" xfId="61078" xr:uid="{00000000-0005-0000-0000-00001AE70000}"/>
    <cellStyle name="Обычный 21 6" xfId="58908" xr:uid="{00000000-0005-0000-0000-00001BE70000}"/>
    <cellStyle name="Обычный 21 7" xfId="58909" xr:uid="{00000000-0005-0000-0000-00001CE70000}"/>
    <cellStyle name="Обычный 21_объемы 2018г111" xfId="61079" xr:uid="{00000000-0005-0000-0000-00001DE70000}"/>
    <cellStyle name="Обычный 22" xfId="58910" xr:uid="{00000000-0005-0000-0000-00001EE70000}"/>
    <cellStyle name="Обычный 22 2" xfId="58911" xr:uid="{00000000-0005-0000-0000-00001FE70000}"/>
    <cellStyle name="Обычный 22 2 2" xfId="58912" xr:uid="{00000000-0005-0000-0000-000020E70000}"/>
    <cellStyle name="Обычный 22 2 2 2" xfId="58913" xr:uid="{00000000-0005-0000-0000-000021E70000}"/>
    <cellStyle name="Обычный 22 2 2 3" xfId="58914" xr:uid="{00000000-0005-0000-0000-000022E70000}"/>
    <cellStyle name="Обычный 22 2 3" xfId="58915" xr:uid="{00000000-0005-0000-0000-000023E70000}"/>
    <cellStyle name="Обычный 22 2 3 2" xfId="58916" xr:uid="{00000000-0005-0000-0000-000024E70000}"/>
    <cellStyle name="Обычный 22 2 3 3" xfId="61080" xr:uid="{00000000-0005-0000-0000-000025E70000}"/>
    <cellStyle name="Обычный 22 2 4" xfId="58917" xr:uid="{00000000-0005-0000-0000-000026E70000}"/>
    <cellStyle name="Обычный 22 2 5" xfId="58918" xr:uid="{00000000-0005-0000-0000-000027E70000}"/>
    <cellStyle name="Обычный 22 3" xfId="58919" xr:uid="{00000000-0005-0000-0000-000028E70000}"/>
    <cellStyle name="Обычный 22 3 2" xfId="58920" xr:uid="{00000000-0005-0000-0000-000029E70000}"/>
    <cellStyle name="Обычный 22 3 2 2" xfId="58921" xr:uid="{00000000-0005-0000-0000-00002AE70000}"/>
    <cellStyle name="Обычный 22 3 2 3" xfId="58922" xr:uid="{00000000-0005-0000-0000-00002BE70000}"/>
    <cellStyle name="Обычный 22 3 3" xfId="58923" xr:uid="{00000000-0005-0000-0000-00002CE70000}"/>
    <cellStyle name="Обычный 22 3 3 2" xfId="58924" xr:uid="{00000000-0005-0000-0000-00002DE70000}"/>
    <cellStyle name="Обычный 22 3 3 3" xfId="61081" xr:uid="{00000000-0005-0000-0000-00002EE70000}"/>
    <cellStyle name="Обычный 22 3 4" xfId="58925" xr:uid="{00000000-0005-0000-0000-00002FE70000}"/>
    <cellStyle name="Обычный 22 3 5" xfId="58926" xr:uid="{00000000-0005-0000-0000-000030E70000}"/>
    <cellStyle name="Обычный 22 4" xfId="58927" xr:uid="{00000000-0005-0000-0000-000031E70000}"/>
    <cellStyle name="Обычный 22 4 2" xfId="58928" xr:uid="{00000000-0005-0000-0000-000032E70000}"/>
    <cellStyle name="Обычный 22 4 3" xfId="58929" xr:uid="{00000000-0005-0000-0000-000033E70000}"/>
    <cellStyle name="Обычный 22 5" xfId="58930" xr:uid="{00000000-0005-0000-0000-000034E70000}"/>
    <cellStyle name="Обычный 22 5 2" xfId="58931" xr:uid="{00000000-0005-0000-0000-000035E70000}"/>
    <cellStyle name="Обычный 22 5 3" xfId="61082" xr:uid="{00000000-0005-0000-0000-000036E70000}"/>
    <cellStyle name="Обычный 22 6" xfId="58932" xr:uid="{00000000-0005-0000-0000-000037E70000}"/>
    <cellStyle name="Обычный 22 7" xfId="58933" xr:uid="{00000000-0005-0000-0000-000038E70000}"/>
    <cellStyle name="Обычный 22_объемы 2018г111" xfId="61083" xr:uid="{00000000-0005-0000-0000-000039E70000}"/>
    <cellStyle name="Обычный 23" xfId="58934" xr:uid="{00000000-0005-0000-0000-00003AE70000}"/>
    <cellStyle name="Обычный 23 2" xfId="58935" xr:uid="{00000000-0005-0000-0000-00003BE70000}"/>
    <cellStyle name="Обычный 23 3" xfId="58936" xr:uid="{00000000-0005-0000-0000-00003CE70000}"/>
    <cellStyle name="Обычный 23 3 2" xfId="58937" xr:uid="{00000000-0005-0000-0000-00003DE70000}"/>
    <cellStyle name="Обычный 23 3 3" xfId="58938" xr:uid="{00000000-0005-0000-0000-00003EE70000}"/>
    <cellStyle name="Обычный 23 4" xfId="58939" xr:uid="{00000000-0005-0000-0000-00003FE70000}"/>
    <cellStyle name="Обычный 23 4 2" xfId="58940" xr:uid="{00000000-0005-0000-0000-000040E70000}"/>
    <cellStyle name="Обычный 23 4 3" xfId="61084" xr:uid="{00000000-0005-0000-0000-000041E70000}"/>
    <cellStyle name="Обычный 23 5" xfId="58941" xr:uid="{00000000-0005-0000-0000-000042E70000}"/>
    <cellStyle name="Обычный 23 6" xfId="58942" xr:uid="{00000000-0005-0000-0000-000043E70000}"/>
    <cellStyle name="Обычный 23_объемы 2018г111" xfId="61085" xr:uid="{00000000-0005-0000-0000-000044E70000}"/>
    <cellStyle name="Обычный 24" xfId="58943" xr:uid="{00000000-0005-0000-0000-000045E70000}"/>
    <cellStyle name="Обычный 24 2" xfId="58944" xr:uid="{00000000-0005-0000-0000-000046E70000}"/>
    <cellStyle name="Обычный 24 3" xfId="58945" xr:uid="{00000000-0005-0000-0000-000047E70000}"/>
    <cellStyle name="Обычный 24 3 2" xfId="58946" xr:uid="{00000000-0005-0000-0000-000048E70000}"/>
    <cellStyle name="Обычный 24 3 3" xfId="58947" xr:uid="{00000000-0005-0000-0000-000049E70000}"/>
    <cellStyle name="Обычный 24 4" xfId="58948" xr:uid="{00000000-0005-0000-0000-00004AE70000}"/>
    <cellStyle name="Обычный 24 4 2" xfId="58949" xr:uid="{00000000-0005-0000-0000-00004BE70000}"/>
    <cellStyle name="Обычный 24 4 3" xfId="61086" xr:uid="{00000000-0005-0000-0000-00004CE70000}"/>
    <cellStyle name="Обычный 24 5" xfId="58950" xr:uid="{00000000-0005-0000-0000-00004DE70000}"/>
    <cellStyle name="Обычный 24 6" xfId="58951" xr:uid="{00000000-0005-0000-0000-00004EE70000}"/>
    <cellStyle name="Обычный 24_объемы 2018г111" xfId="61087" xr:uid="{00000000-0005-0000-0000-00004FE70000}"/>
    <cellStyle name="Обычный 25" xfId="58952" xr:uid="{00000000-0005-0000-0000-000050E70000}"/>
    <cellStyle name="Обычный 25 2" xfId="58953" xr:uid="{00000000-0005-0000-0000-000051E70000}"/>
    <cellStyle name="Обычный 25 2 2" xfId="58954" xr:uid="{00000000-0005-0000-0000-000052E70000}"/>
    <cellStyle name="Обычный 25 2 3" xfId="58955" xr:uid="{00000000-0005-0000-0000-000053E70000}"/>
    <cellStyle name="Обычный 25 3" xfId="58956" xr:uid="{00000000-0005-0000-0000-000054E70000}"/>
    <cellStyle name="Обычный 25 3 2" xfId="58957" xr:uid="{00000000-0005-0000-0000-000055E70000}"/>
    <cellStyle name="Обычный 25 3 3" xfId="61088" xr:uid="{00000000-0005-0000-0000-000056E70000}"/>
    <cellStyle name="Обычный 25 4" xfId="58958" xr:uid="{00000000-0005-0000-0000-000057E70000}"/>
    <cellStyle name="Обычный 25 5" xfId="58959" xr:uid="{00000000-0005-0000-0000-000058E70000}"/>
    <cellStyle name="Обычный 26" xfId="58960" xr:uid="{00000000-0005-0000-0000-000059E70000}"/>
    <cellStyle name="Обычный 26 10" xfId="58961" xr:uid="{00000000-0005-0000-0000-00005AE70000}"/>
    <cellStyle name="Обычный 26 11" xfId="58962" xr:uid="{00000000-0005-0000-0000-00005BE70000}"/>
    <cellStyle name="Обычный 26 12" xfId="58963" xr:uid="{00000000-0005-0000-0000-00005CE70000}"/>
    <cellStyle name="Обычный 26 13" xfId="58964" xr:uid="{00000000-0005-0000-0000-00005DE70000}"/>
    <cellStyle name="Обычный 26 14" xfId="58965" xr:uid="{00000000-0005-0000-0000-00005EE70000}"/>
    <cellStyle name="Обычный 26 15" xfId="58966" xr:uid="{00000000-0005-0000-0000-00005FE70000}"/>
    <cellStyle name="Обычный 26 2" xfId="58967" xr:uid="{00000000-0005-0000-0000-000060E70000}"/>
    <cellStyle name="Обычный 26 2 2" xfId="58968" xr:uid="{00000000-0005-0000-0000-000061E70000}"/>
    <cellStyle name="Обычный 26 2 2 2" xfId="58969" xr:uid="{00000000-0005-0000-0000-000062E70000}"/>
    <cellStyle name="Обычный 26 2 3" xfId="58970" xr:uid="{00000000-0005-0000-0000-000063E70000}"/>
    <cellStyle name="Обычный 26 3" xfId="58971" xr:uid="{00000000-0005-0000-0000-000064E70000}"/>
    <cellStyle name="Обычный 26 3 2" xfId="58972" xr:uid="{00000000-0005-0000-0000-000065E70000}"/>
    <cellStyle name="Обычный 26 3 3" xfId="61089" xr:uid="{00000000-0005-0000-0000-000066E70000}"/>
    <cellStyle name="Обычный 26 4" xfId="58973" xr:uid="{00000000-0005-0000-0000-000067E70000}"/>
    <cellStyle name="Обычный 26 4 2" xfId="58974" xr:uid="{00000000-0005-0000-0000-000068E70000}"/>
    <cellStyle name="Обычный 26 4 2 2" xfId="58975" xr:uid="{00000000-0005-0000-0000-000069E70000}"/>
    <cellStyle name="Обычный 26 4 3" xfId="58976" xr:uid="{00000000-0005-0000-0000-00006AE70000}"/>
    <cellStyle name="Обычный 26 5" xfId="58977" xr:uid="{00000000-0005-0000-0000-00006BE70000}"/>
    <cellStyle name="Обычный 26 5 2" xfId="58978" xr:uid="{00000000-0005-0000-0000-00006CE70000}"/>
    <cellStyle name="Обычный 26 6" xfId="58979" xr:uid="{00000000-0005-0000-0000-00006DE70000}"/>
    <cellStyle name="Обычный 26 6 2" xfId="58980" xr:uid="{00000000-0005-0000-0000-00006EE70000}"/>
    <cellStyle name="Обычный 26 7" xfId="58981" xr:uid="{00000000-0005-0000-0000-00006FE70000}"/>
    <cellStyle name="Обычный 26 8" xfId="58982" xr:uid="{00000000-0005-0000-0000-000070E70000}"/>
    <cellStyle name="Обычный 26 9" xfId="58983" xr:uid="{00000000-0005-0000-0000-000071E70000}"/>
    <cellStyle name="Обычный 27" xfId="58984" xr:uid="{00000000-0005-0000-0000-000072E70000}"/>
    <cellStyle name="Обычный 27 2" xfId="58985" xr:uid="{00000000-0005-0000-0000-000073E70000}"/>
    <cellStyle name="Обычный 27 2 2" xfId="58986" xr:uid="{00000000-0005-0000-0000-000074E70000}"/>
    <cellStyle name="Обычный 27 2 2 2" xfId="58987" xr:uid="{00000000-0005-0000-0000-000075E70000}"/>
    <cellStyle name="Обычный 27 2 3" xfId="58988" xr:uid="{00000000-0005-0000-0000-000076E70000}"/>
    <cellStyle name="Обычный 27 3" xfId="58989" xr:uid="{00000000-0005-0000-0000-000077E70000}"/>
    <cellStyle name="Обычный 27 3 2" xfId="58990" xr:uid="{00000000-0005-0000-0000-000078E70000}"/>
    <cellStyle name="Обычный 27 3 3" xfId="61090" xr:uid="{00000000-0005-0000-0000-000079E70000}"/>
    <cellStyle name="Обычный 27 4" xfId="58991" xr:uid="{00000000-0005-0000-0000-00007AE70000}"/>
    <cellStyle name="Обычный 27 4 2" xfId="58992" xr:uid="{00000000-0005-0000-0000-00007BE70000}"/>
    <cellStyle name="Обычный 27 5" xfId="58993" xr:uid="{00000000-0005-0000-0000-00007CE70000}"/>
    <cellStyle name="Обычный 27 6" xfId="58994" xr:uid="{00000000-0005-0000-0000-00007DE70000}"/>
    <cellStyle name="Обычный 27 7" xfId="58995" xr:uid="{00000000-0005-0000-0000-00007EE70000}"/>
    <cellStyle name="Обычный 27 8" xfId="58996" xr:uid="{00000000-0005-0000-0000-00007FE70000}"/>
    <cellStyle name="Обычный 27 9" xfId="58997" xr:uid="{00000000-0005-0000-0000-000080E70000}"/>
    <cellStyle name="Обычный 28" xfId="58998" xr:uid="{00000000-0005-0000-0000-000081E70000}"/>
    <cellStyle name="Обычный 28 2" xfId="58999" xr:uid="{00000000-0005-0000-0000-000082E70000}"/>
    <cellStyle name="Обычный 28 2 2" xfId="59000" xr:uid="{00000000-0005-0000-0000-000083E70000}"/>
    <cellStyle name="Обычный 28 2 2 2" xfId="59001" xr:uid="{00000000-0005-0000-0000-000084E70000}"/>
    <cellStyle name="Обычный 28 2 3" xfId="59002" xr:uid="{00000000-0005-0000-0000-000085E70000}"/>
    <cellStyle name="Обычный 28 3" xfId="59003" xr:uid="{00000000-0005-0000-0000-000086E70000}"/>
    <cellStyle name="Обычный 28 3 2" xfId="59004" xr:uid="{00000000-0005-0000-0000-000087E70000}"/>
    <cellStyle name="Обычный 28 3 3" xfId="61091" xr:uid="{00000000-0005-0000-0000-000088E70000}"/>
    <cellStyle name="Обычный 28 4" xfId="59005" xr:uid="{00000000-0005-0000-0000-000089E70000}"/>
    <cellStyle name="Обычный 28 4 2" xfId="59006" xr:uid="{00000000-0005-0000-0000-00008AE70000}"/>
    <cellStyle name="Обычный 28 5" xfId="59007" xr:uid="{00000000-0005-0000-0000-00008BE70000}"/>
    <cellStyle name="Обычный 28 6" xfId="59008" xr:uid="{00000000-0005-0000-0000-00008CE70000}"/>
    <cellStyle name="Обычный 28 7" xfId="59009" xr:uid="{00000000-0005-0000-0000-00008DE70000}"/>
    <cellStyle name="Обычный 28 8" xfId="59010" xr:uid="{00000000-0005-0000-0000-00008EE70000}"/>
    <cellStyle name="Обычный 28 9" xfId="59011" xr:uid="{00000000-0005-0000-0000-00008FE70000}"/>
    <cellStyle name="Обычный 29" xfId="59012" xr:uid="{00000000-0005-0000-0000-000090E70000}"/>
    <cellStyle name="Обычный 29 2" xfId="59013" xr:uid="{00000000-0005-0000-0000-000091E70000}"/>
    <cellStyle name="Обычный 29 2 2" xfId="59014" xr:uid="{00000000-0005-0000-0000-000092E70000}"/>
    <cellStyle name="Обычный 29 2 2 2" xfId="59015" xr:uid="{00000000-0005-0000-0000-000093E70000}"/>
    <cellStyle name="Обычный 29 2 3" xfId="59016" xr:uid="{00000000-0005-0000-0000-000094E70000}"/>
    <cellStyle name="Обычный 29 3" xfId="59017" xr:uid="{00000000-0005-0000-0000-000095E70000}"/>
    <cellStyle name="Обычный 29 3 2" xfId="59018" xr:uid="{00000000-0005-0000-0000-000096E70000}"/>
    <cellStyle name="Обычный 29 3 3" xfId="61092" xr:uid="{00000000-0005-0000-0000-000097E70000}"/>
    <cellStyle name="Обычный 29 4" xfId="59019" xr:uid="{00000000-0005-0000-0000-000098E70000}"/>
    <cellStyle name="Обычный 29 4 2" xfId="59020" xr:uid="{00000000-0005-0000-0000-000099E70000}"/>
    <cellStyle name="Обычный 29 5" xfId="59021" xr:uid="{00000000-0005-0000-0000-00009AE70000}"/>
    <cellStyle name="Обычный 29 6" xfId="59022" xr:uid="{00000000-0005-0000-0000-00009BE70000}"/>
    <cellStyle name="Обычный 29 7" xfId="59023" xr:uid="{00000000-0005-0000-0000-00009CE70000}"/>
    <cellStyle name="Обычный 29 8" xfId="59024" xr:uid="{00000000-0005-0000-0000-00009DE70000}"/>
    <cellStyle name="Обычный 29 9" xfId="59025" xr:uid="{00000000-0005-0000-0000-00009EE70000}"/>
    <cellStyle name="Обычный 3" xfId="4" xr:uid="{00000000-0005-0000-0000-00009FE70000}"/>
    <cellStyle name="Обычный 3 10" xfId="59026" xr:uid="{00000000-0005-0000-0000-0000A0E70000}"/>
    <cellStyle name="Обычный 3 10 2" xfId="59027" xr:uid="{00000000-0005-0000-0000-0000A1E70000}"/>
    <cellStyle name="Обычный 3 10 2 2" xfId="59028" xr:uid="{00000000-0005-0000-0000-0000A2E70000}"/>
    <cellStyle name="Обычный 3 10 2 3" xfId="59029" xr:uid="{00000000-0005-0000-0000-0000A3E70000}"/>
    <cellStyle name="Обычный 3 10 3" xfId="59030" xr:uid="{00000000-0005-0000-0000-0000A4E70000}"/>
    <cellStyle name="Обычный 3 10 3 2" xfId="59031" xr:uid="{00000000-0005-0000-0000-0000A5E70000}"/>
    <cellStyle name="Обычный 3 10 3 3" xfId="61093" xr:uid="{00000000-0005-0000-0000-0000A6E70000}"/>
    <cellStyle name="Обычный 3 10 4" xfId="59032" xr:uid="{00000000-0005-0000-0000-0000A7E70000}"/>
    <cellStyle name="Обычный 3 10 5" xfId="59033" xr:uid="{00000000-0005-0000-0000-0000A8E70000}"/>
    <cellStyle name="Обычный 3 11" xfId="59034" xr:uid="{00000000-0005-0000-0000-0000A9E70000}"/>
    <cellStyle name="Обычный 3 11 2" xfId="59035" xr:uid="{00000000-0005-0000-0000-0000AAE70000}"/>
    <cellStyle name="Обычный 3 11 2 2" xfId="59036" xr:uid="{00000000-0005-0000-0000-0000ABE70000}"/>
    <cellStyle name="Обычный 3 11 2 3" xfId="59037" xr:uid="{00000000-0005-0000-0000-0000ACE70000}"/>
    <cellStyle name="Обычный 3 11 3" xfId="59038" xr:uid="{00000000-0005-0000-0000-0000ADE70000}"/>
    <cellStyle name="Обычный 3 11 3 2" xfId="59039" xr:uid="{00000000-0005-0000-0000-0000AEE70000}"/>
    <cellStyle name="Обычный 3 11 3 3" xfId="61094" xr:uid="{00000000-0005-0000-0000-0000AFE70000}"/>
    <cellStyle name="Обычный 3 11 4" xfId="59040" xr:uid="{00000000-0005-0000-0000-0000B0E70000}"/>
    <cellStyle name="Обычный 3 11 5" xfId="59041" xr:uid="{00000000-0005-0000-0000-0000B1E70000}"/>
    <cellStyle name="Обычный 3 12" xfId="59042" xr:uid="{00000000-0005-0000-0000-0000B2E70000}"/>
    <cellStyle name="Обычный 3 12 2" xfId="59043" xr:uid="{00000000-0005-0000-0000-0000B3E70000}"/>
    <cellStyle name="Обычный 3 12 2 2" xfId="59044" xr:uid="{00000000-0005-0000-0000-0000B4E70000}"/>
    <cellStyle name="Обычный 3 12 2 3" xfId="59045" xr:uid="{00000000-0005-0000-0000-0000B5E70000}"/>
    <cellStyle name="Обычный 3 12 3" xfId="59046" xr:uid="{00000000-0005-0000-0000-0000B6E70000}"/>
    <cellStyle name="Обычный 3 12 3 2" xfId="59047" xr:uid="{00000000-0005-0000-0000-0000B7E70000}"/>
    <cellStyle name="Обычный 3 12 3 3" xfId="61095" xr:uid="{00000000-0005-0000-0000-0000B8E70000}"/>
    <cellStyle name="Обычный 3 12 4" xfId="59048" xr:uid="{00000000-0005-0000-0000-0000B9E70000}"/>
    <cellStyle name="Обычный 3 12 5" xfId="59049" xr:uid="{00000000-0005-0000-0000-0000BAE70000}"/>
    <cellStyle name="Обычный 3 13" xfId="59050" xr:uid="{00000000-0005-0000-0000-0000BBE70000}"/>
    <cellStyle name="Обычный 3 13 2" xfId="59051" xr:uid="{00000000-0005-0000-0000-0000BCE70000}"/>
    <cellStyle name="Обычный 3 13 2 2" xfId="59052" xr:uid="{00000000-0005-0000-0000-0000BDE70000}"/>
    <cellStyle name="Обычный 3 13 2 3" xfId="59053" xr:uid="{00000000-0005-0000-0000-0000BEE70000}"/>
    <cellStyle name="Обычный 3 13 3" xfId="59054" xr:uid="{00000000-0005-0000-0000-0000BFE70000}"/>
    <cellStyle name="Обычный 3 13 3 2" xfId="59055" xr:uid="{00000000-0005-0000-0000-0000C0E70000}"/>
    <cellStyle name="Обычный 3 13 3 3" xfId="61096" xr:uid="{00000000-0005-0000-0000-0000C1E70000}"/>
    <cellStyle name="Обычный 3 13 4" xfId="59056" xr:uid="{00000000-0005-0000-0000-0000C2E70000}"/>
    <cellStyle name="Обычный 3 13 5" xfId="59057" xr:uid="{00000000-0005-0000-0000-0000C3E70000}"/>
    <cellStyle name="Обычный 3 14" xfId="59058" xr:uid="{00000000-0005-0000-0000-0000C4E70000}"/>
    <cellStyle name="Обычный 3 14 2" xfId="59059" xr:uid="{00000000-0005-0000-0000-0000C5E70000}"/>
    <cellStyle name="Обычный 3 14 2 2" xfId="59060" xr:uid="{00000000-0005-0000-0000-0000C6E70000}"/>
    <cellStyle name="Обычный 3 14 2 3" xfId="59061" xr:uid="{00000000-0005-0000-0000-0000C7E70000}"/>
    <cellStyle name="Обычный 3 14 3" xfId="59062" xr:uid="{00000000-0005-0000-0000-0000C8E70000}"/>
    <cellStyle name="Обычный 3 14 3 2" xfId="59063" xr:uid="{00000000-0005-0000-0000-0000C9E70000}"/>
    <cellStyle name="Обычный 3 14 3 3" xfId="61097" xr:uid="{00000000-0005-0000-0000-0000CAE70000}"/>
    <cellStyle name="Обычный 3 14 4" xfId="59064" xr:uid="{00000000-0005-0000-0000-0000CBE70000}"/>
    <cellStyle name="Обычный 3 14 5" xfId="59065" xr:uid="{00000000-0005-0000-0000-0000CCE70000}"/>
    <cellStyle name="Обычный 3 15" xfId="59066" xr:uid="{00000000-0005-0000-0000-0000CDE70000}"/>
    <cellStyle name="Обычный 3 15 2" xfId="59067" xr:uid="{00000000-0005-0000-0000-0000CEE70000}"/>
    <cellStyle name="Обычный 3 15 2 2" xfId="59068" xr:uid="{00000000-0005-0000-0000-0000CFE70000}"/>
    <cellStyle name="Обычный 3 15 2 3" xfId="59069" xr:uid="{00000000-0005-0000-0000-0000D0E70000}"/>
    <cellStyle name="Обычный 3 15 3" xfId="59070" xr:uid="{00000000-0005-0000-0000-0000D1E70000}"/>
    <cellStyle name="Обычный 3 15 3 2" xfId="59071" xr:uid="{00000000-0005-0000-0000-0000D2E70000}"/>
    <cellStyle name="Обычный 3 15 3 3" xfId="61098" xr:uid="{00000000-0005-0000-0000-0000D3E70000}"/>
    <cellStyle name="Обычный 3 15 4" xfId="59072" xr:uid="{00000000-0005-0000-0000-0000D4E70000}"/>
    <cellStyle name="Обычный 3 15 5" xfId="59073" xr:uid="{00000000-0005-0000-0000-0000D5E70000}"/>
    <cellStyle name="Обычный 3 16" xfId="59074" xr:uid="{00000000-0005-0000-0000-0000D6E70000}"/>
    <cellStyle name="Обычный 3 16 2" xfId="59075" xr:uid="{00000000-0005-0000-0000-0000D7E70000}"/>
    <cellStyle name="Обычный 3 16 2 2" xfId="59076" xr:uid="{00000000-0005-0000-0000-0000D8E70000}"/>
    <cellStyle name="Обычный 3 16 2 3" xfId="59077" xr:uid="{00000000-0005-0000-0000-0000D9E70000}"/>
    <cellStyle name="Обычный 3 16 3" xfId="59078" xr:uid="{00000000-0005-0000-0000-0000DAE70000}"/>
    <cellStyle name="Обычный 3 16 3 2" xfId="59079" xr:uid="{00000000-0005-0000-0000-0000DBE70000}"/>
    <cellStyle name="Обычный 3 16 3 3" xfId="61099" xr:uid="{00000000-0005-0000-0000-0000DCE70000}"/>
    <cellStyle name="Обычный 3 16 4" xfId="59080" xr:uid="{00000000-0005-0000-0000-0000DDE70000}"/>
    <cellStyle name="Обычный 3 16 5" xfId="59081" xr:uid="{00000000-0005-0000-0000-0000DEE70000}"/>
    <cellStyle name="Обычный 3 17" xfId="59082" xr:uid="{00000000-0005-0000-0000-0000DFE70000}"/>
    <cellStyle name="Обычный 3 17 2" xfId="59083" xr:uid="{00000000-0005-0000-0000-0000E0E70000}"/>
    <cellStyle name="Обычный 3 17 2 2" xfId="59084" xr:uid="{00000000-0005-0000-0000-0000E1E70000}"/>
    <cellStyle name="Обычный 3 17 2 3" xfId="59085" xr:uid="{00000000-0005-0000-0000-0000E2E70000}"/>
    <cellStyle name="Обычный 3 17 3" xfId="59086" xr:uid="{00000000-0005-0000-0000-0000E3E70000}"/>
    <cellStyle name="Обычный 3 17 3 2" xfId="59087" xr:uid="{00000000-0005-0000-0000-0000E4E70000}"/>
    <cellStyle name="Обычный 3 17 3 3" xfId="61100" xr:uid="{00000000-0005-0000-0000-0000E5E70000}"/>
    <cellStyle name="Обычный 3 17 4" xfId="59088" xr:uid="{00000000-0005-0000-0000-0000E6E70000}"/>
    <cellStyle name="Обычный 3 17 5" xfId="59089" xr:uid="{00000000-0005-0000-0000-0000E7E70000}"/>
    <cellStyle name="Обычный 3 18" xfId="59090" xr:uid="{00000000-0005-0000-0000-0000E8E70000}"/>
    <cellStyle name="Обычный 3 18 2" xfId="59091" xr:uid="{00000000-0005-0000-0000-0000E9E70000}"/>
    <cellStyle name="Обычный 3 18 2 2" xfId="59092" xr:uid="{00000000-0005-0000-0000-0000EAE70000}"/>
    <cellStyle name="Обычный 3 18 2 3" xfId="59093" xr:uid="{00000000-0005-0000-0000-0000EBE70000}"/>
    <cellStyle name="Обычный 3 18 3" xfId="59094" xr:uid="{00000000-0005-0000-0000-0000ECE70000}"/>
    <cellStyle name="Обычный 3 18 3 2" xfId="59095" xr:uid="{00000000-0005-0000-0000-0000EDE70000}"/>
    <cellStyle name="Обычный 3 18 3 3" xfId="61101" xr:uid="{00000000-0005-0000-0000-0000EEE70000}"/>
    <cellStyle name="Обычный 3 18 4" xfId="59096" xr:uid="{00000000-0005-0000-0000-0000EFE70000}"/>
    <cellStyle name="Обычный 3 18 5" xfId="59097" xr:uid="{00000000-0005-0000-0000-0000F0E70000}"/>
    <cellStyle name="Обычный 3 19" xfId="59098" xr:uid="{00000000-0005-0000-0000-0000F1E70000}"/>
    <cellStyle name="Обычный 3 19 2" xfId="59099" xr:uid="{00000000-0005-0000-0000-0000F2E70000}"/>
    <cellStyle name="Обычный 3 19 3" xfId="59100" xr:uid="{00000000-0005-0000-0000-0000F3E70000}"/>
    <cellStyle name="Обычный 3 2" xfId="59101" xr:uid="{00000000-0005-0000-0000-0000F4E70000}"/>
    <cellStyle name="Обычный 3 20" xfId="59102" xr:uid="{00000000-0005-0000-0000-0000F5E70000}"/>
    <cellStyle name="Обычный 3 20 2" xfId="59103" xr:uid="{00000000-0005-0000-0000-0000F6E70000}"/>
    <cellStyle name="Обычный 3 20 3" xfId="61102" xr:uid="{00000000-0005-0000-0000-0000F7E70000}"/>
    <cellStyle name="Обычный 3 21" xfId="59104" xr:uid="{00000000-0005-0000-0000-0000F8E70000}"/>
    <cellStyle name="Обычный 3 22" xfId="59105" xr:uid="{00000000-0005-0000-0000-0000F9E70000}"/>
    <cellStyle name="Обычный 3 23" xfId="59106" xr:uid="{00000000-0005-0000-0000-0000FAE70000}"/>
    <cellStyle name="Обычный 3 24" xfId="61276" xr:uid="{00000000-0005-0000-0000-0000FBE70000}"/>
    <cellStyle name="Обычный 3 3" xfId="59107" xr:uid="{00000000-0005-0000-0000-0000FCE70000}"/>
    <cellStyle name="Обычный 3 3 2" xfId="59108" xr:uid="{00000000-0005-0000-0000-0000FDE70000}"/>
    <cellStyle name="Обычный 3 3 3" xfId="61221" xr:uid="{00000000-0005-0000-0000-0000FEE70000}"/>
    <cellStyle name="Обычный 3 4" xfId="59109" xr:uid="{00000000-0005-0000-0000-0000FFE70000}"/>
    <cellStyle name="Обычный 3 4 2" xfId="59110" xr:uid="{00000000-0005-0000-0000-000000E80000}"/>
    <cellStyle name="Обычный 3 4 2 2" xfId="59111" xr:uid="{00000000-0005-0000-0000-000001E80000}"/>
    <cellStyle name="Обычный 3 4 2 2 2" xfId="59112" xr:uid="{00000000-0005-0000-0000-000002E80000}"/>
    <cellStyle name="Обычный 3 4 2 2 2 2" xfId="59113" xr:uid="{00000000-0005-0000-0000-000003E80000}"/>
    <cellStyle name="Обычный 3 4 2 2 2 3" xfId="59114" xr:uid="{00000000-0005-0000-0000-000004E80000}"/>
    <cellStyle name="Обычный 3 4 2 2 3" xfId="59115" xr:uid="{00000000-0005-0000-0000-000005E80000}"/>
    <cellStyle name="Обычный 3 4 2 2 3 2" xfId="59116" xr:uid="{00000000-0005-0000-0000-000006E80000}"/>
    <cellStyle name="Обычный 3 4 2 2 3 3" xfId="61103" xr:uid="{00000000-0005-0000-0000-000007E80000}"/>
    <cellStyle name="Обычный 3 4 2 2 4" xfId="59117" xr:uid="{00000000-0005-0000-0000-000008E80000}"/>
    <cellStyle name="Обычный 3 4 2 2 5" xfId="59118" xr:uid="{00000000-0005-0000-0000-000009E80000}"/>
    <cellStyle name="Обычный 3 4 2 3" xfId="59119" xr:uid="{00000000-0005-0000-0000-00000AE80000}"/>
    <cellStyle name="Обычный 3 4 2 3 2" xfId="59120" xr:uid="{00000000-0005-0000-0000-00000BE80000}"/>
    <cellStyle name="Обычный 3 4 2 3 3" xfId="59121" xr:uid="{00000000-0005-0000-0000-00000CE80000}"/>
    <cellStyle name="Обычный 3 4 2 4" xfId="59122" xr:uid="{00000000-0005-0000-0000-00000DE80000}"/>
    <cellStyle name="Обычный 3 4 2 4 2" xfId="59123" xr:uid="{00000000-0005-0000-0000-00000EE80000}"/>
    <cellStyle name="Обычный 3 4 2 4 3" xfId="61104" xr:uid="{00000000-0005-0000-0000-00000FE80000}"/>
    <cellStyle name="Обычный 3 4 2 5" xfId="59124" xr:uid="{00000000-0005-0000-0000-000010E80000}"/>
    <cellStyle name="Обычный 3 4 2 6" xfId="59125" xr:uid="{00000000-0005-0000-0000-000011E80000}"/>
    <cellStyle name="Обычный 3 4 2_объемы 2018г111" xfId="61105" xr:uid="{00000000-0005-0000-0000-000012E80000}"/>
    <cellStyle name="Обычный 3 4 3" xfId="59126" xr:uid="{00000000-0005-0000-0000-000013E80000}"/>
    <cellStyle name="Обычный 3 4 3 2" xfId="59127" xr:uid="{00000000-0005-0000-0000-000014E80000}"/>
    <cellStyle name="Обычный 3 4 3 2 2" xfId="59128" xr:uid="{00000000-0005-0000-0000-000015E80000}"/>
    <cellStyle name="Обычный 3 4 3 2 3" xfId="59129" xr:uid="{00000000-0005-0000-0000-000016E80000}"/>
    <cellStyle name="Обычный 3 4 3 3" xfId="59130" xr:uid="{00000000-0005-0000-0000-000017E80000}"/>
    <cellStyle name="Обычный 3 4 3 3 2" xfId="59131" xr:uid="{00000000-0005-0000-0000-000018E80000}"/>
    <cellStyle name="Обычный 3 4 3 3 3" xfId="61106" xr:uid="{00000000-0005-0000-0000-000019E80000}"/>
    <cellStyle name="Обычный 3 4 3 4" xfId="59132" xr:uid="{00000000-0005-0000-0000-00001AE80000}"/>
    <cellStyle name="Обычный 3 4 3 5" xfId="59133" xr:uid="{00000000-0005-0000-0000-00001BE80000}"/>
    <cellStyle name="Обычный 3 4 4" xfId="59134" xr:uid="{00000000-0005-0000-0000-00001CE80000}"/>
    <cellStyle name="Обычный 3 4 4 2" xfId="59135" xr:uid="{00000000-0005-0000-0000-00001DE80000}"/>
    <cellStyle name="Обычный 3 4 4 3" xfId="59136" xr:uid="{00000000-0005-0000-0000-00001EE80000}"/>
    <cellStyle name="Обычный 3 4 5" xfId="59137" xr:uid="{00000000-0005-0000-0000-00001FE80000}"/>
    <cellStyle name="Обычный 3 4 5 2" xfId="59138" xr:uid="{00000000-0005-0000-0000-000020E80000}"/>
    <cellStyle name="Обычный 3 4 5 3" xfId="61107" xr:uid="{00000000-0005-0000-0000-000021E80000}"/>
    <cellStyle name="Обычный 3 4 6" xfId="59139" xr:uid="{00000000-0005-0000-0000-000022E80000}"/>
    <cellStyle name="Обычный 3 4 7" xfId="59140" xr:uid="{00000000-0005-0000-0000-000023E80000}"/>
    <cellStyle name="Обычный 3 4_объемы 2018г111" xfId="61108" xr:uid="{00000000-0005-0000-0000-000024E80000}"/>
    <cellStyle name="Обычный 3 5" xfId="59141" xr:uid="{00000000-0005-0000-0000-000025E80000}"/>
    <cellStyle name="Обычный 3 5 2" xfId="59142" xr:uid="{00000000-0005-0000-0000-000026E80000}"/>
    <cellStyle name="Обычный 3 5 2 2" xfId="59143" xr:uid="{00000000-0005-0000-0000-000027E80000}"/>
    <cellStyle name="Обычный 3 5 2 2 2" xfId="59144" xr:uid="{00000000-0005-0000-0000-000028E80000}"/>
    <cellStyle name="Обычный 3 5 2 2 2 2" xfId="59145" xr:uid="{00000000-0005-0000-0000-000029E80000}"/>
    <cellStyle name="Обычный 3 5 2 2 2 3" xfId="59146" xr:uid="{00000000-0005-0000-0000-00002AE80000}"/>
    <cellStyle name="Обычный 3 5 2 2 3" xfId="59147" xr:uid="{00000000-0005-0000-0000-00002BE80000}"/>
    <cellStyle name="Обычный 3 5 2 2 3 2" xfId="59148" xr:uid="{00000000-0005-0000-0000-00002CE80000}"/>
    <cellStyle name="Обычный 3 5 2 2 3 3" xfId="61109" xr:uid="{00000000-0005-0000-0000-00002DE80000}"/>
    <cellStyle name="Обычный 3 5 2 2 4" xfId="59149" xr:uid="{00000000-0005-0000-0000-00002EE80000}"/>
    <cellStyle name="Обычный 3 5 2 2 5" xfId="59150" xr:uid="{00000000-0005-0000-0000-00002FE80000}"/>
    <cellStyle name="Обычный 3 5 2 3" xfId="59151" xr:uid="{00000000-0005-0000-0000-000030E80000}"/>
    <cellStyle name="Обычный 3 5 2 3 2" xfId="59152" xr:uid="{00000000-0005-0000-0000-000031E80000}"/>
    <cellStyle name="Обычный 3 5 2 3 3" xfId="59153" xr:uid="{00000000-0005-0000-0000-000032E80000}"/>
    <cellStyle name="Обычный 3 5 2 4" xfId="59154" xr:uid="{00000000-0005-0000-0000-000033E80000}"/>
    <cellStyle name="Обычный 3 5 2 4 2" xfId="59155" xr:uid="{00000000-0005-0000-0000-000034E80000}"/>
    <cellStyle name="Обычный 3 5 2 4 3" xfId="61110" xr:uid="{00000000-0005-0000-0000-000035E80000}"/>
    <cellStyle name="Обычный 3 5 2 5" xfId="59156" xr:uid="{00000000-0005-0000-0000-000036E80000}"/>
    <cellStyle name="Обычный 3 5 2 6" xfId="59157" xr:uid="{00000000-0005-0000-0000-000037E80000}"/>
    <cellStyle name="Обычный 3 5 2_объемы 2018г111" xfId="61111" xr:uid="{00000000-0005-0000-0000-000038E80000}"/>
    <cellStyle name="Обычный 3 5 3" xfId="59158" xr:uid="{00000000-0005-0000-0000-000039E80000}"/>
    <cellStyle name="Обычный 3 5 3 2" xfId="59159" xr:uid="{00000000-0005-0000-0000-00003AE80000}"/>
    <cellStyle name="Обычный 3 5 3 2 2" xfId="59160" xr:uid="{00000000-0005-0000-0000-00003BE80000}"/>
    <cellStyle name="Обычный 3 5 3 2 3" xfId="59161" xr:uid="{00000000-0005-0000-0000-00003CE80000}"/>
    <cellStyle name="Обычный 3 5 3 3" xfId="59162" xr:uid="{00000000-0005-0000-0000-00003DE80000}"/>
    <cellStyle name="Обычный 3 5 3 3 2" xfId="59163" xr:uid="{00000000-0005-0000-0000-00003EE80000}"/>
    <cellStyle name="Обычный 3 5 3 3 3" xfId="61112" xr:uid="{00000000-0005-0000-0000-00003FE80000}"/>
    <cellStyle name="Обычный 3 5 3 4" xfId="59164" xr:uid="{00000000-0005-0000-0000-000040E80000}"/>
    <cellStyle name="Обычный 3 5 3 5" xfId="59165" xr:uid="{00000000-0005-0000-0000-000041E80000}"/>
    <cellStyle name="Обычный 3 5 4" xfId="59166" xr:uid="{00000000-0005-0000-0000-000042E80000}"/>
    <cellStyle name="Обычный 3 5 4 2" xfId="59167" xr:uid="{00000000-0005-0000-0000-000043E80000}"/>
    <cellStyle name="Обычный 3 5 4 3" xfId="59168" xr:uid="{00000000-0005-0000-0000-000044E80000}"/>
    <cellStyle name="Обычный 3 5 5" xfId="59169" xr:uid="{00000000-0005-0000-0000-000045E80000}"/>
    <cellStyle name="Обычный 3 5 5 2" xfId="59170" xr:uid="{00000000-0005-0000-0000-000046E80000}"/>
    <cellStyle name="Обычный 3 5 5 3" xfId="61113" xr:uid="{00000000-0005-0000-0000-000047E80000}"/>
    <cellStyle name="Обычный 3 5 6" xfId="59171" xr:uid="{00000000-0005-0000-0000-000048E80000}"/>
    <cellStyle name="Обычный 3 5 7" xfId="59172" xr:uid="{00000000-0005-0000-0000-000049E80000}"/>
    <cellStyle name="Обычный 3 5_объемы 2018г111" xfId="61114" xr:uid="{00000000-0005-0000-0000-00004AE80000}"/>
    <cellStyle name="Обычный 3 6" xfId="59173" xr:uid="{00000000-0005-0000-0000-00004BE80000}"/>
    <cellStyle name="Обычный 3 6 2" xfId="59174" xr:uid="{00000000-0005-0000-0000-00004CE80000}"/>
    <cellStyle name="Обычный 3 6 2 2" xfId="59175" xr:uid="{00000000-0005-0000-0000-00004DE80000}"/>
    <cellStyle name="Обычный 3 6 2 2 2" xfId="59176" xr:uid="{00000000-0005-0000-0000-00004EE80000}"/>
    <cellStyle name="Обычный 3 6 2 2 3" xfId="59177" xr:uid="{00000000-0005-0000-0000-00004FE80000}"/>
    <cellStyle name="Обычный 3 6 2 3" xfId="59178" xr:uid="{00000000-0005-0000-0000-000050E80000}"/>
    <cellStyle name="Обычный 3 6 2 3 2" xfId="59179" xr:uid="{00000000-0005-0000-0000-000051E80000}"/>
    <cellStyle name="Обычный 3 6 2 3 3" xfId="61115" xr:uid="{00000000-0005-0000-0000-000052E80000}"/>
    <cellStyle name="Обычный 3 6 2 4" xfId="59180" xr:uid="{00000000-0005-0000-0000-000053E80000}"/>
    <cellStyle name="Обычный 3 6 2 5" xfId="59181" xr:uid="{00000000-0005-0000-0000-000054E80000}"/>
    <cellStyle name="Обычный 3 6 3" xfId="59182" xr:uid="{00000000-0005-0000-0000-000055E80000}"/>
    <cellStyle name="Обычный 3 6 3 2" xfId="59183" xr:uid="{00000000-0005-0000-0000-000056E80000}"/>
    <cellStyle name="Обычный 3 6 3 3" xfId="59184" xr:uid="{00000000-0005-0000-0000-000057E80000}"/>
    <cellStyle name="Обычный 3 6 4" xfId="59185" xr:uid="{00000000-0005-0000-0000-000058E80000}"/>
    <cellStyle name="Обычный 3 6 4 2" xfId="59186" xr:uid="{00000000-0005-0000-0000-000059E80000}"/>
    <cellStyle name="Обычный 3 6 4 3" xfId="61116" xr:uid="{00000000-0005-0000-0000-00005AE80000}"/>
    <cellStyle name="Обычный 3 6 5" xfId="59187" xr:uid="{00000000-0005-0000-0000-00005BE80000}"/>
    <cellStyle name="Обычный 3 6 6" xfId="59188" xr:uid="{00000000-0005-0000-0000-00005CE80000}"/>
    <cellStyle name="Обычный 3 6_объемы 2018г111" xfId="61117" xr:uid="{00000000-0005-0000-0000-00005DE80000}"/>
    <cellStyle name="Обычный 3 7" xfId="59189" xr:uid="{00000000-0005-0000-0000-00005EE80000}"/>
    <cellStyle name="Обычный 3 7 2" xfId="59190" xr:uid="{00000000-0005-0000-0000-00005FE80000}"/>
    <cellStyle name="Обычный 3 7 2 2" xfId="59191" xr:uid="{00000000-0005-0000-0000-000060E80000}"/>
    <cellStyle name="Обычный 3 7 2 3" xfId="59192" xr:uid="{00000000-0005-0000-0000-000061E80000}"/>
    <cellStyle name="Обычный 3 7 3" xfId="59193" xr:uid="{00000000-0005-0000-0000-000062E80000}"/>
    <cellStyle name="Обычный 3 7 3 2" xfId="59194" xr:uid="{00000000-0005-0000-0000-000063E80000}"/>
    <cellStyle name="Обычный 3 7 3 3" xfId="61118" xr:uid="{00000000-0005-0000-0000-000064E80000}"/>
    <cellStyle name="Обычный 3 7 4" xfId="59195" xr:uid="{00000000-0005-0000-0000-000065E80000}"/>
    <cellStyle name="Обычный 3 7 5" xfId="59196" xr:uid="{00000000-0005-0000-0000-000066E80000}"/>
    <cellStyle name="Обычный 3 8" xfId="59197" xr:uid="{00000000-0005-0000-0000-000067E80000}"/>
    <cellStyle name="Обычный 3 8 2" xfId="59198" xr:uid="{00000000-0005-0000-0000-000068E80000}"/>
    <cellStyle name="Обычный 3 8 2 2" xfId="59199" xr:uid="{00000000-0005-0000-0000-000069E80000}"/>
    <cellStyle name="Обычный 3 8 2 3" xfId="59200" xr:uid="{00000000-0005-0000-0000-00006AE80000}"/>
    <cellStyle name="Обычный 3 8 3" xfId="59201" xr:uid="{00000000-0005-0000-0000-00006BE80000}"/>
    <cellStyle name="Обычный 3 8 3 2" xfId="59202" xr:uid="{00000000-0005-0000-0000-00006CE80000}"/>
    <cellStyle name="Обычный 3 8 3 3" xfId="61119" xr:uid="{00000000-0005-0000-0000-00006DE80000}"/>
    <cellStyle name="Обычный 3 8 4" xfId="59203" xr:uid="{00000000-0005-0000-0000-00006EE80000}"/>
    <cellStyle name="Обычный 3 8 5" xfId="59204" xr:uid="{00000000-0005-0000-0000-00006FE80000}"/>
    <cellStyle name="Обычный 3 9" xfId="59205" xr:uid="{00000000-0005-0000-0000-000070E80000}"/>
    <cellStyle name="Обычный 3 9 2" xfId="59206" xr:uid="{00000000-0005-0000-0000-000071E80000}"/>
    <cellStyle name="Обычный 3 9 2 2" xfId="59207" xr:uid="{00000000-0005-0000-0000-000072E80000}"/>
    <cellStyle name="Обычный 3 9 2 3" xfId="59208" xr:uid="{00000000-0005-0000-0000-000073E80000}"/>
    <cellStyle name="Обычный 3 9 3" xfId="59209" xr:uid="{00000000-0005-0000-0000-000074E80000}"/>
    <cellStyle name="Обычный 3 9 3 2" xfId="59210" xr:uid="{00000000-0005-0000-0000-000075E80000}"/>
    <cellStyle name="Обычный 3 9 3 3" xfId="61120" xr:uid="{00000000-0005-0000-0000-000076E80000}"/>
    <cellStyle name="Обычный 3 9 4" xfId="59211" xr:uid="{00000000-0005-0000-0000-000077E80000}"/>
    <cellStyle name="Обычный 3 9 5" xfId="59212" xr:uid="{00000000-0005-0000-0000-000078E80000}"/>
    <cellStyle name="Обычный 3_объемы 2018г111" xfId="61121" xr:uid="{00000000-0005-0000-0000-000079E80000}"/>
    <cellStyle name="Обычный 30" xfId="59213" xr:uid="{00000000-0005-0000-0000-00007AE80000}"/>
    <cellStyle name="Обычный 30 2" xfId="59214" xr:uid="{00000000-0005-0000-0000-00007BE80000}"/>
    <cellStyle name="Обычный 30 2 2" xfId="59215" xr:uid="{00000000-0005-0000-0000-00007CE80000}"/>
    <cellStyle name="Обычный 30 3" xfId="59216" xr:uid="{00000000-0005-0000-0000-00007DE80000}"/>
    <cellStyle name="Обычный 30 3 2" xfId="59217" xr:uid="{00000000-0005-0000-0000-00007EE80000}"/>
    <cellStyle name="Обычный 30 4" xfId="59218" xr:uid="{00000000-0005-0000-0000-00007FE80000}"/>
    <cellStyle name="Обычный 30 5" xfId="59219" xr:uid="{00000000-0005-0000-0000-000080E80000}"/>
    <cellStyle name="Обычный 30 6" xfId="59220" xr:uid="{00000000-0005-0000-0000-000081E80000}"/>
    <cellStyle name="Обычный 30 7" xfId="59221" xr:uid="{00000000-0005-0000-0000-000082E80000}"/>
    <cellStyle name="Обычный 30 8" xfId="59222" xr:uid="{00000000-0005-0000-0000-000083E80000}"/>
    <cellStyle name="Обычный 31" xfId="59223" xr:uid="{00000000-0005-0000-0000-000084E80000}"/>
    <cellStyle name="Обычный 31 2" xfId="59224" xr:uid="{00000000-0005-0000-0000-000085E80000}"/>
    <cellStyle name="Обычный 31 2 2" xfId="59225" xr:uid="{00000000-0005-0000-0000-000086E80000}"/>
    <cellStyle name="Обычный 31 2 3" xfId="59226" xr:uid="{00000000-0005-0000-0000-000087E80000}"/>
    <cellStyle name="Обычный 31 3" xfId="59227" xr:uid="{00000000-0005-0000-0000-000088E80000}"/>
    <cellStyle name="Обычный 31 3 2" xfId="59228" xr:uid="{00000000-0005-0000-0000-000089E80000}"/>
    <cellStyle name="Обычный 31 3 3" xfId="61122" xr:uid="{00000000-0005-0000-0000-00008AE80000}"/>
    <cellStyle name="Обычный 31 4" xfId="59229" xr:uid="{00000000-0005-0000-0000-00008BE80000}"/>
    <cellStyle name="Обычный 31 5" xfId="59230" xr:uid="{00000000-0005-0000-0000-00008CE80000}"/>
    <cellStyle name="Обычный 32" xfId="59231" xr:uid="{00000000-0005-0000-0000-00008DE80000}"/>
    <cellStyle name="Обычный 32 2" xfId="59232" xr:uid="{00000000-0005-0000-0000-00008EE80000}"/>
    <cellStyle name="Обычный 32 2 2" xfId="59233" xr:uid="{00000000-0005-0000-0000-00008FE80000}"/>
    <cellStyle name="Обычный 32 2 3" xfId="59234" xr:uid="{00000000-0005-0000-0000-000090E80000}"/>
    <cellStyle name="Обычный 32 3" xfId="59235" xr:uid="{00000000-0005-0000-0000-000091E80000}"/>
    <cellStyle name="Обычный 32 3 2" xfId="59236" xr:uid="{00000000-0005-0000-0000-000092E80000}"/>
    <cellStyle name="Обычный 32 3 3" xfId="61123" xr:uid="{00000000-0005-0000-0000-000093E80000}"/>
    <cellStyle name="Обычный 32 4" xfId="59237" xr:uid="{00000000-0005-0000-0000-000094E80000}"/>
    <cellStyle name="Обычный 32 5" xfId="59238" xr:uid="{00000000-0005-0000-0000-000095E80000}"/>
    <cellStyle name="Обычный 33" xfId="59239" xr:uid="{00000000-0005-0000-0000-000096E80000}"/>
    <cellStyle name="Обычный 33 2" xfId="59240" xr:uid="{00000000-0005-0000-0000-000097E80000}"/>
    <cellStyle name="Обычный 33 2 2" xfId="59241" xr:uid="{00000000-0005-0000-0000-000098E80000}"/>
    <cellStyle name="Обычный 33 2 3" xfId="59242" xr:uid="{00000000-0005-0000-0000-000099E80000}"/>
    <cellStyle name="Обычный 33 3" xfId="59243" xr:uid="{00000000-0005-0000-0000-00009AE80000}"/>
    <cellStyle name="Обычный 33 3 2" xfId="59244" xr:uid="{00000000-0005-0000-0000-00009BE80000}"/>
    <cellStyle name="Обычный 33 3 3" xfId="61124" xr:uid="{00000000-0005-0000-0000-00009CE80000}"/>
    <cellStyle name="Обычный 33 4" xfId="59245" xr:uid="{00000000-0005-0000-0000-00009DE80000}"/>
    <cellStyle name="Обычный 33 5" xfId="59246" xr:uid="{00000000-0005-0000-0000-00009EE80000}"/>
    <cellStyle name="Обычный 34" xfId="59247" xr:uid="{00000000-0005-0000-0000-00009FE80000}"/>
    <cellStyle name="Обычный 34 2" xfId="59248" xr:uid="{00000000-0005-0000-0000-0000A0E80000}"/>
    <cellStyle name="Обычный 34 2 2" xfId="59249" xr:uid="{00000000-0005-0000-0000-0000A1E80000}"/>
    <cellStyle name="Обычный 34 2 3" xfId="59250" xr:uid="{00000000-0005-0000-0000-0000A2E80000}"/>
    <cellStyle name="Обычный 34 3" xfId="59251" xr:uid="{00000000-0005-0000-0000-0000A3E80000}"/>
    <cellStyle name="Обычный 34 3 2" xfId="59252" xr:uid="{00000000-0005-0000-0000-0000A4E80000}"/>
    <cellStyle name="Обычный 34 3 3" xfId="61125" xr:uid="{00000000-0005-0000-0000-0000A5E80000}"/>
    <cellStyle name="Обычный 34 4" xfId="59253" xr:uid="{00000000-0005-0000-0000-0000A6E80000}"/>
    <cellStyle name="Обычный 34 5" xfId="59254" xr:uid="{00000000-0005-0000-0000-0000A7E80000}"/>
    <cellStyle name="Обычный 35" xfId="59255" xr:uid="{00000000-0005-0000-0000-0000A8E80000}"/>
    <cellStyle name="Обычный 35 2" xfId="59256" xr:uid="{00000000-0005-0000-0000-0000A9E80000}"/>
    <cellStyle name="Обычный 35 2 2" xfId="59257" xr:uid="{00000000-0005-0000-0000-0000AAE80000}"/>
    <cellStyle name="Обычный 35 2 3" xfId="59258" xr:uid="{00000000-0005-0000-0000-0000ABE80000}"/>
    <cellStyle name="Обычный 35 3" xfId="59259" xr:uid="{00000000-0005-0000-0000-0000ACE80000}"/>
    <cellStyle name="Обычный 35 3 2" xfId="59260" xr:uid="{00000000-0005-0000-0000-0000ADE80000}"/>
    <cellStyle name="Обычный 35 3 3" xfId="61126" xr:uid="{00000000-0005-0000-0000-0000AEE80000}"/>
    <cellStyle name="Обычный 35 4" xfId="59261" xr:uid="{00000000-0005-0000-0000-0000AFE80000}"/>
    <cellStyle name="Обычный 35 5" xfId="59262" xr:uid="{00000000-0005-0000-0000-0000B0E80000}"/>
    <cellStyle name="Обычный 36" xfId="59263" xr:uid="{00000000-0005-0000-0000-0000B1E80000}"/>
    <cellStyle name="Обычный 36 2" xfId="59264" xr:uid="{00000000-0005-0000-0000-0000B2E80000}"/>
    <cellStyle name="Обычный 36 2 2" xfId="59265" xr:uid="{00000000-0005-0000-0000-0000B3E80000}"/>
    <cellStyle name="Обычный 36 2 3" xfId="59266" xr:uid="{00000000-0005-0000-0000-0000B4E80000}"/>
    <cellStyle name="Обычный 36 3" xfId="59267" xr:uid="{00000000-0005-0000-0000-0000B5E80000}"/>
    <cellStyle name="Обычный 36 3 2" xfId="59268" xr:uid="{00000000-0005-0000-0000-0000B6E80000}"/>
    <cellStyle name="Обычный 36 3 3" xfId="61127" xr:uid="{00000000-0005-0000-0000-0000B7E80000}"/>
    <cellStyle name="Обычный 36 4" xfId="59269" xr:uid="{00000000-0005-0000-0000-0000B8E80000}"/>
    <cellStyle name="Обычный 36 5" xfId="59270" xr:uid="{00000000-0005-0000-0000-0000B9E80000}"/>
    <cellStyle name="Обычный 37" xfId="59271" xr:uid="{00000000-0005-0000-0000-0000BAE80000}"/>
    <cellStyle name="Обычный 37 2" xfId="59272" xr:uid="{00000000-0005-0000-0000-0000BBE80000}"/>
    <cellStyle name="Обычный 37 2 2" xfId="59273" xr:uid="{00000000-0005-0000-0000-0000BCE80000}"/>
    <cellStyle name="Обычный 37 2 3" xfId="59274" xr:uid="{00000000-0005-0000-0000-0000BDE80000}"/>
    <cellStyle name="Обычный 37 3" xfId="59275" xr:uid="{00000000-0005-0000-0000-0000BEE80000}"/>
    <cellStyle name="Обычный 37 3 2" xfId="59276" xr:uid="{00000000-0005-0000-0000-0000BFE80000}"/>
    <cellStyle name="Обычный 37 3 3" xfId="61128" xr:uid="{00000000-0005-0000-0000-0000C0E80000}"/>
    <cellStyle name="Обычный 37 4" xfId="59277" xr:uid="{00000000-0005-0000-0000-0000C1E80000}"/>
    <cellStyle name="Обычный 37 5" xfId="59278" xr:uid="{00000000-0005-0000-0000-0000C2E80000}"/>
    <cellStyle name="Обычный 38" xfId="59279" xr:uid="{00000000-0005-0000-0000-0000C3E80000}"/>
    <cellStyle name="Обычный 38 2" xfId="59280" xr:uid="{00000000-0005-0000-0000-0000C4E80000}"/>
    <cellStyle name="Обычный 38 2 2" xfId="59281" xr:uid="{00000000-0005-0000-0000-0000C5E80000}"/>
    <cellStyle name="Обычный 38 2 3" xfId="59282" xr:uid="{00000000-0005-0000-0000-0000C6E80000}"/>
    <cellStyle name="Обычный 38 3" xfId="59283" xr:uid="{00000000-0005-0000-0000-0000C7E80000}"/>
    <cellStyle name="Обычный 38 3 2" xfId="59284" xr:uid="{00000000-0005-0000-0000-0000C8E80000}"/>
    <cellStyle name="Обычный 38 3 3" xfId="61129" xr:uid="{00000000-0005-0000-0000-0000C9E80000}"/>
    <cellStyle name="Обычный 38 4" xfId="59285" xr:uid="{00000000-0005-0000-0000-0000CAE80000}"/>
    <cellStyle name="Обычный 38 5" xfId="59286" xr:uid="{00000000-0005-0000-0000-0000CBE80000}"/>
    <cellStyle name="Обычный 39" xfId="59287" xr:uid="{00000000-0005-0000-0000-0000CCE80000}"/>
    <cellStyle name="Обычный 39 2" xfId="59288" xr:uid="{00000000-0005-0000-0000-0000CDE80000}"/>
    <cellStyle name="Обычный 39 2 2" xfId="59289" xr:uid="{00000000-0005-0000-0000-0000CEE80000}"/>
    <cellStyle name="Обычный 39 2 3" xfId="59290" xr:uid="{00000000-0005-0000-0000-0000CFE80000}"/>
    <cellStyle name="Обычный 39 3" xfId="59291" xr:uid="{00000000-0005-0000-0000-0000D0E80000}"/>
    <cellStyle name="Обычный 39 3 2" xfId="59292" xr:uid="{00000000-0005-0000-0000-0000D1E80000}"/>
    <cellStyle name="Обычный 39 3 3" xfId="61130" xr:uid="{00000000-0005-0000-0000-0000D2E80000}"/>
    <cellStyle name="Обычный 39 4" xfId="59293" xr:uid="{00000000-0005-0000-0000-0000D3E80000}"/>
    <cellStyle name="Обычный 39 5" xfId="59294" xr:uid="{00000000-0005-0000-0000-0000D4E80000}"/>
    <cellStyle name="Обычный 4" xfId="1" xr:uid="{00000000-0005-0000-0000-0000D5E80000}"/>
    <cellStyle name="Обычный 4 10" xfId="59295" xr:uid="{00000000-0005-0000-0000-0000D6E80000}"/>
    <cellStyle name="Обычный 4 10 2" xfId="9" xr:uid="{00000000-0005-0000-0000-0000D7E80000}"/>
    <cellStyle name="Обычный 4 10 2 2" xfId="11" xr:uid="{00000000-0005-0000-0000-0000D8E80000}"/>
    <cellStyle name="Обычный 4 10 2 2 2" xfId="61208" xr:uid="{00000000-0005-0000-0000-0000D9E80000}"/>
    <cellStyle name="Обычный 4 10 2 2 3" xfId="61229" xr:uid="{00000000-0005-0000-0000-0000DAE80000}"/>
    <cellStyle name="Обычный 4 10 2 2 3 2" xfId="61277" xr:uid="{00000000-0005-0000-0000-0000DBE80000}"/>
    <cellStyle name="Обычный 4 10 2 2 4" xfId="61236" xr:uid="{00000000-0005-0000-0000-0000DCE80000}"/>
    <cellStyle name="Обычный 4 10 2 3" xfId="59296" xr:uid="{00000000-0005-0000-0000-0000DDE80000}"/>
    <cellStyle name="Обычный 4 10 3" xfId="59297" xr:uid="{00000000-0005-0000-0000-0000DEE80000}"/>
    <cellStyle name="Обычный 4 10 3 2" xfId="59298" xr:uid="{00000000-0005-0000-0000-0000DFE80000}"/>
    <cellStyle name="Обычный 4 10 3 3" xfId="61131" xr:uid="{00000000-0005-0000-0000-0000E0E80000}"/>
    <cellStyle name="Обычный 4 10 4" xfId="59299" xr:uid="{00000000-0005-0000-0000-0000E1E80000}"/>
    <cellStyle name="Обычный 4 10 5" xfId="59300" xr:uid="{00000000-0005-0000-0000-0000E2E80000}"/>
    <cellStyle name="Обычный 4 11" xfId="59301" xr:uid="{00000000-0005-0000-0000-0000E3E80000}"/>
    <cellStyle name="Обычный 4 11 2" xfId="59302" xr:uid="{00000000-0005-0000-0000-0000E4E80000}"/>
    <cellStyle name="Обычный 4 11 2 2" xfId="59303" xr:uid="{00000000-0005-0000-0000-0000E5E80000}"/>
    <cellStyle name="Обычный 4 11 2 3" xfId="59304" xr:uid="{00000000-0005-0000-0000-0000E6E80000}"/>
    <cellStyle name="Обычный 4 11 3" xfId="59305" xr:uid="{00000000-0005-0000-0000-0000E7E80000}"/>
    <cellStyle name="Обычный 4 11 3 2" xfId="59306" xr:uid="{00000000-0005-0000-0000-0000E8E80000}"/>
    <cellStyle name="Обычный 4 11 3 3" xfId="61132" xr:uid="{00000000-0005-0000-0000-0000E9E80000}"/>
    <cellStyle name="Обычный 4 11 4" xfId="59307" xr:uid="{00000000-0005-0000-0000-0000EAE80000}"/>
    <cellStyle name="Обычный 4 11 5" xfId="59308" xr:uid="{00000000-0005-0000-0000-0000EBE80000}"/>
    <cellStyle name="Обычный 4 12" xfId="59309" xr:uid="{00000000-0005-0000-0000-0000ECE80000}"/>
    <cellStyle name="Обычный 4 12 2" xfId="59310" xr:uid="{00000000-0005-0000-0000-0000EDE80000}"/>
    <cellStyle name="Обычный 4 12 2 2" xfId="59311" xr:uid="{00000000-0005-0000-0000-0000EEE80000}"/>
    <cellStyle name="Обычный 4 12 2 3" xfId="59312" xr:uid="{00000000-0005-0000-0000-0000EFE80000}"/>
    <cellStyle name="Обычный 4 12 3" xfId="59313" xr:uid="{00000000-0005-0000-0000-0000F0E80000}"/>
    <cellStyle name="Обычный 4 12 3 2" xfId="59314" xr:uid="{00000000-0005-0000-0000-0000F1E80000}"/>
    <cellStyle name="Обычный 4 12 3 3" xfId="61133" xr:uid="{00000000-0005-0000-0000-0000F2E80000}"/>
    <cellStyle name="Обычный 4 12 4" xfId="59315" xr:uid="{00000000-0005-0000-0000-0000F3E80000}"/>
    <cellStyle name="Обычный 4 12 5" xfId="59316" xr:uid="{00000000-0005-0000-0000-0000F4E80000}"/>
    <cellStyle name="Обычный 4 13" xfId="59317" xr:uid="{00000000-0005-0000-0000-0000F5E80000}"/>
    <cellStyle name="Обычный 4 13 2" xfId="59318" xr:uid="{00000000-0005-0000-0000-0000F6E80000}"/>
    <cellStyle name="Обычный 4 13 2 2" xfId="59319" xr:uid="{00000000-0005-0000-0000-0000F7E80000}"/>
    <cellStyle name="Обычный 4 13 2 3" xfId="59320" xr:uid="{00000000-0005-0000-0000-0000F8E80000}"/>
    <cellStyle name="Обычный 4 13 3" xfId="59321" xr:uid="{00000000-0005-0000-0000-0000F9E80000}"/>
    <cellStyle name="Обычный 4 13 3 2" xfId="59322" xr:uid="{00000000-0005-0000-0000-0000FAE80000}"/>
    <cellStyle name="Обычный 4 13 3 3" xfId="61134" xr:uid="{00000000-0005-0000-0000-0000FBE80000}"/>
    <cellStyle name="Обычный 4 13 4" xfId="59323" xr:uid="{00000000-0005-0000-0000-0000FCE80000}"/>
    <cellStyle name="Обычный 4 13 5" xfId="59324" xr:uid="{00000000-0005-0000-0000-0000FDE80000}"/>
    <cellStyle name="Обычный 4 14" xfId="59325" xr:uid="{00000000-0005-0000-0000-0000FEE80000}"/>
    <cellStyle name="Обычный 4 14 2" xfId="59326" xr:uid="{00000000-0005-0000-0000-0000FFE80000}"/>
    <cellStyle name="Обычный 4 14 2 2" xfId="59327" xr:uid="{00000000-0005-0000-0000-000000E90000}"/>
    <cellStyle name="Обычный 4 14 2 3" xfId="59328" xr:uid="{00000000-0005-0000-0000-000001E90000}"/>
    <cellStyle name="Обычный 4 14 3" xfId="59329" xr:uid="{00000000-0005-0000-0000-000002E90000}"/>
    <cellStyle name="Обычный 4 14 3 2" xfId="59330" xr:uid="{00000000-0005-0000-0000-000003E90000}"/>
    <cellStyle name="Обычный 4 14 3 3" xfId="61135" xr:uid="{00000000-0005-0000-0000-000004E90000}"/>
    <cellStyle name="Обычный 4 14 4" xfId="59331" xr:uid="{00000000-0005-0000-0000-000005E90000}"/>
    <cellStyle name="Обычный 4 14 5" xfId="59332" xr:uid="{00000000-0005-0000-0000-000006E90000}"/>
    <cellStyle name="Обычный 4 15" xfId="59333" xr:uid="{00000000-0005-0000-0000-000007E90000}"/>
    <cellStyle name="Обычный 4 15 2" xfId="59334" xr:uid="{00000000-0005-0000-0000-000008E90000}"/>
    <cellStyle name="Обычный 4 15 2 2" xfId="59335" xr:uid="{00000000-0005-0000-0000-000009E90000}"/>
    <cellStyle name="Обычный 4 15 2 3" xfId="59336" xr:uid="{00000000-0005-0000-0000-00000AE90000}"/>
    <cellStyle name="Обычный 4 15 3" xfId="59337" xr:uid="{00000000-0005-0000-0000-00000BE90000}"/>
    <cellStyle name="Обычный 4 15 3 2" xfId="59338" xr:uid="{00000000-0005-0000-0000-00000CE90000}"/>
    <cellStyle name="Обычный 4 15 3 3" xfId="61136" xr:uid="{00000000-0005-0000-0000-00000DE90000}"/>
    <cellStyle name="Обычный 4 15 4" xfId="59339" xr:uid="{00000000-0005-0000-0000-00000EE90000}"/>
    <cellStyle name="Обычный 4 15 5" xfId="59340" xr:uid="{00000000-0005-0000-0000-00000FE90000}"/>
    <cellStyle name="Обычный 4 16" xfId="59341" xr:uid="{00000000-0005-0000-0000-000010E90000}"/>
    <cellStyle name="Обычный 4 16 2" xfId="59342" xr:uid="{00000000-0005-0000-0000-000011E90000}"/>
    <cellStyle name="Обычный 4 16 2 2" xfId="59343" xr:uid="{00000000-0005-0000-0000-000012E90000}"/>
    <cellStyle name="Обычный 4 16 2 3" xfId="59344" xr:uid="{00000000-0005-0000-0000-000013E90000}"/>
    <cellStyle name="Обычный 4 16 3" xfId="59345" xr:uid="{00000000-0005-0000-0000-000014E90000}"/>
    <cellStyle name="Обычный 4 16 3 2" xfId="59346" xr:uid="{00000000-0005-0000-0000-000015E90000}"/>
    <cellStyle name="Обычный 4 16 3 3" xfId="61137" xr:uid="{00000000-0005-0000-0000-000016E90000}"/>
    <cellStyle name="Обычный 4 16 4" xfId="59347" xr:uid="{00000000-0005-0000-0000-000017E90000}"/>
    <cellStyle name="Обычный 4 16 5" xfId="59348" xr:uid="{00000000-0005-0000-0000-000018E90000}"/>
    <cellStyle name="Обычный 4 17" xfId="59349" xr:uid="{00000000-0005-0000-0000-000019E90000}"/>
    <cellStyle name="Обычный 4 17 2" xfId="59350" xr:uid="{00000000-0005-0000-0000-00001AE90000}"/>
    <cellStyle name="Обычный 4 17 2 2" xfId="59351" xr:uid="{00000000-0005-0000-0000-00001BE90000}"/>
    <cellStyle name="Обычный 4 17 2 3" xfId="59352" xr:uid="{00000000-0005-0000-0000-00001CE90000}"/>
    <cellStyle name="Обычный 4 17 3" xfId="59353" xr:uid="{00000000-0005-0000-0000-00001DE90000}"/>
    <cellStyle name="Обычный 4 17 3 2" xfId="59354" xr:uid="{00000000-0005-0000-0000-00001EE90000}"/>
    <cellStyle name="Обычный 4 17 3 3" xfId="61138" xr:uid="{00000000-0005-0000-0000-00001FE90000}"/>
    <cellStyle name="Обычный 4 17 4" xfId="59355" xr:uid="{00000000-0005-0000-0000-000020E90000}"/>
    <cellStyle name="Обычный 4 17 5" xfId="59356" xr:uid="{00000000-0005-0000-0000-000021E90000}"/>
    <cellStyle name="Обычный 4 18" xfId="59357" xr:uid="{00000000-0005-0000-0000-000022E90000}"/>
    <cellStyle name="Обычный 4 18 2" xfId="59358" xr:uid="{00000000-0005-0000-0000-000023E90000}"/>
    <cellStyle name="Обычный 4 18 2 2" xfId="59359" xr:uid="{00000000-0005-0000-0000-000024E90000}"/>
    <cellStyle name="Обычный 4 18 2 3" xfId="59360" xr:uid="{00000000-0005-0000-0000-000025E90000}"/>
    <cellStyle name="Обычный 4 18 3" xfId="59361" xr:uid="{00000000-0005-0000-0000-000026E90000}"/>
    <cellStyle name="Обычный 4 18 3 2" xfId="59362" xr:uid="{00000000-0005-0000-0000-000027E90000}"/>
    <cellStyle name="Обычный 4 18 3 3" xfId="61139" xr:uid="{00000000-0005-0000-0000-000028E90000}"/>
    <cellStyle name="Обычный 4 18 4" xfId="59363" xr:uid="{00000000-0005-0000-0000-000029E90000}"/>
    <cellStyle name="Обычный 4 18 5" xfId="59364" xr:uid="{00000000-0005-0000-0000-00002AE90000}"/>
    <cellStyle name="Обычный 4 19" xfId="59365" xr:uid="{00000000-0005-0000-0000-00002BE90000}"/>
    <cellStyle name="Обычный 4 19 2" xfId="59366" xr:uid="{00000000-0005-0000-0000-00002CE90000}"/>
    <cellStyle name="Обычный 4 19 3" xfId="59367" xr:uid="{00000000-0005-0000-0000-00002DE90000}"/>
    <cellStyle name="Обычный 4 2" xfId="59368" xr:uid="{00000000-0005-0000-0000-00002EE90000}"/>
    <cellStyle name="Обычный 4 2 2" xfId="59369" xr:uid="{00000000-0005-0000-0000-00002FE90000}"/>
    <cellStyle name="Обычный 4 20" xfId="59370" xr:uid="{00000000-0005-0000-0000-000030E90000}"/>
    <cellStyle name="Обычный 4 20 2" xfId="59371" xr:uid="{00000000-0005-0000-0000-000031E90000}"/>
    <cellStyle name="Обычный 4 20 3" xfId="61140" xr:uid="{00000000-0005-0000-0000-000032E90000}"/>
    <cellStyle name="Обычный 4 21" xfId="59372" xr:uid="{00000000-0005-0000-0000-000033E90000}"/>
    <cellStyle name="Обычный 4 21 2" xfId="59373" xr:uid="{00000000-0005-0000-0000-000034E90000}"/>
    <cellStyle name="Обычный 4 22" xfId="59374" xr:uid="{00000000-0005-0000-0000-000035E90000}"/>
    <cellStyle name="Обычный 4 23" xfId="59375" xr:uid="{00000000-0005-0000-0000-000036E90000}"/>
    <cellStyle name="Обычный 4 24" xfId="59376" xr:uid="{00000000-0005-0000-0000-000037E90000}"/>
    <cellStyle name="Обычный 4 25" xfId="59377" xr:uid="{00000000-0005-0000-0000-000038E90000}"/>
    <cellStyle name="Обычный 4 26" xfId="59378" xr:uid="{00000000-0005-0000-0000-000039E90000}"/>
    <cellStyle name="Обычный 4 27" xfId="59379" xr:uid="{00000000-0005-0000-0000-00003AE90000}"/>
    <cellStyle name="Обычный 4 28" xfId="59380" xr:uid="{00000000-0005-0000-0000-00003BE90000}"/>
    <cellStyle name="Обычный 4 29" xfId="59381" xr:uid="{00000000-0005-0000-0000-00003CE90000}"/>
    <cellStyle name="Обычный 4 3" xfId="59382" xr:uid="{00000000-0005-0000-0000-00003DE90000}"/>
    <cellStyle name="Обычный 4 3 2" xfId="59383" xr:uid="{00000000-0005-0000-0000-00003EE90000}"/>
    <cellStyle name="Обычный 4 3 2 2" xfId="59384" xr:uid="{00000000-0005-0000-0000-00003FE90000}"/>
    <cellStyle name="Обычный 4 3 2 2 2" xfId="59385" xr:uid="{00000000-0005-0000-0000-000040E90000}"/>
    <cellStyle name="Обычный 4 3 2 2 2 2" xfId="59386" xr:uid="{00000000-0005-0000-0000-000041E90000}"/>
    <cellStyle name="Обычный 4 3 2 2 2 3" xfId="59387" xr:uid="{00000000-0005-0000-0000-000042E90000}"/>
    <cellStyle name="Обычный 4 3 2 2 3" xfId="59388" xr:uid="{00000000-0005-0000-0000-000043E90000}"/>
    <cellStyle name="Обычный 4 3 2 2 3 2" xfId="59389" xr:uid="{00000000-0005-0000-0000-000044E90000}"/>
    <cellStyle name="Обычный 4 3 2 2 3 3" xfId="61141" xr:uid="{00000000-0005-0000-0000-000045E90000}"/>
    <cellStyle name="Обычный 4 3 2 2 4" xfId="59390" xr:uid="{00000000-0005-0000-0000-000046E90000}"/>
    <cellStyle name="Обычный 4 3 2 2 5" xfId="59391" xr:uid="{00000000-0005-0000-0000-000047E90000}"/>
    <cellStyle name="Обычный 4 3 2 3" xfId="59392" xr:uid="{00000000-0005-0000-0000-000048E90000}"/>
    <cellStyle name="Обычный 4 3 2 3 2" xfId="59393" xr:uid="{00000000-0005-0000-0000-000049E90000}"/>
    <cellStyle name="Обычный 4 3 2 3 3" xfId="59394" xr:uid="{00000000-0005-0000-0000-00004AE90000}"/>
    <cellStyle name="Обычный 4 3 2 4" xfId="59395" xr:uid="{00000000-0005-0000-0000-00004BE90000}"/>
    <cellStyle name="Обычный 4 3 2 4 2" xfId="59396" xr:uid="{00000000-0005-0000-0000-00004CE90000}"/>
    <cellStyle name="Обычный 4 3 2 4 3" xfId="61142" xr:uid="{00000000-0005-0000-0000-00004DE90000}"/>
    <cellStyle name="Обычный 4 3 2 5" xfId="59397" xr:uid="{00000000-0005-0000-0000-00004EE90000}"/>
    <cellStyle name="Обычный 4 3 2 6" xfId="59398" xr:uid="{00000000-0005-0000-0000-00004FE90000}"/>
    <cellStyle name="Обычный 4 3 2_объемы 2018г111" xfId="61143" xr:uid="{00000000-0005-0000-0000-000050E90000}"/>
    <cellStyle name="Обычный 4 3 3" xfId="59399" xr:uid="{00000000-0005-0000-0000-000051E90000}"/>
    <cellStyle name="Обычный 4 3 3 2" xfId="59400" xr:uid="{00000000-0005-0000-0000-000052E90000}"/>
    <cellStyle name="Обычный 4 3 3 2 2" xfId="59401" xr:uid="{00000000-0005-0000-0000-000053E90000}"/>
    <cellStyle name="Обычный 4 3 3 2 3" xfId="59402" xr:uid="{00000000-0005-0000-0000-000054E90000}"/>
    <cellStyle name="Обычный 4 3 3 3" xfId="59403" xr:uid="{00000000-0005-0000-0000-000055E90000}"/>
    <cellStyle name="Обычный 4 3 3 3 2" xfId="59404" xr:uid="{00000000-0005-0000-0000-000056E90000}"/>
    <cellStyle name="Обычный 4 3 3 3 3" xfId="61144" xr:uid="{00000000-0005-0000-0000-000057E90000}"/>
    <cellStyle name="Обычный 4 3 3 4" xfId="59405" xr:uid="{00000000-0005-0000-0000-000058E90000}"/>
    <cellStyle name="Обычный 4 3 3 5" xfId="59406" xr:uid="{00000000-0005-0000-0000-000059E90000}"/>
    <cellStyle name="Обычный 4 3 4" xfId="59407" xr:uid="{00000000-0005-0000-0000-00005AE90000}"/>
    <cellStyle name="Обычный 4 3 4 2" xfId="59408" xr:uid="{00000000-0005-0000-0000-00005BE90000}"/>
    <cellStyle name="Обычный 4 3 4 3" xfId="59409" xr:uid="{00000000-0005-0000-0000-00005CE90000}"/>
    <cellStyle name="Обычный 4 3 5" xfId="59410" xr:uid="{00000000-0005-0000-0000-00005DE90000}"/>
    <cellStyle name="Обычный 4 3 5 2" xfId="59411" xr:uid="{00000000-0005-0000-0000-00005EE90000}"/>
    <cellStyle name="Обычный 4 3 5 3" xfId="61145" xr:uid="{00000000-0005-0000-0000-00005FE90000}"/>
    <cellStyle name="Обычный 4 3 6" xfId="59412" xr:uid="{00000000-0005-0000-0000-000060E90000}"/>
    <cellStyle name="Обычный 4 3 7" xfId="59413" xr:uid="{00000000-0005-0000-0000-000061E90000}"/>
    <cellStyle name="Обычный 4 3_объемы 2018г111" xfId="61146" xr:uid="{00000000-0005-0000-0000-000062E90000}"/>
    <cellStyle name="Обычный 4 30" xfId="59414" xr:uid="{00000000-0005-0000-0000-000063E90000}"/>
    <cellStyle name="Обычный 4 31" xfId="59415" xr:uid="{00000000-0005-0000-0000-000064E90000}"/>
    <cellStyle name="Обычный 4 32" xfId="59416" xr:uid="{00000000-0005-0000-0000-000065E90000}"/>
    <cellStyle name="Обычный 4 4" xfId="59417" xr:uid="{00000000-0005-0000-0000-000066E90000}"/>
    <cellStyle name="Обычный 4 4 2" xfId="59418" xr:uid="{00000000-0005-0000-0000-000067E90000}"/>
    <cellStyle name="Обычный 4 4 2 2" xfId="59419" xr:uid="{00000000-0005-0000-0000-000068E90000}"/>
    <cellStyle name="Обычный 4 4 2 2 2" xfId="59420" xr:uid="{00000000-0005-0000-0000-000069E90000}"/>
    <cellStyle name="Обычный 4 4 2 2 2 2" xfId="59421" xr:uid="{00000000-0005-0000-0000-00006AE90000}"/>
    <cellStyle name="Обычный 4 4 2 2 2 3" xfId="59422" xr:uid="{00000000-0005-0000-0000-00006BE90000}"/>
    <cellStyle name="Обычный 4 4 2 2 3" xfId="59423" xr:uid="{00000000-0005-0000-0000-00006CE90000}"/>
    <cellStyle name="Обычный 4 4 2 2 3 2" xfId="59424" xr:uid="{00000000-0005-0000-0000-00006DE90000}"/>
    <cellStyle name="Обычный 4 4 2 2 3 3" xfId="61147" xr:uid="{00000000-0005-0000-0000-00006EE90000}"/>
    <cellStyle name="Обычный 4 4 2 2 4" xfId="59425" xr:uid="{00000000-0005-0000-0000-00006FE90000}"/>
    <cellStyle name="Обычный 4 4 2 2 5" xfId="59426" xr:uid="{00000000-0005-0000-0000-000070E90000}"/>
    <cellStyle name="Обычный 4 4 2 3" xfId="59427" xr:uid="{00000000-0005-0000-0000-000071E90000}"/>
    <cellStyle name="Обычный 4 4 2 3 2" xfId="59428" xr:uid="{00000000-0005-0000-0000-000072E90000}"/>
    <cellStyle name="Обычный 4 4 2 3 3" xfId="59429" xr:uid="{00000000-0005-0000-0000-000073E90000}"/>
    <cellStyle name="Обычный 4 4 2 4" xfId="59430" xr:uid="{00000000-0005-0000-0000-000074E90000}"/>
    <cellStyle name="Обычный 4 4 2 4 2" xfId="59431" xr:uid="{00000000-0005-0000-0000-000075E90000}"/>
    <cellStyle name="Обычный 4 4 2 4 3" xfId="61148" xr:uid="{00000000-0005-0000-0000-000076E90000}"/>
    <cellStyle name="Обычный 4 4 2 5" xfId="59432" xr:uid="{00000000-0005-0000-0000-000077E90000}"/>
    <cellStyle name="Обычный 4 4 2 6" xfId="59433" xr:uid="{00000000-0005-0000-0000-000078E90000}"/>
    <cellStyle name="Обычный 4 4 2_объемы 2018г111" xfId="61149" xr:uid="{00000000-0005-0000-0000-000079E90000}"/>
    <cellStyle name="Обычный 4 4 3" xfId="59434" xr:uid="{00000000-0005-0000-0000-00007AE90000}"/>
    <cellStyle name="Обычный 4 4 3 2" xfId="59435" xr:uid="{00000000-0005-0000-0000-00007BE90000}"/>
    <cellStyle name="Обычный 4 4 3 2 2" xfId="59436" xr:uid="{00000000-0005-0000-0000-00007CE90000}"/>
    <cellStyle name="Обычный 4 4 3 2 3" xfId="59437" xr:uid="{00000000-0005-0000-0000-00007DE90000}"/>
    <cellStyle name="Обычный 4 4 3 3" xfId="59438" xr:uid="{00000000-0005-0000-0000-00007EE90000}"/>
    <cellStyle name="Обычный 4 4 3 3 2" xfId="59439" xr:uid="{00000000-0005-0000-0000-00007FE90000}"/>
    <cellStyle name="Обычный 4 4 3 3 3" xfId="61150" xr:uid="{00000000-0005-0000-0000-000080E90000}"/>
    <cellStyle name="Обычный 4 4 3 4" xfId="59440" xr:uid="{00000000-0005-0000-0000-000081E90000}"/>
    <cellStyle name="Обычный 4 4 3 5" xfId="59441" xr:uid="{00000000-0005-0000-0000-000082E90000}"/>
    <cellStyle name="Обычный 4 4 4" xfId="59442" xr:uid="{00000000-0005-0000-0000-000083E90000}"/>
    <cellStyle name="Обычный 4 4 4 2" xfId="59443" xr:uid="{00000000-0005-0000-0000-000084E90000}"/>
    <cellStyle name="Обычный 4 4 4 3" xfId="59444" xr:uid="{00000000-0005-0000-0000-000085E90000}"/>
    <cellStyle name="Обычный 4 4 5" xfId="59445" xr:uid="{00000000-0005-0000-0000-000086E90000}"/>
    <cellStyle name="Обычный 4 4 5 2" xfId="59446" xr:uid="{00000000-0005-0000-0000-000087E90000}"/>
    <cellStyle name="Обычный 4 4 5 3" xfId="61151" xr:uid="{00000000-0005-0000-0000-000088E90000}"/>
    <cellStyle name="Обычный 4 4 6" xfId="59447" xr:uid="{00000000-0005-0000-0000-000089E90000}"/>
    <cellStyle name="Обычный 4 4 7" xfId="59448" xr:uid="{00000000-0005-0000-0000-00008AE90000}"/>
    <cellStyle name="Обычный 4 4_объемы 2018г111" xfId="61152" xr:uid="{00000000-0005-0000-0000-00008BE90000}"/>
    <cellStyle name="Обычный 4 5" xfId="59449" xr:uid="{00000000-0005-0000-0000-00008CE90000}"/>
    <cellStyle name="Обычный 4 5 2" xfId="59450" xr:uid="{00000000-0005-0000-0000-00008DE90000}"/>
    <cellStyle name="Обычный 4 5 2 2" xfId="59451" xr:uid="{00000000-0005-0000-0000-00008EE90000}"/>
    <cellStyle name="Обычный 4 5 2 2 2" xfId="59452" xr:uid="{00000000-0005-0000-0000-00008FE90000}"/>
    <cellStyle name="Обычный 4 5 2 2 3" xfId="59453" xr:uid="{00000000-0005-0000-0000-000090E90000}"/>
    <cellStyle name="Обычный 4 5 2 3" xfId="59454" xr:uid="{00000000-0005-0000-0000-000091E90000}"/>
    <cellStyle name="Обычный 4 5 2 3 2" xfId="59455" xr:uid="{00000000-0005-0000-0000-000092E90000}"/>
    <cellStyle name="Обычный 4 5 2 3 3" xfId="61153" xr:uid="{00000000-0005-0000-0000-000093E90000}"/>
    <cellStyle name="Обычный 4 5 2 4" xfId="59456" xr:uid="{00000000-0005-0000-0000-000094E90000}"/>
    <cellStyle name="Обычный 4 5 2 5" xfId="59457" xr:uid="{00000000-0005-0000-0000-000095E90000}"/>
    <cellStyle name="Обычный 4 5 3" xfId="59458" xr:uid="{00000000-0005-0000-0000-000096E90000}"/>
    <cellStyle name="Обычный 4 5 3 2" xfId="59459" xr:uid="{00000000-0005-0000-0000-000097E90000}"/>
    <cellStyle name="Обычный 4 5 3 3" xfId="59460" xr:uid="{00000000-0005-0000-0000-000098E90000}"/>
    <cellStyle name="Обычный 4 5 4" xfId="59461" xr:uid="{00000000-0005-0000-0000-000099E90000}"/>
    <cellStyle name="Обычный 4 5 4 2" xfId="59462" xr:uid="{00000000-0005-0000-0000-00009AE90000}"/>
    <cellStyle name="Обычный 4 5 4 3" xfId="61154" xr:uid="{00000000-0005-0000-0000-00009BE90000}"/>
    <cellStyle name="Обычный 4 5 5" xfId="59463" xr:uid="{00000000-0005-0000-0000-00009CE90000}"/>
    <cellStyle name="Обычный 4 5 6" xfId="59464" xr:uid="{00000000-0005-0000-0000-00009DE90000}"/>
    <cellStyle name="Обычный 4 5_объемы 2018г111" xfId="61155" xr:uid="{00000000-0005-0000-0000-00009EE90000}"/>
    <cellStyle name="Обычный 4 6" xfId="59465" xr:uid="{00000000-0005-0000-0000-00009FE90000}"/>
    <cellStyle name="Обычный 4 6 2" xfId="59466" xr:uid="{00000000-0005-0000-0000-0000A0E90000}"/>
    <cellStyle name="Обычный 4 6 2 2" xfId="59467" xr:uid="{00000000-0005-0000-0000-0000A1E90000}"/>
    <cellStyle name="Обычный 4 6 2 3" xfId="59468" xr:uid="{00000000-0005-0000-0000-0000A2E90000}"/>
    <cellStyle name="Обычный 4 6 3" xfId="59469" xr:uid="{00000000-0005-0000-0000-0000A3E90000}"/>
    <cellStyle name="Обычный 4 6 3 2" xfId="59470" xr:uid="{00000000-0005-0000-0000-0000A4E90000}"/>
    <cellStyle name="Обычный 4 6 3 3" xfId="61156" xr:uid="{00000000-0005-0000-0000-0000A5E90000}"/>
    <cellStyle name="Обычный 4 6 4" xfId="59471" xr:uid="{00000000-0005-0000-0000-0000A6E90000}"/>
    <cellStyle name="Обычный 4 6 5" xfId="59472" xr:uid="{00000000-0005-0000-0000-0000A7E90000}"/>
    <cellStyle name="Обычный 4 7" xfId="59473" xr:uid="{00000000-0005-0000-0000-0000A8E90000}"/>
    <cellStyle name="Обычный 4 7 2" xfId="59474" xr:uid="{00000000-0005-0000-0000-0000A9E90000}"/>
    <cellStyle name="Обычный 4 7 2 2" xfId="59475" xr:uid="{00000000-0005-0000-0000-0000AAE90000}"/>
    <cellStyle name="Обычный 4 7 2 3" xfId="59476" xr:uid="{00000000-0005-0000-0000-0000ABE90000}"/>
    <cellStyle name="Обычный 4 7 3" xfId="59477" xr:uid="{00000000-0005-0000-0000-0000ACE90000}"/>
    <cellStyle name="Обычный 4 7 3 2" xfId="59478" xr:uid="{00000000-0005-0000-0000-0000ADE90000}"/>
    <cellStyle name="Обычный 4 7 3 3" xfId="61157" xr:uid="{00000000-0005-0000-0000-0000AEE90000}"/>
    <cellStyle name="Обычный 4 7 4" xfId="59479" xr:uid="{00000000-0005-0000-0000-0000AFE90000}"/>
    <cellStyle name="Обычный 4 7 5" xfId="59480" xr:uid="{00000000-0005-0000-0000-0000B0E90000}"/>
    <cellStyle name="Обычный 4 8" xfId="59481" xr:uid="{00000000-0005-0000-0000-0000B1E90000}"/>
    <cellStyle name="Обычный 4 8 2" xfId="59482" xr:uid="{00000000-0005-0000-0000-0000B2E90000}"/>
    <cellStyle name="Обычный 4 8 2 2" xfId="59483" xr:uid="{00000000-0005-0000-0000-0000B3E90000}"/>
    <cellStyle name="Обычный 4 8 2 3" xfId="59484" xr:uid="{00000000-0005-0000-0000-0000B4E90000}"/>
    <cellStyle name="Обычный 4 8 3" xfId="59485" xr:uid="{00000000-0005-0000-0000-0000B5E90000}"/>
    <cellStyle name="Обычный 4 8 3 2" xfId="59486" xr:uid="{00000000-0005-0000-0000-0000B6E90000}"/>
    <cellStyle name="Обычный 4 8 3 3" xfId="61158" xr:uid="{00000000-0005-0000-0000-0000B7E90000}"/>
    <cellStyle name="Обычный 4 8 4" xfId="59487" xr:uid="{00000000-0005-0000-0000-0000B8E90000}"/>
    <cellStyle name="Обычный 4 8 5" xfId="59488" xr:uid="{00000000-0005-0000-0000-0000B9E90000}"/>
    <cellStyle name="Обычный 4 9" xfId="59489" xr:uid="{00000000-0005-0000-0000-0000BAE90000}"/>
    <cellStyle name="Обычный 4 9 2" xfId="59490" xr:uid="{00000000-0005-0000-0000-0000BBE90000}"/>
    <cellStyle name="Обычный 4 9 2 2" xfId="59491" xr:uid="{00000000-0005-0000-0000-0000BCE90000}"/>
    <cellStyle name="Обычный 4 9 2 3" xfId="59492" xr:uid="{00000000-0005-0000-0000-0000BDE90000}"/>
    <cellStyle name="Обычный 4 9 3" xfId="59493" xr:uid="{00000000-0005-0000-0000-0000BEE90000}"/>
    <cellStyle name="Обычный 4 9 3 2" xfId="59494" xr:uid="{00000000-0005-0000-0000-0000BFE90000}"/>
    <cellStyle name="Обычный 4 9 3 3" xfId="61159" xr:uid="{00000000-0005-0000-0000-0000C0E90000}"/>
    <cellStyle name="Обычный 4 9 4" xfId="59495" xr:uid="{00000000-0005-0000-0000-0000C1E90000}"/>
    <cellStyle name="Обычный 4 9 5" xfId="59496" xr:uid="{00000000-0005-0000-0000-0000C2E90000}"/>
    <cellStyle name="Обычный 4_объемы 2018г111" xfId="61160" xr:uid="{00000000-0005-0000-0000-0000C3E90000}"/>
    <cellStyle name="Обычный 40" xfId="59497" xr:uid="{00000000-0005-0000-0000-0000C4E90000}"/>
    <cellStyle name="Обычный 40 2" xfId="59498" xr:uid="{00000000-0005-0000-0000-0000C5E90000}"/>
    <cellStyle name="Обычный 40 2 2" xfId="59499" xr:uid="{00000000-0005-0000-0000-0000C6E90000}"/>
    <cellStyle name="Обычный 40 2 3" xfId="59500" xr:uid="{00000000-0005-0000-0000-0000C7E90000}"/>
    <cellStyle name="Обычный 40 3" xfId="59501" xr:uid="{00000000-0005-0000-0000-0000C8E90000}"/>
    <cellStyle name="Обычный 40 3 2" xfId="59502" xr:uid="{00000000-0005-0000-0000-0000C9E90000}"/>
    <cellStyle name="Обычный 40 3 3" xfId="61161" xr:uid="{00000000-0005-0000-0000-0000CAE90000}"/>
    <cellStyle name="Обычный 40 4" xfId="59503" xr:uid="{00000000-0005-0000-0000-0000CBE90000}"/>
    <cellStyle name="Обычный 40 5" xfId="59504" xr:uid="{00000000-0005-0000-0000-0000CCE90000}"/>
    <cellStyle name="Обычный 41" xfId="59505" xr:uid="{00000000-0005-0000-0000-0000CDE90000}"/>
    <cellStyle name="Обычный 41 2" xfId="59506" xr:uid="{00000000-0005-0000-0000-0000CEE90000}"/>
    <cellStyle name="Обычный 41 2 2" xfId="59507" xr:uid="{00000000-0005-0000-0000-0000CFE90000}"/>
    <cellStyle name="Обычный 41 2 3" xfId="59508" xr:uid="{00000000-0005-0000-0000-0000D0E90000}"/>
    <cellStyle name="Обычный 41 3" xfId="59509" xr:uid="{00000000-0005-0000-0000-0000D1E90000}"/>
    <cellStyle name="Обычный 41 3 2" xfId="59510" xr:uid="{00000000-0005-0000-0000-0000D2E90000}"/>
    <cellStyle name="Обычный 41 3 3" xfId="61162" xr:uid="{00000000-0005-0000-0000-0000D3E90000}"/>
    <cellStyle name="Обычный 41 4" xfId="59511" xr:uid="{00000000-0005-0000-0000-0000D4E90000}"/>
    <cellStyle name="Обычный 41 5" xfId="59512" xr:uid="{00000000-0005-0000-0000-0000D5E90000}"/>
    <cellStyle name="Обычный 42" xfId="59513" xr:uid="{00000000-0005-0000-0000-0000D6E90000}"/>
    <cellStyle name="Обычный 42 2" xfId="59514" xr:uid="{00000000-0005-0000-0000-0000D7E90000}"/>
    <cellStyle name="Обычный 42 2 2" xfId="59515" xr:uid="{00000000-0005-0000-0000-0000D8E90000}"/>
    <cellStyle name="Обычный 42 2 3" xfId="59516" xr:uid="{00000000-0005-0000-0000-0000D9E90000}"/>
    <cellStyle name="Обычный 42 3" xfId="59517" xr:uid="{00000000-0005-0000-0000-0000DAE90000}"/>
    <cellStyle name="Обычный 42 3 2" xfId="59518" xr:uid="{00000000-0005-0000-0000-0000DBE90000}"/>
    <cellStyle name="Обычный 42 3 3" xfId="61163" xr:uid="{00000000-0005-0000-0000-0000DCE90000}"/>
    <cellStyle name="Обычный 42 4" xfId="59519" xr:uid="{00000000-0005-0000-0000-0000DDE90000}"/>
    <cellStyle name="Обычный 42 5" xfId="59520" xr:uid="{00000000-0005-0000-0000-0000DEE90000}"/>
    <cellStyle name="Обычный 43" xfId="59521" xr:uid="{00000000-0005-0000-0000-0000DFE90000}"/>
    <cellStyle name="Обычный 43 2" xfId="59522" xr:uid="{00000000-0005-0000-0000-0000E0E90000}"/>
    <cellStyle name="Обычный 43 2 2" xfId="59523" xr:uid="{00000000-0005-0000-0000-0000E1E90000}"/>
    <cellStyle name="Обычный 43 2 3" xfId="59524" xr:uid="{00000000-0005-0000-0000-0000E2E90000}"/>
    <cellStyle name="Обычный 43 3" xfId="59525" xr:uid="{00000000-0005-0000-0000-0000E3E90000}"/>
    <cellStyle name="Обычный 43 3 2" xfId="59526" xr:uid="{00000000-0005-0000-0000-0000E4E90000}"/>
    <cellStyle name="Обычный 43 3 3" xfId="61164" xr:uid="{00000000-0005-0000-0000-0000E5E90000}"/>
    <cellStyle name="Обычный 43 4" xfId="59527" xr:uid="{00000000-0005-0000-0000-0000E6E90000}"/>
    <cellStyle name="Обычный 43 5" xfId="59528" xr:uid="{00000000-0005-0000-0000-0000E7E90000}"/>
    <cellStyle name="Обычный 44" xfId="59529" xr:uid="{00000000-0005-0000-0000-0000E8E90000}"/>
    <cellStyle name="Обычный 44 2" xfId="59530" xr:uid="{00000000-0005-0000-0000-0000E9E90000}"/>
    <cellStyle name="Обычный 44 2 2" xfId="59531" xr:uid="{00000000-0005-0000-0000-0000EAE90000}"/>
    <cellStyle name="Обычный 44 2 3" xfId="59532" xr:uid="{00000000-0005-0000-0000-0000EBE90000}"/>
    <cellStyle name="Обычный 44 3" xfId="59533" xr:uid="{00000000-0005-0000-0000-0000ECE90000}"/>
    <cellStyle name="Обычный 44 3 2" xfId="59534" xr:uid="{00000000-0005-0000-0000-0000EDE90000}"/>
    <cellStyle name="Обычный 44 3 3" xfId="61165" xr:uid="{00000000-0005-0000-0000-0000EEE90000}"/>
    <cellStyle name="Обычный 44 4" xfId="59535" xr:uid="{00000000-0005-0000-0000-0000EFE90000}"/>
    <cellStyle name="Обычный 44 5" xfId="59536" xr:uid="{00000000-0005-0000-0000-0000F0E90000}"/>
    <cellStyle name="Обычный 45" xfId="59537" xr:uid="{00000000-0005-0000-0000-0000F1E90000}"/>
    <cellStyle name="Обычный 45 2" xfId="59538" xr:uid="{00000000-0005-0000-0000-0000F2E90000}"/>
    <cellStyle name="Обычный 45 2 2" xfId="59539" xr:uid="{00000000-0005-0000-0000-0000F3E90000}"/>
    <cellStyle name="Обычный 45 2 3" xfId="59540" xr:uid="{00000000-0005-0000-0000-0000F4E90000}"/>
    <cellStyle name="Обычный 45 3" xfId="59541" xr:uid="{00000000-0005-0000-0000-0000F5E90000}"/>
    <cellStyle name="Обычный 45 3 2" xfId="59542" xr:uid="{00000000-0005-0000-0000-0000F6E90000}"/>
    <cellStyle name="Обычный 45 3 3" xfId="61166" xr:uid="{00000000-0005-0000-0000-0000F7E90000}"/>
    <cellStyle name="Обычный 45 4" xfId="59543" xr:uid="{00000000-0005-0000-0000-0000F8E90000}"/>
    <cellStyle name="Обычный 45 5" xfId="59544" xr:uid="{00000000-0005-0000-0000-0000F9E90000}"/>
    <cellStyle name="Обычный 46" xfId="59545" xr:uid="{00000000-0005-0000-0000-0000FAE90000}"/>
    <cellStyle name="Обычный 46 2" xfId="59546" xr:uid="{00000000-0005-0000-0000-0000FBE90000}"/>
    <cellStyle name="Обычный 46 2 2" xfId="59547" xr:uid="{00000000-0005-0000-0000-0000FCE90000}"/>
    <cellStyle name="Обычный 46 2 3" xfId="59548" xr:uid="{00000000-0005-0000-0000-0000FDE90000}"/>
    <cellStyle name="Обычный 46 3" xfId="59549" xr:uid="{00000000-0005-0000-0000-0000FEE90000}"/>
    <cellStyle name="Обычный 46 3 2" xfId="59550" xr:uid="{00000000-0005-0000-0000-0000FFE90000}"/>
    <cellStyle name="Обычный 46 3 3" xfId="61167" xr:uid="{00000000-0005-0000-0000-000000EA0000}"/>
    <cellStyle name="Обычный 46 4" xfId="59551" xr:uid="{00000000-0005-0000-0000-000001EA0000}"/>
    <cellStyle name="Обычный 46 5" xfId="59552" xr:uid="{00000000-0005-0000-0000-000002EA0000}"/>
    <cellStyle name="Обычный 47" xfId="59553" xr:uid="{00000000-0005-0000-0000-000003EA0000}"/>
    <cellStyle name="Обычный 47 2" xfId="59554" xr:uid="{00000000-0005-0000-0000-000004EA0000}"/>
    <cellStyle name="Обычный 47 2 2" xfId="59555" xr:uid="{00000000-0005-0000-0000-000005EA0000}"/>
    <cellStyle name="Обычный 47 2 3" xfId="59556" xr:uid="{00000000-0005-0000-0000-000006EA0000}"/>
    <cellStyle name="Обычный 47 3" xfId="59557" xr:uid="{00000000-0005-0000-0000-000007EA0000}"/>
    <cellStyle name="Обычный 47 3 2" xfId="59558" xr:uid="{00000000-0005-0000-0000-000008EA0000}"/>
    <cellStyle name="Обычный 47 3 3" xfId="61168" xr:uid="{00000000-0005-0000-0000-000009EA0000}"/>
    <cellStyle name="Обычный 47 4" xfId="59559" xr:uid="{00000000-0005-0000-0000-00000AEA0000}"/>
    <cellStyle name="Обычный 47 5" xfId="59560" xr:uid="{00000000-0005-0000-0000-00000BEA0000}"/>
    <cellStyle name="Обычный 48" xfId="59561" xr:uid="{00000000-0005-0000-0000-00000CEA0000}"/>
    <cellStyle name="Обычный 48 2" xfId="59562" xr:uid="{00000000-0005-0000-0000-00000DEA0000}"/>
    <cellStyle name="Обычный 48 2 2" xfId="59563" xr:uid="{00000000-0005-0000-0000-00000EEA0000}"/>
    <cellStyle name="Обычный 48 2 3" xfId="59564" xr:uid="{00000000-0005-0000-0000-00000FEA0000}"/>
    <cellStyle name="Обычный 48 3" xfId="59565" xr:uid="{00000000-0005-0000-0000-000010EA0000}"/>
    <cellStyle name="Обычный 48 3 2" xfId="59566" xr:uid="{00000000-0005-0000-0000-000011EA0000}"/>
    <cellStyle name="Обычный 48 3 3" xfId="61169" xr:uid="{00000000-0005-0000-0000-000012EA0000}"/>
    <cellStyle name="Обычный 48 4" xfId="59567" xr:uid="{00000000-0005-0000-0000-000013EA0000}"/>
    <cellStyle name="Обычный 48 5" xfId="59568" xr:uid="{00000000-0005-0000-0000-000014EA0000}"/>
    <cellStyle name="Обычный 49" xfId="59569" xr:uid="{00000000-0005-0000-0000-000015EA0000}"/>
    <cellStyle name="Обычный 49 2" xfId="59570" xr:uid="{00000000-0005-0000-0000-000016EA0000}"/>
    <cellStyle name="Обычный 49 2 2" xfId="59571" xr:uid="{00000000-0005-0000-0000-000017EA0000}"/>
    <cellStyle name="Обычный 49 2 3" xfId="59572" xr:uid="{00000000-0005-0000-0000-000018EA0000}"/>
    <cellStyle name="Обычный 49 3" xfId="59573" xr:uid="{00000000-0005-0000-0000-000019EA0000}"/>
    <cellStyle name="Обычный 49 3 2" xfId="59574" xr:uid="{00000000-0005-0000-0000-00001AEA0000}"/>
    <cellStyle name="Обычный 49 3 3" xfId="61170" xr:uid="{00000000-0005-0000-0000-00001BEA0000}"/>
    <cellStyle name="Обычный 49 4" xfId="59575" xr:uid="{00000000-0005-0000-0000-00001CEA0000}"/>
    <cellStyle name="Обычный 49 5" xfId="59576" xr:uid="{00000000-0005-0000-0000-00001DEA0000}"/>
    <cellStyle name="Обычный 5" xfId="59577" xr:uid="{00000000-0005-0000-0000-00001EEA0000}"/>
    <cellStyle name="Обычный 5 2" xfId="59578" xr:uid="{00000000-0005-0000-0000-00001FEA0000}"/>
    <cellStyle name="Обычный 5 3" xfId="59579" xr:uid="{00000000-0005-0000-0000-000020EA0000}"/>
    <cellStyle name="Обычный 50" xfId="59580" xr:uid="{00000000-0005-0000-0000-000021EA0000}"/>
    <cellStyle name="Обычный 50 2" xfId="59581" xr:uid="{00000000-0005-0000-0000-000022EA0000}"/>
    <cellStyle name="Обычный 50 2 2" xfId="59582" xr:uid="{00000000-0005-0000-0000-000023EA0000}"/>
    <cellStyle name="Обычный 50 2 3" xfId="59583" xr:uid="{00000000-0005-0000-0000-000024EA0000}"/>
    <cellStyle name="Обычный 50 3" xfId="59584" xr:uid="{00000000-0005-0000-0000-000025EA0000}"/>
    <cellStyle name="Обычный 50 3 2" xfId="59585" xr:uid="{00000000-0005-0000-0000-000026EA0000}"/>
    <cellStyle name="Обычный 50 3 3" xfId="61171" xr:uid="{00000000-0005-0000-0000-000027EA0000}"/>
    <cellStyle name="Обычный 50 4" xfId="59586" xr:uid="{00000000-0005-0000-0000-000028EA0000}"/>
    <cellStyle name="Обычный 50 5" xfId="59587" xr:uid="{00000000-0005-0000-0000-000029EA0000}"/>
    <cellStyle name="Обычный 51" xfId="59588" xr:uid="{00000000-0005-0000-0000-00002AEA0000}"/>
    <cellStyle name="Обычный 51 2" xfId="59589" xr:uid="{00000000-0005-0000-0000-00002BEA0000}"/>
    <cellStyle name="Обычный 51 2 2" xfId="59590" xr:uid="{00000000-0005-0000-0000-00002CEA0000}"/>
    <cellStyle name="Обычный 51 2 3" xfId="59591" xr:uid="{00000000-0005-0000-0000-00002DEA0000}"/>
    <cellStyle name="Обычный 51 3" xfId="59592" xr:uid="{00000000-0005-0000-0000-00002EEA0000}"/>
    <cellStyle name="Обычный 51 3 2" xfId="59593" xr:uid="{00000000-0005-0000-0000-00002FEA0000}"/>
    <cellStyle name="Обычный 51 3 3" xfId="61172" xr:uid="{00000000-0005-0000-0000-000030EA0000}"/>
    <cellStyle name="Обычный 51 4" xfId="59594" xr:uid="{00000000-0005-0000-0000-000031EA0000}"/>
    <cellStyle name="Обычный 51 5" xfId="59595" xr:uid="{00000000-0005-0000-0000-000032EA0000}"/>
    <cellStyle name="Обычный 52" xfId="59596" xr:uid="{00000000-0005-0000-0000-000033EA0000}"/>
    <cellStyle name="Обычный 52 2" xfId="59597" xr:uid="{00000000-0005-0000-0000-000034EA0000}"/>
    <cellStyle name="Обычный 52 2 2" xfId="59598" xr:uid="{00000000-0005-0000-0000-000035EA0000}"/>
    <cellStyle name="Обычный 52 2 3" xfId="59599" xr:uid="{00000000-0005-0000-0000-000036EA0000}"/>
    <cellStyle name="Обычный 52 3" xfId="59600" xr:uid="{00000000-0005-0000-0000-000037EA0000}"/>
    <cellStyle name="Обычный 52 3 2" xfId="59601" xr:uid="{00000000-0005-0000-0000-000038EA0000}"/>
    <cellStyle name="Обычный 52 3 3" xfId="61173" xr:uid="{00000000-0005-0000-0000-000039EA0000}"/>
    <cellStyle name="Обычный 52 4" xfId="59602" xr:uid="{00000000-0005-0000-0000-00003AEA0000}"/>
    <cellStyle name="Обычный 52 5" xfId="59603" xr:uid="{00000000-0005-0000-0000-00003BEA0000}"/>
    <cellStyle name="Обычный 53" xfId="59604" xr:uid="{00000000-0005-0000-0000-00003CEA0000}"/>
    <cellStyle name="Обычный 53 2" xfId="59605" xr:uid="{00000000-0005-0000-0000-00003DEA0000}"/>
    <cellStyle name="Обычный 53 2 2" xfId="59606" xr:uid="{00000000-0005-0000-0000-00003EEA0000}"/>
    <cellStyle name="Обычный 53 2 3" xfId="59607" xr:uid="{00000000-0005-0000-0000-00003FEA0000}"/>
    <cellStyle name="Обычный 53 3" xfId="59608" xr:uid="{00000000-0005-0000-0000-000040EA0000}"/>
    <cellStyle name="Обычный 53 3 2" xfId="59609" xr:uid="{00000000-0005-0000-0000-000041EA0000}"/>
    <cellStyle name="Обычный 53 3 3" xfId="61174" xr:uid="{00000000-0005-0000-0000-000042EA0000}"/>
    <cellStyle name="Обычный 53 4" xfId="59610" xr:uid="{00000000-0005-0000-0000-000043EA0000}"/>
    <cellStyle name="Обычный 53 5" xfId="59611" xr:uid="{00000000-0005-0000-0000-000044EA0000}"/>
    <cellStyle name="Обычный 54" xfId="59612" xr:uid="{00000000-0005-0000-0000-000045EA0000}"/>
    <cellStyle name="Обычный 54 2" xfId="59613" xr:uid="{00000000-0005-0000-0000-000046EA0000}"/>
    <cellStyle name="Обычный 54 2 2" xfId="59614" xr:uid="{00000000-0005-0000-0000-000047EA0000}"/>
    <cellStyle name="Обычный 54 2 3" xfId="59615" xr:uid="{00000000-0005-0000-0000-000048EA0000}"/>
    <cellStyle name="Обычный 54 3" xfId="59616" xr:uid="{00000000-0005-0000-0000-000049EA0000}"/>
    <cellStyle name="Обычный 54 3 2" xfId="59617" xr:uid="{00000000-0005-0000-0000-00004AEA0000}"/>
    <cellStyle name="Обычный 54 3 3" xfId="61175" xr:uid="{00000000-0005-0000-0000-00004BEA0000}"/>
    <cellStyle name="Обычный 54 4" xfId="59618" xr:uid="{00000000-0005-0000-0000-00004CEA0000}"/>
    <cellStyle name="Обычный 54 5" xfId="59619" xr:uid="{00000000-0005-0000-0000-00004DEA0000}"/>
    <cellStyle name="Обычный 55" xfId="59620" xr:uid="{00000000-0005-0000-0000-00004EEA0000}"/>
    <cellStyle name="Обычный 55 2" xfId="59621" xr:uid="{00000000-0005-0000-0000-00004FEA0000}"/>
    <cellStyle name="Обычный 55 2 2" xfId="59622" xr:uid="{00000000-0005-0000-0000-000050EA0000}"/>
    <cellStyle name="Обычный 55 2 3" xfId="59623" xr:uid="{00000000-0005-0000-0000-000051EA0000}"/>
    <cellStyle name="Обычный 55 3" xfId="59624" xr:uid="{00000000-0005-0000-0000-000052EA0000}"/>
    <cellStyle name="Обычный 55 3 2" xfId="59625" xr:uid="{00000000-0005-0000-0000-000053EA0000}"/>
    <cellStyle name="Обычный 55 3 3" xfId="61176" xr:uid="{00000000-0005-0000-0000-000054EA0000}"/>
    <cellStyle name="Обычный 55 4" xfId="59626" xr:uid="{00000000-0005-0000-0000-000055EA0000}"/>
    <cellStyle name="Обычный 55 5" xfId="59627" xr:uid="{00000000-0005-0000-0000-000056EA0000}"/>
    <cellStyle name="Обычный 56" xfId="59628" xr:uid="{00000000-0005-0000-0000-000057EA0000}"/>
    <cellStyle name="Обычный 56 2" xfId="59629" xr:uid="{00000000-0005-0000-0000-000058EA0000}"/>
    <cellStyle name="Обычный 56 2 2" xfId="59630" xr:uid="{00000000-0005-0000-0000-000059EA0000}"/>
    <cellStyle name="Обычный 56 2 3" xfId="59631" xr:uid="{00000000-0005-0000-0000-00005AEA0000}"/>
    <cellStyle name="Обычный 56 3" xfId="59632" xr:uid="{00000000-0005-0000-0000-00005BEA0000}"/>
    <cellStyle name="Обычный 56 3 2" xfId="59633" xr:uid="{00000000-0005-0000-0000-00005CEA0000}"/>
    <cellStyle name="Обычный 56 3 3" xfId="61177" xr:uid="{00000000-0005-0000-0000-00005DEA0000}"/>
    <cellStyle name="Обычный 56 4" xfId="59634" xr:uid="{00000000-0005-0000-0000-00005EEA0000}"/>
    <cellStyle name="Обычный 56 5" xfId="59635" xr:uid="{00000000-0005-0000-0000-00005FEA0000}"/>
    <cellStyle name="Обычный 57" xfId="59636" xr:uid="{00000000-0005-0000-0000-000060EA0000}"/>
    <cellStyle name="Обычный 57 2" xfId="59637" xr:uid="{00000000-0005-0000-0000-000061EA0000}"/>
    <cellStyle name="Обычный 57 2 2" xfId="59638" xr:uid="{00000000-0005-0000-0000-000062EA0000}"/>
    <cellStyle name="Обычный 57 2 3" xfId="59639" xr:uid="{00000000-0005-0000-0000-000063EA0000}"/>
    <cellStyle name="Обычный 57 3" xfId="59640" xr:uid="{00000000-0005-0000-0000-000064EA0000}"/>
    <cellStyle name="Обычный 57 3 2" xfId="59641" xr:uid="{00000000-0005-0000-0000-000065EA0000}"/>
    <cellStyle name="Обычный 57 3 3" xfId="61178" xr:uid="{00000000-0005-0000-0000-000066EA0000}"/>
    <cellStyle name="Обычный 57 4" xfId="59642" xr:uid="{00000000-0005-0000-0000-000067EA0000}"/>
    <cellStyle name="Обычный 57 5" xfId="59643" xr:uid="{00000000-0005-0000-0000-000068EA0000}"/>
    <cellStyle name="Обычный 58" xfId="59644" xr:uid="{00000000-0005-0000-0000-000069EA0000}"/>
    <cellStyle name="Обычный 58 2" xfId="59645" xr:uid="{00000000-0005-0000-0000-00006AEA0000}"/>
    <cellStyle name="Обычный 58 2 2" xfId="59646" xr:uid="{00000000-0005-0000-0000-00006BEA0000}"/>
    <cellStyle name="Обычный 58 2 3" xfId="59647" xr:uid="{00000000-0005-0000-0000-00006CEA0000}"/>
    <cellStyle name="Обычный 58 3" xfId="59648" xr:uid="{00000000-0005-0000-0000-00006DEA0000}"/>
    <cellStyle name="Обычный 58 3 2" xfId="59649" xr:uid="{00000000-0005-0000-0000-00006EEA0000}"/>
    <cellStyle name="Обычный 58 3 3" xfId="61179" xr:uid="{00000000-0005-0000-0000-00006FEA0000}"/>
    <cellStyle name="Обычный 58 4" xfId="59650" xr:uid="{00000000-0005-0000-0000-000070EA0000}"/>
    <cellStyle name="Обычный 58 5" xfId="59651" xr:uid="{00000000-0005-0000-0000-000071EA0000}"/>
    <cellStyle name="Обычный 59" xfId="59652" xr:uid="{00000000-0005-0000-0000-000072EA0000}"/>
    <cellStyle name="Обычный 59 2" xfId="59653" xr:uid="{00000000-0005-0000-0000-000073EA0000}"/>
    <cellStyle name="Обычный 59 2 2" xfId="59654" xr:uid="{00000000-0005-0000-0000-000074EA0000}"/>
    <cellStyle name="Обычный 59 2 3" xfId="59655" xr:uid="{00000000-0005-0000-0000-000075EA0000}"/>
    <cellStyle name="Обычный 59 3" xfId="59656" xr:uid="{00000000-0005-0000-0000-000076EA0000}"/>
    <cellStyle name="Обычный 59 3 2" xfId="59657" xr:uid="{00000000-0005-0000-0000-000077EA0000}"/>
    <cellStyle name="Обычный 59 3 3" xfId="61180" xr:uid="{00000000-0005-0000-0000-000078EA0000}"/>
    <cellStyle name="Обычный 59 4" xfId="59658" xr:uid="{00000000-0005-0000-0000-000079EA0000}"/>
    <cellStyle name="Обычный 59 5" xfId="59659" xr:uid="{00000000-0005-0000-0000-00007AEA0000}"/>
    <cellStyle name="Обычный 6" xfId="59660" xr:uid="{00000000-0005-0000-0000-00007BEA0000}"/>
    <cellStyle name="Обычный 6 10" xfId="59661" xr:uid="{00000000-0005-0000-0000-00007CEA0000}"/>
    <cellStyle name="Обычный 6 11" xfId="59662" xr:uid="{00000000-0005-0000-0000-00007DEA0000}"/>
    <cellStyle name="Обычный 6 12" xfId="59663" xr:uid="{00000000-0005-0000-0000-00007EEA0000}"/>
    <cellStyle name="Обычный 6 13" xfId="59664" xr:uid="{00000000-0005-0000-0000-00007FEA0000}"/>
    <cellStyle name="Обычный 6 14" xfId="59665" xr:uid="{00000000-0005-0000-0000-000080EA0000}"/>
    <cellStyle name="Обычный 6 15" xfId="59666" xr:uid="{00000000-0005-0000-0000-000081EA0000}"/>
    <cellStyle name="Обычный 6 16" xfId="59667" xr:uid="{00000000-0005-0000-0000-000082EA0000}"/>
    <cellStyle name="Обычный 6 17" xfId="59668" xr:uid="{00000000-0005-0000-0000-000083EA0000}"/>
    <cellStyle name="Обычный 6 18" xfId="59669" xr:uid="{00000000-0005-0000-0000-000084EA0000}"/>
    <cellStyle name="Обычный 6 19" xfId="59670" xr:uid="{00000000-0005-0000-0000-000085EA0000}"/>
    <cellStyle name="Обычный 6 19 2" xfId="61189" xr:uid="{00000000-0005-0000-0000-000086EA0000}"/>
    <cellStyle name="Обычный 6 19 3" xfId="61203" xr:uid="{00000000-0005-0000-0000-000087EA0000}"/>
    <cellStyle name="Обычный 6 19 4" xfId="61227" xr:uid="{00000000-0005-0000-0000-000088EA0000}"/>
    <cellStyle name="Обычный 6 19 5" xfId="61244" xr:uid="{00000000-0005-0000-0000-000089EA0000}"/>
    <cellStyle name="Обычный 6 19 6" xfId="61251" xr:uid="{00000000-0005-0000-0000-00008AEA0000}"/>
    <cellStyle name="Обычный 6 19 7" xfId="61255" xr:uid="{00000000-0005-0000-0000-00008BEA0000}"/>
    <cellStyle name="Обычный 6 2" xfId="59671" xr:uid="{00000000-0005-0000-0000-00008CEA0000}"/>
    <cellStyle name="Обычный 6 2 2" xfId="59672" xr:uid="{00000000-0005-0000-0000-00008DEA0000}"/>
    <cellStyle name="Обычный 6 2 2 2" xfId="59673" xr:uid="{00000000-0005-0000-0000-00008EEA0000}"/>
    <cellStyle name="Обычный 6 2 3" xfId="59674" xr:uid="{00000000-0005-0000-0000-00008FEA0000}"/>
    <cellStyle name="Обычный 6 20" xfId="61278" xr:uid="{00000000-0005-0000-0000-000090EA0000}"/>
    <cellStyle name="Обычный 6 3" xfId="59675" xr:uid="{00000000-0005-0000-0000-000091EA0000}"/>
    <cellStyle name="Обычный 6 3 2" xfId="59676" xr:uid="{00000000-0005-0000-0000-000092EA0000}"/>
    <cellStyle name="Обычный 6 3 2 2" xfId="59677" xr:uid="{00000000-0005-0000-0000-000093EA0000}"/>
    <cellStyle name="Обычный 6 3 3" xfId="59678" xr:uid="{00000000-0005-0000-0000-000094EA0000}"/>
    <cellStyle name="Обычный 6 4" xfId="59679" xr:uid="{00000000-0005-0000-0000-000095EA0000}"/>
    <cellStyle name="Обычный 6 4 2" xfId="59680" xr:uid="{00000000-0005-0000-0000-000096EA0000}"/>
    <cellStyle name="Обычный 6 4 2 2" xfId="59681" xr:uid="{00000000-0005-0000-0000-000097EA0000}"/>
    <cellStyle name="Обычный 6 4 3" xfId="59682" xr:uid="{00000000-0005-0000-0000-000098EA0000}"/>
    <cellStyle name="Обычный 6 5" xfId="59683" xr:uid="{00000000-0005-0000-0000-000099EA0000}"/>
    <cellStyle name="Обычный 6 5 2" xfId="59684" xr:uid="{00000000-0005-0000-0000-00009AEA0000}"/>
    <cellStyle name="Обычный 6 6" xfId="59685" xr:uid="{00000000-0005-0000-0000-00009BEA0000}"/>
    <cellStyle name="Обычный 6 6 2" xfId="59686" xr:uid="{00000000-0005-0000-0000-00009CEA0000}"/>
    <cellStyle name="Обычный 6 7" xfId="59687" xr:uid="{00000000-0005-0000-0000-00009DEA0000}"/>
    <cellStyle name="Обычный 6 7 2" xfId="59688" xr:uid="{00000000-0005-0000-0000-00009EEA0000}"/>
    <cellStyle name="Обычный 6 8" xfId="59689" xr:uid="{00000000-0005-0000-0000-00009FEA0000}"/>
    <cellStyle name="Обычный 6 9" xfId="59690" xr:uid="{00000000-0005-0000-0000-0000A0EA0000}"/>
    <cellStyle name="Обычный 60" xfId="59691" xr:uid="{00000000-0005-0000-0000-0000A1EA0000}"/>
    <cellStyle name="Обычный 60 2" xfId="59692" xr:uid="{00000000-0005-0000-0000-0000A2EA0000}"/>
    <cellStyle name="Обычный 60 2 2" xfId="59693" xr:uid="{00000000-0005-0000-0000-0000A3EA0000}"/>
    <cellStyle name="Обычный 60 2 3" xfId="59694" xr:uid="{00000000-0005-0000-0000-0000A4EA0000}"/>
    <cellStyle name="Обычный 60 3" xfId="59695" xr:uid="{00000000-0005-0000-0000-0000A5EA0000}"/>
    <cellStyle name="Обычный 60 3 2" xfId="59696" xr:uid="{00000000-0005-0000-0000-0000A6EA0000}"/>
    <cellStyle name="Обычный 60 3 3" xfId="61181" xr:uid="{00000000-0005-0000-0000-0000A7EA0000}"/>
    <cellStyle name="Обычный 60 4" xfId="59697" xr:uid="{00000000-0005-0000-0000-0000A8EA0000}"/>
    <cellStyle name="Обычный 60 5" xfId="59698" xr:uid="{00000000-0005-0000-0000-0000A9EA0000}"/>
    <cellStyle name="Обычный 61" xfId="59699" xr:uid="{00000000-0005-0000-0000-0000AAEA0000}"/>
    <cellStyle name="Обычный 61 2" xfId="59700" xr:uid="{00000000-0005-0000-0000-0000ABEA0000}"/>
    <cellStyle name="Обычный 61 2 2" xfId="59701" xr:uid="{00000000-0005-0000-0000-0000ACEA0000}"/>
    <cellStyle name="Обычный 61 2 3" xfId="59702" xr:uid="{00000000-0005-0000-0000-0000ADEA0000}"/>
    <cellStyle name="Обычный 61 3" xfId="59703" xr:uid="{00000000-0005-0000-0000-0000AEEA0000}"/>
    <cellStyle name="Обычный 61 3 2" xfId="59704" xr:uid="{00000000-0005-0000-0000-0000AFEA0000}"/>
    <cellStyle name="Обычный 61 3 3" xfId="61182" xr:uid="{00000000-0005-0000-0000-0000B0EA0000}"/>
    <cellStyle name="Обычный 61 4" xfId="59705" xr:uid="{00000000-0005-0000-0000-0000B1EA0000}"/>
    <cellStyle name="Обычный 61 5" xfId="59706" xr:uid="{00000000-0005-0000-0000-0000B2EA0000}"/>
    <cellStyle name="Обычный 62" xfId="59707" xr:uid="{00000000-0005-0000-0000-0000B3EA0000}"/>
    <cellStyle name="Обычный 62 2" xfId="59708" xr:uid="{00000000-0005-0000-0000-0000B4EA0000}"/>
    <cellStyle name="Обычный 62 2 2" xfId="59709" xr:uid="{00000000-0005-0000-0000-0000B5EA0000}"/>
    <cellStyle name="Обычный 62 2 3" xfId="59710" xr:uid="{00000000-0005-0000-0000-0000B6EA0000}"/>
    <cellStyle name="Обычный 62 3" xfId="59711" xr:uid="{00000000-0005-0000-0000-0000B7EA0000}"/>
    <cellStyle name="Обычный 62 3 2" xfId="59712" xr:uid="{00000000-0005-0000-0000-0000B8EA0000}"/>
    <cellStyle name="Обычный 62 3 3" xfId="61183" xr:uid="{00000000-0005-0000-0000-0000B9EA0000}"/>
    <cellStyle name="Обычный 62 4" xfId="59713" xr:uid="{00000000-0005-0000-0000-0000BAEA0000}"/>
    <cellStyle name="Обычный 62 5" xfId="59714" xr:uid="{00000000-0005-0000-0000-0000BBEA0000}"/>
    <cellStyle name="Обычный 63" xfId="59715" xr:uid="{00000000-0005-0000-0000-0000BCEA0000}"/>
    <cellStyle name="Обычный 63 2" xfId="59716" xr:uid="{00000000-0005-0000-0000-0000BDEA0000}"/>
    <cellStyle name="Обычный 63 2 2" xfId="59717" xr:uid="{00000000-0005-0000-0000-0000BEEA0000}"/>
    <cellStyle name="Обычный 63 2 3" xfId="59718" xr:uid="{00000000-0005-0000-0000-0000BFEA0000}"/>
    <cellStyle name="Обычный 63 3" xfId="59719" xr:uid="{00000000-0005-0000-0000-0000C0EA0000}"/>
    <cellStyle name="Обычный 63 3 2" xfId="59720" xr:uid="{00000000-0005-0000-0000-0000C1EA0000}"/>
    <cellStyle name="Обычный 63 3 3" xfId="61184" xr:uid="{00000000-0005-0000-0000-0000C2EA0000}"/>
    <cellStyle name="Обычный 63 4" xfId="59721" xr:uid="{00000000-0005-0000-0000-0000C3EA0000}"/>
    <cellStyle name="Обычный 63 5" xfId="59722" xr:uid="{00000000-0005-0000-0000-0000C4EA0000}"/>
    <cellStyle name="Обычный 64" xfId="59723" xr:uid="{00000000-0005-0000-0000-0000C5EA0000}"/>
    <cellStyle name="Обычный 64 2" xfId="59724" xr:uid="{00000000-0005-0000-0000-0000C6EA0000}"/>
    <cellStyle name="Обычный 64 2 2" xfId="59725" xr:uid="{00000000-0005-0000-0000-0000C7EA0000}"/>
    <cellStyle name="Обычный 64 2 3" xfId="59726" xr:uid="{00000000-0005-0000-0000-0000C8EA0000}"/>
    <cellStyle name="Обычный 64 3" xfId="59727" xr:uid="{00000000-0005-0000-0000-0000C9EA0000}"/>
    <cellStyle name="Обычный 64 3 2" xfId="59728" xr:uid="{00000000-0005-0000-0000-0000CAEA0000}"/>
    <cellStyle name="Обычный 64 3 3" xfId="61185" xr:uid="{00000000-0005-0000-0000-0000CBEA0000}"/>
    <cellStyle name="Обычный 64 4" xfId="59729" xr:uid="{00000000-0005-0000-0000-0000CCEA0000}"/>
    <cellStyle name="Обычный 64 5" xfId="59730" xr:uid="{00000000-0005-0000-0000-0000CDEA0000}"/>
    <cellStyle name="Обычный 65" xfId="59731" xr:uid="{00000000-0005-0000-0000-0000CEEA0000}"/>
    <cellStyle name="Обычный 65 2" xfId="59732" xr:uid="{00000000-0005-0000-0000-0000CFEA0000}"/>
    <cellStyle name="Обычный 65 2 2" xfId="59733" xr:uid="{00000000-0005-0000-0000-0000D0EA0000}"/>
    <cellStyle name="Обычный 65 2 3" xfId="59734" xr:uid="{00000000-0005-0000-0000-0000D1EA0000}"/>
    <cellStyle name="Обычный 65 3" xfId="59735" xr:uid="{00000000-0005-0000-0000-0000D2EA0000}"/>
    <cellStyle name="Обычный 65 3 2" xfId="59736" xr:uid="{00000000-0005-0000-0000-0000D3EA0000}"/>
    <cellStyle name="Обычный 65 3 3" xfId="61186" xr:uid="{00000000-0005-0000-0000-0000D4EA0000}"/>
    <cellStyle name="Обычный 65 4" xfId="59737" xr:uid="{00000000-0005-0000-0000-0000D5EA0000}"/>
    <cellStyle name="Обычный 65 5" xfId="59738" xr:uid="{00000000-0005-0000-0000-0000D6EA0000}"/>
    <cellStyle name="Обычный 66" xfId="59739" xr:uid="{00000000-0005-0000-0000-0000D7EA0000}"/>
    <cellStyle name="Обычный 66 2" xfId="59740" xr:uid="{00000000-0005-0000-0000-0000D8EA0000}"/>
    <cellStyle name="Обычный 66 2 2" xfId="59741" xr:uid="{00000000-0005-0000-0000-0000D9EA0000}"/>
    <cellStyle name="Обычный 66 2 3" xfId="59742" xr:uid="{00000000-0005-0000-0000-0000DAEA0000}"/>
    <cellStyle name="Обычный 66 3" xfId="59743" xr:uid="{00000000-0005-0000-0000-0000DBEA0000}"/>
    <cellStyle name="Обычный 66 3 2" xfId="59744" xr:uid="{00000000-0005-0000-0000-0000DCEA0000}"/>
    <cellStyle name="Обычный 66 3 3" xfId="61187" xr:uid="{00000000-0005-0000-0000-0000DDEA0000}"/>
    <cellStyle name="Обычный 66 4" xfId="59745" xr:uid="{00000000-0005-0000-0000-0000DEEA0000}"/>
    <cellStyle name="Обычный 66 5" xfId="59746" xr:uid="{00000000-0005-0000-0000-0000DFEA0000}"/>
    <cellStyle name="Обычный 67" xfId="59747" xr:uid="{00000000-0005-0000-0000-0000E0EA0000}"/>
    <cellStyle name="Обычный 67 2" xfId="59748" xr:uid="{00000000-0005-0000-0000-0000E1EA0000}"/>
    <cellStyle name="Обычный 67 3" xfId="59749" xr:uid="{00000000-0005-0000-0000-0000E2EA0000}"/>
    <cellStyle name="Обычный 68" xfId="59750" xr:uid="{00000000-0005-0000-0000-0000E3EA0000}"/>
    <cellStyle name="Обычный 69" xfId="3" xr:uid="{00000000-0005-0000-0000-0000E4EA0000}"/>
    <cellStyle name="Обычный 69 2" xfId="59751" xr:uid="{00000000-0005-0000-0000-0000E5EA0000}"/>
    <cellStyle name="Обычный 7" xfId="59752" xr:uid="{00000000-0005-0000-0000-0000E6EA0000}"/>
    <cellStyle name="Обычный 7 2" xfId="59753" xr:uid="{00000000-0005-0000-0000-0000E7EA0000}"/>
    <cellStyle name="Обычный 7 2 2" xfId="59754" xr:uid="{00000000-0005-0000-0000-0000E8EA0000}"/>
    <cellStyle name="Обычный 7 2 2 2" xfId="59755" xr:uid="{00000000-0005-0000-0000-0000E9EA0000}"/>
    <cellStyle name="Обычный 7 2 3" xfId="59756" xr:uid="{00000000-0005-0000-0000-0000EAEA0000}"/>
    <cellStyle name="Обычный 7 3" xfId="59757" xr:uid="{00000000-0005-0000-0000-0000EBEA0000}"/>
    <cellStyle name="Обычный 7 4" xfId="59758" xr:uid="{00000000-0005-0000-0000-0000ECEA0000}"/>
    <cellStyle name="Обычный 7 5" xfId="61222" xr:uid="{00000000-0005-0000-0000-0000EDEA0000}"/>
    <cellStyle name="Обычный 70" xfId="59759" xr:uid="{00000000-0005-0000-0000-0000EEEA0000}"/>
    <cellStyle name="Обычный 71" xfId="59760" xr:uid="{00000000-0005-0000-0000-0000EFEA0000}"/>
    <cellStyle name="Обычный 72" xfId="59761" xr:uid="{00000000-0005-0000-0000-0000F0EA0000}"/>
    <cellStyle name="Обычный 73" xfId="59762" xr:uid="{00000000-0005-0000-0000-0000F1EA0000}"/>
    <cellStyle name="Обычный 74" xfId="59763" xr:uid="{00000000-0005-0000-0000-0000F2EA0000}"/>
    <cellStyle name="Обычный 75" xfId="59764" xr:uid="{00000000-0005-0000-0000-0000F3EA0000}"/>
    <cellStyle name="Обычный 76" xfId="59765" xr:uid="{00000000-0005-0000-0000-0000F4EA0000}"/>
    <cellStyle name="Обычный 77" xfId="59766" xr:uid="{00000000-0005-0000-0000-0000F5EA0000}"/>
    <cellStyle name="Обычный 78" xfId="59767" xr:uid="{00000000-0005-0000-0000-0000F6EA0000}"/>
    <cellStyle name="Обычный 79" xfId="59768" xr:uid="{00000000-0005-0000-0000-0000F7EA0000}"/>
    <cellStyle name="Обычный 79 2" xfId="59769" xr:uid="{00000000-0005-0000-0000-0000F8EA0000}"/>
    <cellStyle name="Обычный 8" xfId="59770" xr:uid="{00000000-0005-0000-0000-0000F9EA0000}"/>
    <cellStyle name="Обычный 8 2" xfId="59771" xr:uid="{00000000-0005-0000-0000-0000FAEA0000}"/>
    <cellStyle name="Обычный 8 2 2" xfId="59772" xr:uid="{00000000-0005-0000-0000-0000FBEA0000}"/>
    <cellStyle name="Обычный 8 2 2 2" xfId="59773" xr:uid="{00000000-0005-0000-0000-0000FCEA0000}"/>
    <cellStyle name="Обычный 8 2 3" xfId="59774" xr:uid="{00000000-0005-0000-0000-0000FDEA0000}"/>
    <cellStyle name="Обычный 8 3" xfId="59775" xr:uid="{00000000-0005-0000-0000-0000FEEA0000}"/>
    <cellStyle name="Обычный 8 4" xfId="59776" xr:uid="{00000000-0005-0000-0000-0000FFEA0000}"/>
    <cellStyle name="Обычный 8 5" xfId="61223" xr:uid="{00000000-0005-0000-0000-000000EB0000}"/>
    <cellStyle name="Обычный 80" xfId="59777" xr:uid="{00000000-0005-0000-0000-000001EB0000}"/>
    <cellStyle name="Обычный 81" xfId="59778" xr:uid="{00000000-0005-0000-0000-000002EB0000}"/>
    <cellStyle name="Обычный 82" xfId="59779" xr:uid="{00000000-0005-0000-0000-000003EB0000}"/>
    <cellStyle name="Обычный 83" xfId="61188" xr:uid="{00000000-0005-0000-0000-000004EB0000}"/>
    <cellStyle name="Обычный 84" xfId="10" xr:uid="{00000000-0005-0000-0000-000005EB0000}"/>
    <cellStyle name="Обычный 84 10" xfId="61212" xr:uid="{00000000-0005-0000-0000-000006EB0000}"/>
    <cellStyle name="Обычный 84 11" xfId="61228" xr:uid="{00000000-0005-0000-0000-000007EB0000}"/>
    <cellStyle name="Обычный 84 12" xfId="61230" xr:uid="{00000000-0005-0000-0000-000008EB0000}"/>
    <cellStyle name="Обычный 84 12 2" xfId="61279" xr:uid="{00000000-0005-0000-0000-000009EB0000}"/>
    <cellStyle name="Обычный 84 13" xfId="61237" xr:uid="{00000000-0005-0000-0000-00000AEB0000}"/>
    <cellStyle name="Обычный 84 14" xfId="61242" xr:uid="{00000000-0005-0000-0000-00000BEB0000}"/>
    <cellStyle name="Обычный 84 15" xfId="61252" xr:uid="{00000000-0005-0000-0000-00000CEB0000}"/>
    <cellStyle name="Обычный 84 16" xfId="61257" xr:uid="{00000000-0005-0000-0000-00000DEB0000}"/>
    <cellStyle name="Обычный 84 16 2" xfId="61261" xr:uid="{00000000-0005-0000-0000-00000EEB0000}"/>
    <cellStyle name="Обычный 84 17" xfId="61289" xr:uid="{00000000-0005-0000-0000-00000FEB0000}"/>
    <cellStyle name="Обычный 84 18" xfId="61300" xr:uid="{00000000-0005-0000-0000-000010EB0000}"/>
    <cellStyle name="Обычный 84 19" xfId="61314" xr:uid="{51AFDE3E-6E69-4A5F-82F3-4C85D9513BCD}"/>
    <cellStyle name="Обычный 84 2" xfId="12" xr:uid="{00000000-0005-0000-0000-000011EB0000}"/>
    <cellStyle name="Обычный 84 2 2" xfId="61286" xr:uid="{00000000-0005-0000-0000-000012EB0000}"/>
    <cellStyle name="Обычный 84 2 3" xfId="61307" xr:uid="{00000000-0005-0000-0000-000013EB0000}"/>
    <cellStyle name="Обычный 84 3" xfId="14" xr:uid="{00000000-0005-0000-0000-000014EB0000}"/>
    <cellStyle name="Обычный 84 4" xfId="60883" xr:uid="{00000000-0005-0000-0000-000015EB0000}"/>
    <cellStyle name="Обычный 84 5" xfId="61195" xr:uid="{00000000-0005-0000-0000-000016EB0000}"/>
    <cellStyle name="Обычный 84 6" xfId="61197" xr:uid="{00000000-0005-0000-0000-000017EB0000}"/>
    <cellStyle name="Обычный 84 7" xfId="61201" xr:uid="{00000000-0005-0000-0000-000018EB0000}"/>
    <cellStyle name="Обычный 84 8" xfId="61204" xr:uid="{00000000-0005-0000-0000-000019EB0000}"/>
    <cellStyle name="Обычный 84 9" xfId="61206" xr:uid="{00000000-0005-0000-0000-00001AEB0000}"/>
    <cellStyle name="Обычный 85" xfId="61190" xr:uid="{00000000-0005-0000-0000-00001BEB0000}"/>
    <cellStyle name="Обычный 85 2" xfId="61216" xr:uid="{00000000-0005-0000-0000-00001CEB0000}"/>
    <cellStyle name="Обычный 85 3" xfId="61226" xr:uid="{00000000-0005-0000-0000-00001DEB0000}"/>
    <cellStyle name="Обычный 85 3 2" xfId="61280" xr:uid="{00000000-0005-0000-0000-00001EEB0000}"/>
    <cellStyle name="Обычный 85 4" xfId="61258" xr:uid="{00000000-0005-0000-0000-00001FEB0000}"/>
    <cellStyle name="Обычный 85 4 2" xfId="61262" xr:uid="{00000000-0005-0000-0000-000020EB0000}"/>
    <cellStyle name="Обычный 85 5" xfId="61290" xr:uid="{00000000-0005-0000-0000-000021EB0000}"/>
    <cellStyle name="Обычный 85 6" xfId="61301" xr:uid="{00000000-0005-0000-0000-000022EB0000}"/>
    <cellStyle name="Обычный 85 7" xfId="61315" xr:uid="{C3B7E605-D39E-4ED4-BACA-1100F8B0C05A}"/>
    <cellStyle name="Обычный 86" xfId="61198" xr:uid="{00000000-0005-0000-0000-000023EB0000}"/>
    <cellStyle name="Обычный 87" xfId="61202" xr:uid="{00000000-0005-0000-0000-000024EB0000}"/>
    <cellStyle name="Обычный 88" xfId="61214" xr:uid="{00000000-0005-0000-0000-000025EB0000}"/>
    <cellStyle name="Обычный 89" xfId="61243" xr:uid="{00000000-0005-0000-0000-000026EB0000}"/>
    <cellStyle name="Обычный 89 2" xfId="61281" xr:uid="{00000000-0005-0000-0000-000027EB0000}"/>
    <cellStyle name="Обычный 9" xfId="59780" xr:uid="{00000000-0005-0000-0000-000028EB0000}"/>
    <cellStyle name="Обычный 9 2" xfId="59781" xr:uid="{00000000-0005-0000-0000-000029EB0000}"/>
    <cellStyle name="Обычный 9 2 2" xfId="59782" xr:uid="{00000000-0005-0000-0000-00002AEB0000}"/>
    <cellStyle name="Обычный 9 2 2 2" xfId="59783" xr:uid="{00000000-0005-0000-0000-00002BEB0000}"/>
    <cellStyle name="Обычный 9 2 3" xfId="59784" xr:uid="{00000000-0005-0000-0000-00002CEB0000}"/>
    <cellStyle name="Обычный 9 3" xfId="59785" xr:uid="{00000000-0005-0000-0000-00002DEB0000}"/>
    <cellStyle name="Обычный 9 4" xfId="59786" xr:uid="{00000000-0005-0000-0000-00002EEB0000}"/>
    <cellStyle name="Обычный 9 5" xfId="61224" xr:uid="{00000000-0005-0000-0000-00002FEB0000}"/>
    <cellStyle name="Обычный 90" xfId="61245" xr:uid="{00000000-0005-0000-0000-000030EB0000}"/>
    <cellStyle name="Обычный 91" xfId="59787" xr:uid="{00000000-0005-0000-0000-000031EB0000}"/>
    <cellStyle name="Обычный 92" xfId="59788" xr:uid="{00000000-0005-0000-0000-000032EB0000}"/>
    <cellStyle name="Обычный 93" xfId="59789" xr:uid="{00000000-0005-0000-0000-000033EB0000}"/>
    <cellStyle name="Обычный 94" xfId="59790" xr:uid="{00000000-0005-0000-0000-000034EB0000}"/>
    <cellStyle name="Обычный 95" xfId="59791" xr:uid="{00000000-0005-0000-0000-000035EB0000}"/>
    <cellStyle name="Обычный 96" xfId="59792" xr:uid="{00000000-0005-0000-0000-000036EB0000}"/>
    <cellStyle name="Обычный 97" xfId="59793" xr:uid="{00000000-0005-0000-0000-000037EB0000}"/>
    <cellStyle name="Обычный 98" xfId="59794" xr:uid="{00000000-0005-0000-0000-000038EB0000}"/>
    <cellStyle name="Обычный 99" xfId="59795" xr:uid="{00000000-0005-0000-0000-000039EB0000}"/>
    <cellStyle name="Обычный_17.04.2007 Свод(общий)" xfId="61297" xr:uid="{00000000-0005-0000-0000-00003AEB0000}"/>
    <cellStyle name="Плохой 10" xfId="59796" xr:uid="{00000000-0005-0000-0000-00003BEB0000}"/>
    <cellStyle name="Плохой 100" xfId="59797" xr:uid="{00000000-0005-0000-0000-00003CEB0000}"/>
    <cellStyle name="Плохой 101" xfId="59798" xr:uid="{00000000-0005-0000-0000-00003DEB0000}"/>
    <cellStyle name="Плохой 102" xfId="59799" xr:uid="{00000000-0005-0000-0000-00003EEB0000}"/>
    <cellStyle name="Плохой 103" xfId="59800" xr:uid="{00000000-0005-0000-0000-00003FEB0000}"/>
    <cellStyle name="Плохой 104" xfId="59801" xr:uid="{00000000-0005-0000-0000-000040EB0000}"/>
    <cellStyle name="Плохой 105" xfId="59802" xr:uid="{00000000-0005-0000-0000-000041EB0000}"/>
    <cellStyle name="Плохой 106" xfId="59803" xr:uid="{00000000-0005-0000-0000-000042EB0000}"/>
    <cellStyle name="Плохой 107" xfId="59804" xr:uid="{00000000-0005-0000-0000-000043EB0000}"/>
    <cellStyle name="Плохой 108" xfId="59805" xr:uid="{00000000-0005-0000-0000-000044EB0000}"/>
    <cellStyle name="Плохой 109" xfId="59806" xr:uid="{00000000-0005-0000-0000-000045EB0000}"/>
    <cellStyle name="Плохой 11" xfId="59807" xr:uid="{00000000-0005-0000-0000-000046EB0000}"/>
    <cellStyle name="Плохой 110" xfId="59808" xr:uid="{00000000-0005-0000-0000-000047EB0000}"/>
    <cellStyle name="Плохой 111" xfId="59809" xr:uid="{00000000-0005-0000-0000-000048EB0000}"/>
    <cellStyle name="Плохой 112" xfId="59810" xr:uid="{00000000-0005-0000-0000-000049EB0000}"/>
    <cellStyle name="Плохой 113" xfId="59811" xr:uid="{00000000-0005-0000-0000-00004AEB0000}"/>
    <cellStyle name="Плохой 114" xfId="59812" xr:uid="{00000000-0005-0000-0000-00004BEB0000}"/>
    <cellStyle name="Плохой 115" xfId="59813" xr:uid="{00000000-0005-0000-0000-00004CEB0000}"/>
    <cellStyle name="Плохой 116" xfId="59814" xr:uid="{00000000-0005-0000-0000-00004DEB0000}"/>
    <cellStyle name="Плохой 117" xfId="59815" xr:uid="{00000000-0005-0000-0000-00004EEB0000}"/>
    <cellStyle name="Плохой 118" xfId="59816" xr:uid="{00000000-0005-0000-0000-00004FEB0000}"/>
    <cellStyle name="Плохой 119" xfId="59817" xr:uid="{00000000-0005-0000-0000-000050EB0000}"/>
    <cellStyle name="Плохой 12" xfId="59818" xr:uid="{00000000-0005-0000-0000-000051EB0000}"/>
    <cellStyle name="Плохой 120" xfId="59819" xr:uid="{00000000-0005-0000-0000-000052EB0000}"/>
    <cellStyle name="Плохой 121" xfId="59820" xr:uid="{00000000-0005-0000-0000-000053EB0000}"/>
    <cellStyle name="Плохой 122" xfId="59821" xr:uid="{00000000-0005-0000-0000-000054EB0000}"/>
    <cellStyle name="Плохой 123" xfId="59822" xr:uid="{00000000-0005-0000-0000-000055EB0000}"/>
    <cellStyle name="Плохой 124" xfId="59823" xr:uid="{00000000-0005-0000-0000-000056EB0000}"/>
    <cellStyle name="Плохой 125" xfId="59824" xr:uid="{00000000-0005-0000-0000-000057EB0000}"/>
    <cellStyle name="Плохой 126" xfId="59825" xr:uid="{00000000-0005-0000-0000-000058EB0000}"/>
    <cellStyle name="Плохой 127" xfId="59826" xr:uid="{00000000-0005-0000-0000-000059EB0000}"/>
    <cellStyle name="Плохой 128" xfId="59827" xr:uid="{00000000-0005-0000-0000-00005AEB0000}"/>
    <cellStyle name="Плохой 129" xfId="59828" xr:uid="{00000000-0005-0000-0000-00005BEB0000}"/>
    <cellStyle name="Плохой 13" xfId="59829" xr:uid="{00000000-0005-0000-0000-00005CEB0000}"/>
    <cellStyle name="Плохой 130" xfId="59830" xr:uid="{00000000-0005-0000-0000-00005DEB0000}"/>
    <cellStyle name="Плохой 131" xfId="59831" xr:uid="{00000000-0005-0000-0000-00005EEB0000}"/>
    <cellStyle name="Плохой 132" xfId="59832" xr:uid="{00000000-0005-0000-0000-00005FEB0000}"/>
    <cellStyle name="Плохой 133" xfId="59833" xr:uid="{00000000-0005-0000-0000-000060EB0000}"/>
    <cellStyle name="Плохой 134" xfId="59834" xr:uid="{00000000-0005-0000-0000-000061EB0000}"/>
    <cellStyle name="Плохой 135" xfId="59835" xr:uid="{00000000-0005-0000-0000-000062EB0000}"/>
    <cellStyle name="Плохой 136" xfId="59836" xr:uid="{00000000-0005-0000-0000-000063EB0000}"/>
    <cellStyle name="Плохой 137" xfId="59837" xr:uid="{00000000-0005-0000-0000-000064EB0000}"/>
    <cellStyle name="Плохой 138" xfId="59838" xr:uid="{00000000-0005-0000-0000-000065EB0000}"/>
    <cellStyle name="Плохой 139" xfId="59839" xr:uid="{00000000-0005-0000-0000-000066EB0000}"/>
    <cellStyle name="Плохой 14" xfId="59840" xr:uid="{00000000-0005-0000-0000-000067EB0000}"/>
    <cellStyle name="Плохой 140" xfId="59841" xr:uid="{00000000-0005-0000-0000-000068EB0000}"/>
    <cellStyle name="Плохой 141" xfId="59842" xr:uid="{00000000-0005-0000-0000-000069EB0000}"/>
    <cellStyle name="Плохой 142" xfId="59843" xr:uid="{00000000-0005-0000-0000-00006AEB0000}"/>
    <cellStyle name="Плохой 143" xfId="59844" xr:uid="{00000000-0005-0000-0000-00006BEB0000}"/>
    <cellStyle name="Плохой 144" xfId="59845" xr:uid="{00000000-0005-0000-0000-00006CEB0000}"/>
    <cellStyle name="Плохой 145" xfId="59846" xr:uid="{00000000-0005-0000-0000-00006DEB0000}"/>
    <cellStyle name="Плохой 146" xfId="59847" xr:uid="{00000000-0005-0000-0000-00006EEB0000}"/>
    <cellStyle name="Плохой 147" xfId="59848" xr:uid="{00000000-0005-0000-0000-00006FEB0000}"/>
    <cellStyle name="Плохой 148" xfId="59849" xr:uid="{00000000-0005-0000-0000-000070EB0000}"/>
    <cellStyle name="Плохой 149" xfId="59850" xr:uid="{00000000-0005-0000-0000-000071EB0000}"/>
    <cellStyle name="Плохой 15" xfId="59851" xr:uid="{00000000-0005-0000-0000-000072EB0000}"/>
    <cellStyle name="Плохой 150" xfId="59852" xr:uid="{00000000-0005-0000-0000-000073EB0000}"/>
    <cellStyle name="Плохой 151" xfId="59853" xr:uid="{00000000-0005-0000-0000-000074EB0000}"/>
    <cellStyle name="Плохой 152" xfId="59854" xr:uid="{00000000-0005-0000-0000-000075EB0000}"/>
    <cellStyle name="Плохой 153" xfId="59855" xr:uid="{00000000-0005-0000-0000-000076EB0000}"/>
    <cellStyle name="Плохой 16" xfId="59856" xr:uid="{00000000-0005-0000-0000-000077EB0000}"/>
    <cellStyle name="Плохой 17" xfId="59857" xr:uid="{00000000-0005-0000-0000-000078EB0000}"/>
    <cellStyle name="Плохой 18" xfId="59858" xr:uid="{00000000-0005-0000-0000-000079EB0000}"/>
    <cellStyle name="Плохой 19" xfId="59859" xr:uid="{00000000-0005-0000-0000-00007AEB0000}"/>
    <cellStyle name="Плохой 2" xfId="59860" xr:uid="{00000000-0005-0000-0000-00007BEB0000}"/>
    <cellStyle name="Плохой 2 2" xfId="59861" xr:uid="{00000000-0005-0000-0000-00007CEB0000}"/>
    <cellStyle name="Плохой 2 2 10" xfId="59862" xr:uid="{00000000-0005-0000-0000-00007DEB0000}"/>
    <cellStyle name="Плохой 2 2 11" xfId="59863" xr:uid="{00000000-0005-0000-0000-00007EEB0000}"/>
    <cellStyle name="Плохой 2 2 12" xfId="59864" xr:uid="{00000000-0005-0000-0000-00007FEB0000}"/>
    <cellStyle name="Плохой 2 2 13" xfId="59865" xr:uid="{00000000-0005-0000-0000-000080EB0000}"/>
    <cellStyle name="Плохой 2 2 2" xfId="59866" xr:uid="{00000000-0005-0000-0000-000081EB0000}"/>
    <cellStyle name="Плохой 2 2 3" xfId="59867" xr:uid="{00000000-0005-0000-0000-000082EB0000}"/>
    <cellStyle name="Плохой 2 2 4" xfId="59868" xr:uid="{00000000-0005-0000-0000-000083EB0000}"/>
    <cellStyle name="Плохой 2 2 5" xfId="59869" xr:uid="{00000000-0005-0000-0000-000084EB0000}"/>
    <cellStyle name="Плохой 2 2 6" xfId="59870" xr:uid="{00000000-0005-0000-0000-000085EB0000}"/>
    <cellStyle name="Плохой 2 2 7" xfId="59871" xr:uid="{00000000-0005-0000-0000-000086EB0000}"/>
    <cellStyle name="Плохой 2 2 8" xfId="59872" xr:uid="{00000000-0005-0000-0000-000087EB0000}"/>
    <cellStyle name="Плохой 2 2 9" xfId="59873" xr:uid="{00000000-0005-0000-0000-000088EB0000}"/>
    <cellStyle name="Плохой 2 3" xfId="59874" xr:uid="{00000000-0005-0000-0000-000089EB0000}"/>
    <cellStyle name="Плохой 20" xfId="59875" xr:uid="{00000000-0005-0000-0000-00008AEB0000}"/>
    <cellStyle name="Плохой 21" xfId="59876" xr:uid="{00000000-0005-0000-0000-00008BEB0000}"/>
    <cellStyle name="Плохой 22" xfId="59877" xr:uid="{00000000-0005-0000-0000-00008CEB0000}"/>
    <cellStyle name="Плохой 23" xfId="59878" xr:uid="{00000000-0005-0000-0000-00008DEB0000}"/>
    <cellStyle name="Плохой 24" xfId="59879" xr:uid="{00000000-0005-0000-0000-00008EEB0000}"/>
    <cellStyle name="Плохой 25" xfId="59880" xr:uid="{00000000-0005-0000-0000-00008FEB0000}"/>
    <cellStyle name="Плохой 26" xfId="59881" xr:uid="{00000000-0005-0000-0000-000090EB0000}"/>
    <cellStyle name="Плохой 27" xfId="59882" xr:uid="{00000000-0005-0000-0000-000091EB0000}"/>
    <cellStyle name="Плохой 28" xfId="59883" xr:uid="{00000000-0005-0000-0000-000092EB0000}"/>
    <cellStyle name="Плохой 29" xfId="59884" xr:uid="{00000000-0005-0000-0000-000093EB0000}"/>
    <cellStyle name="Плохой 3" xfId="59885" xr:uid="{00000000-0005-0000-0000-000094EB0000}"/>
    <cellStyle name="Плохой 30" xfId="59886" xr:uid="{00000000-0005-0000-0000-000095EB0000}"/>
    <cellStyle name="Плохой 31" xfId="59887" xr:uid="{00000000-0005-0000-0000-000096EB0000}"/>
    <cellStyle name="Плохой 32" xfId="59888" xr:uid="{00000000-0005-0000-0000-000097EB0000}"/>
    <cellStyle name="Плохой 33" xfId="59889" xr:uid="{00000000-0005-0000-0000-000098EB0000}"/>
    <cellStyle name="Плохой 34" xfId="59890" xr:uid="{00000000-0005-0000-0000-000099EB0000}"/>
    <cellStyle name="Плохой 35" xfId="59891" xr:uid="{00000000-0005-0000-0000-00009AEB0000}"/>
    <cellStyle name="Плохой 36" xfId="59892" xr:uid="{00000000-0005-0000-0000-00009BEB0000}"/>
    <cellStyle name="Плохой 37" xfId="59893" xr:uid="{00000000-0005-0000-0000-00009CEB0000}"/>
    <cellStyle name="Плохой 38" xfId="59894" xr:uid="{00000000-0005-0000-0000-00009DEB0000}"/>
    <cellStyle name="Плохой 39" xfId="59895" xr:uid="{00000000-0005-0000-0000-00009EEB0000}"/>
    <cellStyle name="Плохой 4" xfId="59896" xr:uid="{00000000-0005-0000-0000-00009FEB0000}"/>
    <cellStyle name="Плохой 40" xfId="59897" xr:uid="{00000000-0005-0000-0000-0000A0EB0000}"/>
    <cellStyle name="Плохой 41" xfId="59898" xr:uid="{00000000-0005-0000-0000-0000A1EB0000}"/>
    <cellStyle name="Плохой 42" xfId="59899" xr:uid="{00000000-0005-0000-0000-0000A2EB0000}"/>
    <cellStyle name="Плохой 43" xfId="59900" xr:uid="{00000000-0005-0000-0000-0000A3EB0000}"/>
    <cellStyle name="Плохой 44" xfId="59901" xr:uid="{00000000-0005-0000-0000-0000A4EB0000}"/>
    <cellStyle name="Плохой 45" xfId="59902" xr:uid="{00000000-0005-0000-0000-0000A5EB0000}"/>
    <cellStyle name="Плохой 46" xfId="59903" xr:uid="{00000000-0005-0000-0000-0000A6EB0000}"/>
    <cellStyle name="Плохой 47" xfId="59904" xr:uid="{00000000-0005-0000-0000-0000A7EB0000}"/>
    <cellStyle name="Плохой 48" xfId="59905" xr:uid="{00000000-0005-0000-0000-0000A8EB0000}"/>
    <cellStyle name="Плохой 49" xfId="59906" xr:uid="{00000000-0005-0000-0000-0000A9EB0000}"/>
    <cellStyle name="Плохой 5" xfId="59907" xr:uid="{00000000-0005-0000-0000-0000AAEB0000}"/>
    <cellStyle name="Плохой 50" xfId="59908" xr:uid="{00000000-0005-0000-0000-0000ABEB0000}"/>
    <cellStyle name="Плохой 51" xfId="59909" xr:uid="{00000000-0005-0000-0000-0000ACEB0000}"/>
    <cellStyle name="Плохой 52" xfId="59910" xr:uid="{00000000-0005-0000-0000-0000ADEB0000}"/>
    <cellStyle name="Плохой 53" xfId="59911" xr:uid="{00000000-0005-0000-0000-0000AEEB0000}"/>
    <cellStyle name="Плохой 54" xfId="59912" xr:uid="{00000000-0005-0000-0000-0000AFEB0000}"/>
    <cellStyle name="Плохой 55" xfId="59913" xr:uid="{00000000-0005-0000-0000-0000B0EB0000}"/>
    <cellStyle name="Плохой 56" xfId="59914" xr:uid="{00000000-0005-0000-0000-0000B1EB0000}"/>
    <cellStyle name="Плохой 57" xfId="59915" xr:uid="{00000000-0005-0000-0000-0000B2EB0000}"/>
    <cellStyle name="Плохой 58" xfId="59916" xr:uid="{00000000-0005-0000-0000-0000B3EB0000}"/>
    <cellStyle name="Плохой 59" xfId="59917" xr:uid="{00000000-0005-0000-0000-0000B4EB0000}"/>
    <cellStyle name="Плохой 6" xfId="59918" xr:uid="{00000000-0005-0000-0000-0000B5EB0000}"/>
    <cellStyle name="Плохой 60" xfId="59919" xr:uid="{00000000-0005-0000-0000-0000B6EB0000}"/>
    <cellStyle name="Плохой 61" xfId="59920" xr:uid="{00000000-0005-0000-0000-0000B7EB0000}"/>
    <cellStyle name="Плохой 62" xfId="59921" xr:uid="{00000000-0005-0000-0000-0000B8EB0000}"/>
    <cellStyle name="Плохой 63" xfId="59922" xr:uid="{00000000-0005-0000-0000-0000B9EB0000}"/>
    <cellStyle name="Плохой 64" xfId="59923" xr:uid="{00000000-0005-0000-0000-0000BAEB0000}"/>
    <cellStyle name="Плохой 65" xfId="59924" xr:uid="{00000000-0005-0000-0000-0000BBEB0000}"/>
    <cellStyle name="Плохой 66" xfId="59925" xr:uid="{00000000-0005-0000-0000-0000BCEB0000}"/>
    <cellStyle name="Плохой 67" xfId="59926" xr:uid="{00000000-0005-0000-0000-0000BDEB0000}"/>
    <cellStyle name="Плохой 68" xfId="59927" xr:uid="{00000000-0005-0000-0000-0000BEEB0000}"/>
    <cellStyle name="Плохой 69" xfId="59928" xr:uid="{00000000-0005-0000-0000-0000BFEB0000}"/>
    <cellStyle name="Плохой 7" xfId="59929" xr:uid="{00000000-0005-0000-0000-0000C0EB0000}"/>
    <cellStyle name="Плохой 70" xfId="59930" xr:uid="{00000000-0005-0000-0000-0000C1EB0000}"/>
    <cellStyle name="Плохой 71" xfId="59931" xr:uid="{00000000-0005-0000-0000-0000C2EB0000}"/>
    <cellStyle name="Плохой 72" xfId="59932" xr:uid="{00000000-0005-0000-0000-0000C3EB0000}"/>
    <cellStyle name="Плохой 73" xfId="59933" xr:uid="{00000000-0005-0000-0000-0000C4EB0000}"/>
    <cellStyle name="Плохой 74" xfId="59934" xr:uid="{00000000-0005-0000-0000-0000C5EB0000}"/>
    <cellStyle name="Плохой 75" xfId="59935" xr:uid="{00000000-0005-0000-0000-0000C6EB0000}"/>
    <cellStyle name="Плохой 76" xfId="59936" xr:uid="{00000000-0005-0000-0000-0000C7EB0000}"/>
    <cellStyle name="Плохой 77" xfId="59937" xr:uid="{00000000-0005-0000-0000-0000C8EB0000}"/>
    <cellStyle name="Плохой 78" xfId="59938" xr:uid="{00000000-0005-0000-0000-0000C9EB0000}"/>
    <cellStyle name="Плохой 79" xfId="59939" xr:uid="{00000000-0005-0000-0000-0000CAEB0000}"/>
    <cellStyle name="Плохой 8" xfId="59940" xr:uid="{00000000-0005-0000-0000-0000CBEB0000}"/>
    <cellStyle name="Плохой 80" xfId="59941" xr:uid="{00000000-0005-0000-0000-0000CCEB0000}"/>
    <cellStyle name="Плохой 81" xfId="59942" xr:uid="{00000000-0005-0000-0000-0000CDEB0000}"/>
    <cellStyle name="Плохой 82" xfId="59943" xr:uid="{00000000-0005-0000-0000-0000CEEB0000}"/>
    <cellStyle name="Плохой 83" xfId="59944" xr:uid="{00000000-0005-0000-0000-0000CFEB0000}"/>
    <cellStyle name="Плохой 84" xfId="59945" xr:uid="{00000000-0005-0000-0000-0000D0EB0000}"/>
    <cellStyle name="Плохой 85" xfId="59946" xr:uid="{00000000-0005-0000-0000-0000D1EB0000}"/>
    <cellStyle name="Плохой 86" xfId="59947" xr:uid="{00000000-0005-0000-0000-0000D2EB0000}"/>
    <cellStyle name="Плохой 87" xfId="59948" xr:uid="{00000000-0005-0000-0000-0000D3EB0000}"/>
    <cellStyle name="Плохой 88" xfId="59949" xr:uid="{00000000-0005-0000-0000-0000D4EB0000}"/>
    <cellStyle name="Плохой 89" xfId="59950" xr:uid="{00000000-0005-0000-0000-0000D5EB0000}"/>
    <cellStyle name="Плохой 9" xfId="59951" xr:uid="{00000000-0005-0000-0000-0000D6EB0000}"/>
    <cellStyle name="Плохой 90" xfId="59952" xr:uid="{00000000-0005-0000-0000-0000D7EB0000}"/>
    <cellStyle name="Плохой 91" xfId="59953" xr:uid="{00000000-0005-0000-0000-0000D8EB0000}"/>
    <cellStyle name="Плохой 92" xfId="59954" xr:uid="{00000000-0005-0000-0000-0000D9EB0000}"/>
    <cellStyle name="Плохой 93" xfId="59955" xr:uid="{00000000-0005-0000-0000-0000DAEB0000}"/>
    <cellStyle name="Плохой 94" xfId="59956" xr:uid="{00000000-0005-0000-0000-0000DBEB0000}"/>
    <cellStyle name="Плохой 95" xfId="59957" xr:uid="{00000000-0005-0000-0000-0000DCEB0000}"/>
    <cellStyle name="Плохой 96" xfId="59958" xr:uid="{00000000-0005-0000-0000-0000DDEB0000}"/>
    <cellStyle name="Плохой 97" xfId="59959" xr:uid="{00000000-0005-0000-0000-0000DEEB0000}"/>
    <cellStyle name="Плохой 98" xfId="59960" xr:uid="{00000000-0005-0000-0000-0000DFEB0000}"/>
    <cellStyle name="Плохой 99" xfId="59961" xr:uid="{00000000-0005-0000-0000-0000E0EB0000}"/>
    <cellStyle name="Пояснение 10" xfId="59962" xr:uid="{00000000-0005-0000-0000-0000E1EB0000}"/>
    <cellStyle name="Пояснение 100" xfId="59963" xr:uid="{00000000-0005-0000-0000-0000E2EB0000}"/>
    <cellStyle name="Пояснение 101" xfId="59964" xr:uid="{00000000-0005-0000-0000-0000E3EB0000}"/>
    <cellStyle name="Пояснение 102" xfId="59965" xr:uid="{00000000-0005-0000-0000-0000E4EB0000}"/>
    <cellStyle name="Пояснение 103" xfId="59966" xr:uid="{00000000-0005-0000-0000-0000E5EB0000}"/>
    <cellStyle name="Пояснение 104" xfId="59967" xr:uid="{00000000-0005-0000-0000-0000E6EB0000}"/>
    <cellStyle name="Пояснение 105" xfId="59968" xr:uid="{00000000-0005-0000-0000-0000E7EB0000}"/>
    <cellStyle name="Пояснение 106" xfId="59969" xr:uid="{00000000-0005-0000-0000-0000E8EB0000}"/>
    <cellStyle name="Пояснение 107" xfId="59970" xr:uid="{00000000-0005-0000-0000-0000E9EB0000}"/>
    <cellStyle name="Пояснение 108" xfId="59971" xr:uid="{00000000-0005-0000-0000-0000EAEB0000}"/>
    <cellStyle name="Пояснение 109" xfId="59972" xr:uid="{00000000-0005-0000-0000-0000EBEB0000}"/>
    <cellStyle name="Пояснение 11" xfId="59973" xr:uid="{00000000-0005-0000-0000-0000ECEB0000}"/>
    <cellStyle name="Пояснение 110" xfId="59974" xr:uid="{00000000-0005-0000-0000-0000EDEB0000}"/>
    <cellStyle name="Пояснение 111" xfId="59975" xr:uid="{00000000-0005-0000-0000-0000EEEB0000}"/>
    <cellStyle name="Пояснение 112" xfId="59976" xr:uid="{00000000-0005-0000-0000-0000EFEB0000}"/>
    <cellStyle name="Пояснение 113" xfId="59977" xr:uid="{00000000-0005-0000-0000-0000F0EB0000}"/>
    <cellStyle name="Пояснение 114" xfId="59978" xr:uid="{00000000-0005-0000-0000-0000F1EB0000}"/>
    <cellStyle name="Пояснение 115" xfId="59979" xr:uid="{00000000-0005-0000-0000-0000F2EB0000}"/>
    <cellStyle name="Пояснение 116" xfId="59980" xr:uid="{00000000-0005-0000-0000-0000F3EB0000}"/>
    <cellStyle name="Пояснение 117" xfId="59981" xr:uid="{00000000-0005-0000-0000-0000F4EB0000}"/>
    <cellStyle name="Пояснение 118" xfId="59982" xr:uid="{00000000-0005-0000-0000-0000F5EB0000}"/>
    <cellStyle name="Пояснение 119" xfId="59983" xr:uid="{00000000-0005-0000-0000-0000F6EB0000}"/>
    <cellStyle name="Пояснение 12" xfId="59984" xr:uid="{00000000-0005-0000-0000-0000F7EB0000}"/>
    <cellStyle name="Пояснение 120" xfId="59985" xr:uid="{00000000-0005-0000-0000-0000F8EB0000}"/>
    <cellStyle name="Пояснение 121" xfId="59986" xr:uid="{00000000-0005-0000-0000-0000F9EB0000}"/>
    <cellStyle name="Пояснение 122" xfId="59987" xr:uid="{00000000-0005-0000-0000-0000FAEB0000}"/>
    <cellStyle name="Пояснение 123" xfId="59988" xr:uid="{00000000-0005-0000-0000-0000FBEB0000}"/>
    <cellStyle name="Пояснение 124" xfId="59989" xr:uid="{00000000-0005-0000-0000-0000FCEB0000}"/>
    <cellStyle name="Пояснение 125" xfId="59990" xr:uid="{00000000-0005-0000-0000-0000FDEB0000}"/>
    <cellStyle name="Пояснение 126" xfId="59991" xr:uid="{00000000-0005-0000-0000-0000FEEB0000}"/>
    <cellStyle name="Пояснение 127" xfId="59992" xr:uid="{00000000-0005-0000-0000-0000FFEB0000}"/>
    <cellStyle name="Пояснение 128" xfId="59993" xr:uid="{00000000-0005-0000-0000-000000EC0000}"/>
    <cellStyle name="Пояснение 129" xfId="59994" xr:uid="{00000000-0005-0000-0000-000001EC0000}"/>
    <cellStyle name="Пояснение 13" xfId="59995" xr:uid="{00000000-0005-0000-0000-000002EC0000}"/>
    <cellStyle name="Пояснение 130" xfId="59996" xr:uid="{00000000-0005-0000-0000-000003EC0000}"/>
    <cellStyle name="Пояснение 131" xfId="59997" xr:uid="{00000000-0005-0000-0000-000004EC0000}"/>
    <cellStyle name="Пояснение 132" xfId="59998" xr:uid="{00000000-0005-0000-0000-000005EC0000}"/>
    <cellStyle name="Пояснение 133" xfId="59999" xr:uid="{00000000-0005-0000-0000-000006EC0000}"/>
    <cellStyle name="Пояснение 134" xfId="60000" xr:uid="{00000000-0005-0000-0000-000007EC0000}"/>
    <cellStyle name="Пояснение 135" xfId="60001" xr:uid="{00000000-0005-0000-0000-000008EC0000}"/>
    <cellStyle name="Пояснение 136" xfId="60002" xr:uid="{00000000-0005-0000-0000-000009EC0000}"/>
    <cellStyle name="Пояснение 137" xfId="60003" xr:uid="{00000000-0005-0000-0000-00000AEC0000}"/>
    <cellStyle name="Пояснение 138" xfId="60004" xr:uid="{00000000-0005-0000-0000-00000BEC0000}"/>
    <cellStyle name="Пояснение 139" xfId="60005" xr:uid="{00000000-0005-0000-0000-00000CEC0000}"/>
    <cellStyle name="Пояснение 14" xfId="60006" xr:uid="{00000000-0005-0000-0000-00000DEC0000}"/>
    <cellStyle name="Пояснение 140" xfId="60007" xr:uid="{00000000-0005-0000-0000-00000EEC0000}"/>
    <cellStyle name="Пояснение 141" xfId="60008" xr:uid="{00000000-0005-0000-0000-00000FEC0000}"/>
    <cellStyle name="Пояснение 142" xfId="60009" xr:uid="{00000000-0005-0000-0000-000010EC0000}"/>
    <cellStyle name="Пояснение 143" xfId="60010" xr:uid="{00000000-0005-0000-0000-000011EC0000}"/>
    <cellStyle name="Пояснение 144" xfId="60011" xr:uid="{00000000-0005-0000-0000-000012EC0000}"/>
    <cellStyle name="Пояснение 145" xfId="60012" xr:uid="{00000000-0005-0000-0000-000013EC0000}"/>
    <cellStyle name="Пояснение 146" xfId="60013" xr:uid="{00000000-0005-0000-0000-000014EC0000}"/>
    <cellStyle name="Пояснение 147" xfId="60014" xr:uid="{00000000-0005-0000-0000-000015EC0000}"/>
    <cellStyle name="Пояснение 148" xfId="60015" xr:uid="{00000000-0005-0000-0000-000016EC0000}"/>
    <cellStyle name="Пояснение 149" xfId="60016" xr:uid="{00000000-0005-0000-0000-000017EC0000}"/>
    <cellStyle name="Пояснение 15" xfId="60017" xr:uid="{00000000-0005-0000-0000-000018EC0000}"/>
    <cellStyle name="Пояснение 150" xfId="60018" xr:uid="{00000000-0005-0000-0000-000019EC0000}"/>
    <cellStyle name="Пояснение 151" xfId="60019" xr:uid="{00000000-0005-0000-0000-00001AEC0000}"/>
    <cellStyle name="Пояснение 152" xfId="60020" xr:uid="{00000000-0005-0000-0000-00001BEC0000}"/>
    <cellStyle name="Пояснение 153" xfId="60021" xr:uid="{00000000-0005-0000-0000-00001CEC0000}"/>
    <cellStyle name="Пояснение 16" xfId="60022" xr:uid="{00000000-0005-0000-0000-00001DEC0000}"/>
    <cellStyle name="Пояснение 17" xfId="60023" xr:uid="{00000000-0005-0000-0000-00001EEC0000}"/>
    <cellStyle name="Пояснение 18" xfId="60024" xr:uid="{00000000-0005-0000-0000-00001FEC0000}"/>
    <cellStyle name="Пояснение 19" xfId="60025" xr:uid="{00000000-0005-0000-0000-000020EC0000}"/>
    <cellStyle name="Пояснение 2" xfId="60026" xr:uid="{00000000-0005-0000-0000-000021EC0000}"/>
    <cellStyle name="Пояснение 2 2" xfId="60027" xr:uid="{00000000-0005-0000-0000-000022EC0000}"/>
    <cellStyle name="Пояснение 2 2 10" xfId="60028" xr:uid="{00000000-0005-0000-0000-000023EC0000}"/>
    <cellStyle name="Пояснение 2 2 11" xfId="60029" xr:uid="{00000000-0005-0000-0000-000024EC0000}"/>
    <cellStyle name="Пояснение 2 2 12" xfId="60030" xr:uid="{00000000-0005-0000-0000-000025EC0000}"/>
    <cellStyle name="Пояснение 2 2 13" xfId="60031" xr:uid="{00000000-0005-0000-0000-000026EC0000}"/>
    <cellStyle name="Пояснение 2 2 2" xfId="60032" xr:uid="{00000000-0005-0000-0000-000027EC0000}"/>
    <cellStyle name="Пояснение 2 2 3" xfId="60033" xr:uid="{00000000-0005-0000-0000-000028EC0000}"/>
    <cellStyle name="Пояснение 2 2 4" xfId="60034" xr:uid="{00000000-0005-0000-0000-000029EC0000}"/>
    <cellStyle name="Пояснение 2 2 5" xfId="60035" xr:uid="{00000000-0005-0000-0000-00002AEC0000}"/>
    <cellStyle name="Пояснение 2 2 6" xfId="60036" xr:uid="{00000000-0005-0000-0000-00002BEC0000}"/>
    <cellStyle name="Пояснение 2 2 7" xfId="60037" xr:uid="{00000000-0005-0000-0000-00002CEC0000}"/>
    <cellStyle name="Пояснение 2 2 8" xfId="60038" xr:uid="{00000000-0005-0000-0000-00002DEC0000}"/>
    <cellStyle name="Пояснение 2 2 9" xfId="60039" xr:uid="{00000000-0005-0000-0000-00002EEC0000}"/>
    <cellStyle name="Пояснение 2 3" xfId="60040" xr:uid="{00000000-0005-0000-0000-00002FEC0000}"/>
    <cellStyle name="Пояснение 20" xfId="60041" xr:uid="{00000000-0005-0000-0000-000030EC0000}"/>
    <cellStyle name="Пояснение 21" xfId="60042" xr:uid="{00000000-0005-0000-0000-000031EC0000}"/>
    <cellStyle name="Пояснение 22" xfId="60043" xr:uid="{00000000-0005-0000-0000-000032EC0000}"/>
    <cellStyle name="Пояснение 23" xfId="60044" xr:uid="{00000000-0005-0000-0000-000033EC0000}"/>
    <cellStyle name="Пояснение 24" xfId="60045" xr:uid="{00000000-0005-0000-0000-000034EC0000}"/>
    <cellStyle name="Пояснение 25" xfId="60046" xr:uid="{00000000-0005-0000-0000-000035EC0000}"/>
    <cellStyle name="Пояснение 26" xfId="60047" xr:uid="{00000000-0005-0000-0000-000036EC0000}"/>
    <cellStyle name="Пояснение 27" xfId="60048" xr:uid="{00000000-0005-0000-0000-000037EC0000}"/>
    <cellStyle name="Пояснение 28" xfId="60049" xr:uid="{00000000-0005-0000-0000-000038EC0000}"/>
    <cellStyle name="Пояснение 29" xfId="60050" xr:uid="{00000000-0005-0000-0000-000039EC0000}"/>
    <cellStyle name="Пояснение 3" xfId="60051" xr:uid="{00000000-0005-0000-0000-00003AEC0000}"/>
    <cellStyle name="Пояснение 30" xfId="60052" xr:uid="{00000000-0005-0000-0000-00003BEC0000}"/>
    <cellStyle name="Пояснение 31" xfId="60053" xr:uid="{00000000-0005-0000-0000-00003CEC0000}"/>
    <cellStyle name="Пояснение 32" xfId="60054" xr:uid="{00000000-0005-0000-0000-00003DEC0000}"/>
    <cellStyle name="Пояснение 33" xfId="60055" xr:uid="{00000000-0005-0000-0000-00003EEC0000}"/>
    <cellStyle name="Пояснение 34" xfId="60056" xr:uid="{00000000-0005-0000-0000-00003FEC0000}"/>
    <cellStyle name="Пояснение 35" xfId="60057" xr:uid="{00000000-0005-0000-0000-000040EC0000}"/>
    <cellStyle name="Пояснение 36" xfId="60058" xr:uid="{00000000-0005-0000-0000-000041EC0000}"/>
    <cellStyle name="Пояснение 37" xfId="60059" xr:uid="{00000000-0005-0000-0000-000042EC0000}"/>
    <cellStyle name="Пояснение 38" xfId="60060" xr:uid="{00000000-0005-0000-0000-000043EC0000}"/>
    <cellStyle name="Пояснение 39" xfId="60061" xr:uid="{00000000-0005-0000-0000-000044EC0000}"/>
    <cellStyle name="Пояснение 4" xfId="60062" xr:uid="{00000000-0005-0000-0000-000045EC0000}"/>
    <cellStyle name="Пояснение 40" xfId="60063" xr:uid="{00000000-0005-0000-0000-000046EC0000}"/>
    <cellStyle name="Пояснение 41" xfId="60064" xr:uid="{00000000-0005-0000-0000-000047EC0000}"/>
    <cellStyle name="Пояснение 42" xfId="60065" xr:uid="{00000000-0005-0000-0000-000048EC0000}"/>
    <cellStyle name="Пояснение 43" xfId="60066" xr:uid="{00000000-0005-0000-0000-000049EC0000}"/>
    <cellStyle name="Пояснение 44" xfId="60067" xr:uid="{00000000-0005-0000-0000-00004AEC0000}"/>
    <cellStyle name="Пояснение 45" xfId="60068" xr:uid="{00000000-0005-0000-0000-00004BEC0000}"/>
    <cellStyle name="Пояснение 46" xfId="60069" xr:uid="{00000000-0005-0000-0000-00004CEC0000}"/>
    <cellStyle name="Пояснение 47" xfId="60070" xr:uid="{00000000-0005-0000-0000-00004DEC0000}"/>
    <cellStyle name="Пояснение 48" xfId="60071" xr:uid="{00000000-0005-0000-0000-00004EEC0000}"/>
    <cellStyle name="Пояснение 49" xfId="60072" xr:uid="{00000000-0005-0000-0000-00004FEC0000}"/>
    <cellStyle name="Пояснение 5" xfId="60073" xr:uid="{00000000-0005-0000-0000-000050EC0000}"/>
    <cellStyle name="Пояснение 50" xfId="60074" xr:uid="{00000000-0005-0000-0000-000051EC0000}"/>
    <cellStyle name="Пояснение 51" xfId="60075" xr:uid="{00000000-0005-0000-0000-000052EC0000}"/>
    <cellStyle name="Пояснение 52" xfId="60076" xr:uid="{00000000-0005-0000-0000-000053EC0000}"/>
    <cellStyle name="Пояснение 53" xfId="60077" xr:uid="{00000000-0005-0000-0000-000054EC0000}"/>
    <cellStyle name="Пояснение 54" xfId="60078" xr:uid="{00000000-0005-0000-0000-000055EC0000}"/>
    <cellStyle name="Пояснение 55" xfId="60079" xr:uid="{00000000-0005-0000-0000-000056EC0000}"/>
    <cellStyle name="Пояснение 56" xfId="60080" xr:uid="{00000000-0005-0000-0000-000057EC0000}"/>
    <cellStyle name="Пояснение 57" xfId="60081" xr:uid="{00000000-0005-0000-0000-000058EC0000}"/>
    <cellStyle name="Пояснение 58" xfId="60082" xr:uid="{00000000-0005-0000-0000-000059EC0000}"/>
    <cellStyle name="Пояснение 59" xfId="60083" xr:uid="{00000000-0005-0000-0000-00005AEC0000}"/>
    <cellStyle name="Пояснение 6" xfId="60084" xr:uid="{00000000-0005-0000-0000-00005BEC0000}"/>
    <cellStyle name="Пояснение 60" xfId="60085" xr:uid="{00000000-0005-0000-0000-00005CEC0000}"/>
    <cellStyle name="Пояснение 61" xfId="60086" xr:uid="{00000000-0005-0000-0000-00005DEC0000}"/>
    <cellStyle name="Пояснение 62" xfId="60087" xr:uid="{00000000-0005-0000-0000-00005EEC0000}"/>
    <cellStyle name="Пояснение 63" xfId="60088" xr:uid="{00000000-0005-0000-0000-00005FEC0000}"/>
    <cellStyle name="Пояснение 64" xfId="60089" xr:uid="{00000000-0005-0000-0000-000060EC0000}"/>
    <cellStyle name="Пояснение 65" xfId="60090" xr:uid="{00000000-0005-0000-0000-000061EC0000}"/>
    <cellStyle name="Пояснение 66" xfId="60091" xr:uid="{00000000-0005-0000-0000-000062EC0000}"/>
    <cellStyle name="Пояснение 67" xfId="60092" xr:uid="{00000000-0005-0000-0000-000063EC0000}"/>
    <cellStyle name="Пояснение 68" xfId="60093" xr:uid="{00000000-0005-0000-0000-000064EC0000}"/>
    <cellStyle name="Пояснение 69" xfId="60094" xr:uid="{00000000-0005-0000-0000-000065EC0000}"/>
    <cellStyle name="Пояснение 7" xfId="60095" xr:uid="{00000000-0005-0000-0000-000066EC0000}"/>
    <cellStyle name="Пояснение 70" xfId="60096" xr:uid="{00000000-0005-0000-0000-000067EC0000}"/>
    <cellStyle name="Пояснение 71" xfId="60097" xr:uid="{00000000-0005-0000-0000-000068EC0000}"/>
    <cellStyle name="Пояснение 72" xfId="60098" xr:uid="{00000000-0005-0000-0000-000069EC0000}"/>
    <cellStyle name="Пояснение 73" xfId="60099" xr:uid="{00000000-0005-0000-0000-00006AEC0000}"/>
    <cellStyle name="Пояснение 74" xfId="60100" xr:uid="{00000000-0005-0000-0000-00006BEC0000}"/>
    <cellStyle name="Пояснение 75" xfId="60101" xr:uid="{00000000-0005-0000-0000-00006CEC0000}"/>
    <cellStyle name="Пояснение 76" xfId="60102" xr:uid="{00000000-0005-0000-0000-00006DEC0000}"/>
    <cellStyle name="Пояснение 77" xfId="60103" xr:uid="{00000000-0005-0000-0000-00006EEC0000}"/>
    <cellStyle name="Пояснение 78" xfId="60104" xr:uid="{00000000-0005-0000-0000-00006FEC0000}"/>
    <cellStyle name="Пояснение 79" xfId="60105" xr:uid="{00000000-0005-0000-0000-000070EC0000}"/>
    <cellStyle name="Пояснение 8" xfId="60106" xr:uid="{00000000-0005-0000-0000-000071EC0000}"/>
    <cellStyle name="Пояснение 80" xfId="60107" xr:uid="{00000000-0005-0000-0000-000072EC0000}"/>
    <cellStyle name="Пояснение 81" xfId="60108" xr:uid="{00000000-0005-0000-0000-000073EC0000}"/>
    <cellStyle name="Пояснение 82" xfId="60109" xr:uid="{00000000-0005-0000-0000-000074EC0000}"/>
    <cellStyle name="Пояснение 83" xfId="60110" xr:uid="{00000000-0005-0000-0000-000075EC0000}"/>
    <cellStyle name="Пояснение 84" xfId="60111" xr:uid="{00000000-0005-0000-0000-000076EC0000}"/>
    <cellStyle name="Пояснение 85" xfId="60112" xr:uid="{00000000-0005-0000-0000-000077EC0000}"/>
    <cellStyle name="Пояснение 86" xfId="60113" xr:uid="{00000000-0005-0000-0000-000078EC0000}"/>
    <cellStyle name="Пояснение 87" xfId="60114" xr:uid="{00000000-0005-0000-0000-000079EC0000}"/>
    <cellStyle name="Пояснение 88" xfId="60115" xr:uid="{00000000-0005-0000-0000-00007AEC0000}"/>
    <cellStyle name="Пояснение 89" xfId="60116" xr:uid="{00000000-0005-0000-0000-00007BEC0000}"/>
    <cellStyle name="Пояснение 9" xfId="60117" xr:uid="{00000000-0005-0000-0000-00007CEC0000}"/>
    <cellStyle name="Пояснение 90" xfId="60118" xr:uid="{00000000-0005-0000-0000-00007DEC0000}"/>
    <cellStyle name="Пояснение 91" xfId="60119" xr:uid="{00000000-0005-0000-0000-00007EEC0000}"/>
    <cellStyle name="Пояснение 92" xfId="60120" xr:uid="{00000000-0005-0000-0000-00007FEC0000}"/>
    <cellStyle name="Пояснение 93" xfId="60121" xr:uid="{00000000-0005-0000-0000-000080EC0000}"/>
    <cellStyle name="Пояснение 94" xfId="60122" xr:uid="{00000000-0005-0000-0000-000081EC0000}"/>
    <cellStyle name="Пояснение 95" xfId="60123" xr:uid="{00000000-0005-0000-0000-000082EC0000}"/>
    <cellStyle name="Пояснение 96" xfId="60124" xr:uid="{00000000-0005-0000-0000-000083EC0000}"/>
    <cellStyle name="Пояснение 97" xfId="60125" xr:uid="{00000000-0005-0000-0000-000084EC0000}"/>
    <cellStyle name="Пояснение 98" xfId="60126" xr:uid="{00000000-0005-0000-0000-000085EC0000}"/>
    <cellStyle name="Пояснение 99" xfId="60127" xr:uid="{00000000-0005-0000-0000-000086EC0000}"/>
    <cellStyle name="Примечание 10" xfId="60128" xr:uid="{00000000-0005-0000-0000-000087EC0000}"/>
    <cellStyle name="Примечание 10 2" xfId="60129" xr:uid="{00000000-0005-0000-0000-000088EC0000}"/>
    <cellStyle name="Примечание 10 3" xfId="60130" xr:uid="{00000000-0005-0000-0000-000089EC0000}"/>
    <cellStyle name="Примечание 100" xfId="60131" xr:uid="{00000000-0005-0000-0000-00008AEC0000}"/>
    <cellStyle name="Примечание 101" xfId="60132" xr:uid="{00000000-0005-0000-0000-00008BEC0000}"/>
    <cellStyle name="Примечание 102" xfId="60133" xr:uid="{00000000-0005-0000-0000-00008CEC0000}"/>
    <cellStyle name="Примечание 103" xfId="60134" xr:uid="{00000000-0005-0000-0000-00008DEC0000}"/>
    <cellStyle name="Примечание 104" xfId="60135" xr:uid="{00000000-0005-0000-0000-00008EEC0000}"/>
    <cellStyle name="Примечание 105" xfId="60136" xr:uid="{00000000-0005-0000-0000-00008FEC0000}"/>
    <cellStyle name="Примечание 106" xfId="60137" xr:uid="{00000000-0005-0000-0000-000090EC0000}"/>
    <cellStyle name="Примечание 107" xfId="60138" xr:uid="{00000000-0005-0000-0000-000091EC0000}"/>
    <cellStyle name="Примечание 108" xfId="60139" xr:uid="{00000000-0005-0000-0000-000092EC0000}"/>
    <cellStyle name="Примечание 109" xfId="60140" xr:uid="{00000000-0005-0000-0000-000093EC0000}"/>
    <cellStyle name="Примечание 11" xfId="60141" xr:uid="{00000000-0005-0000-0000-000094EC0000}"/>
    <cellStyle name="Примечание 11 2" xfId="60142" xr:uid="{00000000-0005-0000-0000-000095EC0000}"/>
    <cellStyle name="Примечание 11 3" xfId="60143" xr:uid="{00000000-0005-0000-0000-000096EC0000}"/>
    <cellStyle name="Примечание 110" xfId="60144" xr:uid="{00000000-0005-0000-0000-000097EC0000}"/>
    <cellStyle name="Примечание 111" xfId="60145" xr:uid="{00000000-0005-0000-0000-000098EC0000}"/>
    <cellStyle name="Примечание 112" xfId="60146" xr:uid="{00000000-0005-0000-0000-000099EC0000}"/>
    <cellStyle name="Примечание 113" xfId="60147" xr:uid="{00000000-0005-0000-0000-00009AEC0000}"/>
    <cellStyle name="Примечание 114" xfId="60148" xr:uid="{00000000-0005-0000-0000-00009BEC0000}"/>
    <cellStyle name="Примечание 115" xfId="60149" xr:uid="{00000000-0005-0000-0000-00009CEC0000}"/>
    <cellStyle name="Примечание 116" xfId="60150" xr:uid="{00000000-0005-0000-0000-00009DEC0000}"/>
    <cellStyle name="Примечание 117" xfId="60151" xr:uid="{00000000-0005-0000-0000-00009EEC0000}"/>
    <cellStyle name="Примечание 118" xfId="60152" xr:uid="{00000000-0005-0000-0000-00009FEC0000}"/>
    <cellStyle name="Примечание 119" xfId="60153" xr:uid="{00000000-0005-0000-0000-0000A0EC0000}"/>
    <cellStyle name="Примечание 12" xfId="60154" xr:uid="{00000000-0005-0000-0000-0000A1EC0000}"/>
    <cellStyle name="Примечание 12 2" xfId="60155" xr:uid="{00000000-0005-0000-0000-0000A2EC0000}"/>
    <cellStyle name="Примечание 12 3" xfId="60156" xr:uid="{00000000-0005-0000-0000-0000A3EC0000}"/>
    <cellStyle name="Примечание 120" xfId="60157" xr:uid="{00000000-0005-0000-0000-0000A4EC0000}"/>
    <cellStyle name="Примечание 121" xfId="60158" xr:uid="{00000000-0005-0000-0000-0000A5EC0000}"/>
    <cellStyle name="Примечание 122" xfId="60159" xr:uid="{00000000-0005-0000-0000-0000A6EC0000}"/>
    <cellStyle name="Примечание 123" xfId="60160" xr:uid="{00000000-0005-0000-0000-0000A7EC0000}"/>
    <cellStyle name="Примечание 124" xfId="60161" xr:uid="{00000000-0005-0000-0000-0000A8EC0000}"/>
    <cellStyle name="Примечание 125" xfId="60162" xr:uid="{00000000-0005-0000-0000-0000A9EC0000}"/>
    <cellStyle name="Примечание 126" xfId="60163" xr:uid="{00000000-0005-0000-0000-0000AAEC0000}"/>
    <cellStyle name="Примечание 127" xfId="60164" xr:uid="{00000000-0005-0000-0000-0000ABEC0000}"/>
    <cellStyle name="Примечание 128" xfId="60165" xr:uid="{00000000-0005-0000-0000-0000ACEC0000}"/>
    <cellStyle name="Примечание 129" xfId="60166" xr:uid="{00000000-0005-0000-0000-0000ADEC0000}"/>
    <cellStyle name="Примечание 13" xfId="60167" xr:uid="{00000000-0005-0000-0000-0000AEEC0000}"/>
    <cellStyle name="Примечание 13 2" xfId="60168" xr:uid="{00000000-0005-0000-0000-0000AFEC0000}"/>
    <cellStyle name="Примечание 13 3" xfId="60169" xr:uid="{00000000-0005-0000-0000-0000B0EC0000}"/>
    <cellStyle name="Примечание 130" xfId="60170" xr:uid="{00000000-0005-0000-0000-0000B1EC0000}"/>
    <cellStyle name="Примечание 131" xfId="60171" xr:uid="{00000000-0005-0000-0000-0000B2EC0000}"/>
    <cellStyle name="Примечание 132" xfId="60172" xr:uid="{00000000-0005-0000-0000-0000B3EC0000}"/>
    <cellStyle name="Примечание 133" xfId="60173" xr:uid="{00000000-0005-0000-0000-0000B4EC0000}"/>
    <cellStyle name="Примечание 134" xfId="60174" xr:uid="{00000000-0005-0000-0000-0000B5EC0000}"/>
    <cellStyle name="Примечание 135" xfId="60175" xr:uid="{00000000-0005-0000-0000-0000B6EC0000}"/>
    <cellStyle name="Примечание 136" xfId="60176" xr:uid="{00000000-0005-0000-0000-0000B7EC0000}"/>
    <cellStyle name="Примечание 137" xfId="60177" xr:uid="{00000000-0005-0000-0000-0000B8EC0000}"/>
    <cellStyle name="Примечание 138" xfId="60178" xr:uid="{00000000-0005-0000-0000-0000B9EC0000}"/>
    <cellStyle name="Примечание 139" xfId="60179" xr:uid="{00000000-0005-0000-0000-0000BAEC0000}"/>
    <cellStyle name="Примечание 14" xfId="60180" xr:uid="{00000000-0005-0000-0000-0000BBEC0000}"/>
    <cellStyle name="Примечание 140" xfId="60181" xr:uid="{00000000-0005-0000-0000-0000BCEC0000}"/>
    <cellStyle name="Примечание 141" xfId="60182" xr:uid="{00000000-0005-0000-0000-0000BDEC0000}"/>
    <cellStyle name="Примечание 142" xfId="60183" xr:uid="{00000000-0005-0000-0000-0000BEEC0000}"/>
    <cellStyle name="Примечание 143" xfId="60184" xr:uid="{00000000-0005-0000-0000-0000BFEC0000}"/>
    <cellStyle name="Примечание 144" xfId="60185" xr:uid="{00000000-0005-0000-0000-0000C0EC0000}"/>
    <cellStyle name="Примечание 145" xfId="60186" xr:uid="{00000000-0005-0000-0000-0000C1EC0000}"/>
    <cellStyle name="Примечание 146" xfId="60187" xr:uid="{00000000-0005-0000-0000-0000C2EC0000}"/>
    <cellStyle name="Примечание 147" xfId="60188" xr:uid="{00000000-0005-0000-0000-0000C3EC0000}"/>
    <cellStyle name="Примечание 148" xfId="60189" xr:uid="{00000000-0005-0000-0000-0000C4EC0000}"/>
    <cellStyle name="Примечание 149" xfId="60190" xr:uid="{00000000-0005-0000-0000-0000C5EC0000}"/>
    <cellStyle name="Примечание 15" xfId="60191" xr:uid="{00000000-0005-0000-0000-0000C6EC0000}"/>
    <cellStyle name="Примечание 150" xfId="60192" xr:uid="{00000000-0005-0000-0000-0000C7EC0000}"/>
    <cellStyle name="Примечание 151" xfId="60193" xr:uid="{00000000-0005-0000-0000-0000C8EC0000}"/>
    <cellStyle name="Примечание 152" xfId="60194" xr:uid="{00000000-0005-0000-0000-0000C9EC0000}"/>
    <cellStyle name="Примечание 153" xfId="60195" xr:uid="{00000000-0005-0000-0000-0000CAEC0000}"/>
    <cellStyle name="Примечание 154" xfId="60196" xr:uid="{00000000-0005-0000-0000-0000CBEC0000}"/>
    <cellStyle name="Примечание 155" xfId="60197" xr:uid="{00000000-0005-0000-0000-0000CCEC0000}"/>
    <cellStyle name="Примечание 156" xfId="60198" xr:uid="{00000000-0005-0000-0000-0000CDEC0000}"/>
    <cellStyle name="Примечание 157" xfId="60199" xr:uid="{00000000-0005-0000-0000-0000CEEC0000}"/>
    <cellStyle name="Примечание 158" xfId="60200" xr:uid="{00000000-0005-0000-0000-0000CFEC0000}"/>
    <cellStyle name="Примечание 159" xfId="60201" xr:uid="{00000000-0005-0000-0000-0000D0EC0000}"/>
    <cellStyle name="Примечание 16" xfId="60202" xr:uid="{00000000-0005-0000-0000-0000D1EC0000}"/>
    <cellStyle name="Примечание 160" xfId="60203" xr:uid="{00000000-0005-0000-0000-0000D2EC0000}"/>
    <cellStyle name="Примечание 161" xfId="60204" xr:uid="{00000000-0005-0000-0000-0000D3EC0000}"/>
    <cellStyle name="Примечание 162" xfId="60205" xr:uid="{00000000-0005-0000-0000-0000D4EC0000}"/>
    <cellStyle name="Примечание 163" xfId="60206" xr:uid="{00000000-0005-0000-0000-0000D5EC0000}"/>
    <cellStyle name="Примечание 164" xfId="60207" xr:uid="{00000000-0005-0000-0000-0000D6EC0000}"/>
    <cellStyle name="Примечание 17" xfId="60208" xr:uid="{00000000-0005-0000-0000-0000D7EC0000}"/>
    <cellStyle name="Примечание 18" xfId="60209" xr:uid="{00000000-0005-0000-0000-0000D8EC0000}"/>
    <cellStyle name="Примечание 19" xfId="60210" xr:uid="{00000000-0005-0000-0000-0000D9EC0000}"/>
    <cellStyle name="Примечание 2" xfId="60211" xr:uid="{00000000-0005-0000-0000-0000DAEC0000}"/>
    <cellStyle name="Примечание 2 2" xfId="60212" xr:uid="{00000000-0005-0000-0000-0000DBEC0000}"/>
    <cellStyle name="Примечание 2 3" xfId="60213" xr:uid="{00000000-0005-0000-0000-0000DCEC0000}"/>
    <cellStyle name="Примечание 2 4" xfId="60214" xr:uid="{00000000-0005-0000-0000-0000DDEC0000}"/>
    <cellStyle name="Примечание 20" xfId="60215" xr:uid="{00000000-0005-0000-0000-0000DEEC0000}"/>
    <cellStyle name="Примечание 21" xfId="60216" xr:uid="{00000000-0005-0000-0000-0000DFEC0000}"/>
    <cellStyle name="Примечание 22" xfId="60217" xr:uid="{00000000-0005-0000-0000-0000E0EC0000}"/>
    <cellStyle name="Примечание 23" xfId="60218" xr:uid="{00000000-0005-0000-0000-0000E1EC0000}"/>
    <cellStyle name="Примечание 24" xfId="60219" xr:uid="{00000000-0005-0000-0000-0000E2EC0000}"/>
    <cellStyle name="Примечание 25" xfId="60220" xr:uid="{00000000-0005-0000-0000-0000E3EC0000}"/>
    <cellStyle name="Примечание 26" xfId="60221" xr:uid="{00000000-0005-0000-0000-0000E4EC0000}"/>
    <cellStyle name="Примечание 27" xfId="60222" xr:uid="{00000000-0005-0000-0000-0000E5EC0000}"/>
    <cellStyle name="Примечание 28" xfId="60223" xr:uid="{00000000-0005-0000-0000-0000E6EC0000}"/>
    <cellStyle name="Примечание 29" xfId="60224" xr:uid="{00000000-0005-0000-0000-0000E7EC0000}"/>
    <cellStyle name="Примечание 3" xfId="60225" xr:uid="{00000000-0005-0000-0000-0000E8EC0000}"/>
    <cellStyle name="Примечание 3 2" xfId="60226" xr:uid="{00000000-0005-0000-0000-0000E9EC0000}"/>
    <cellStyle name="Примечание 3 3" xfId="60227" xr:uid="{00000000-0005-0000-0000-0000EAEC0000}"/>
    <cellStyle name="Примечание 30" xfId="60228" xr:uid="{00000000-0005-0000-0000-0000EBEC0000}"/>
    <cellStyle name="Примечание 31" xfId="60229" xr:uid="{00000000-0005-0000-0000-0000ECEC0000}"/>
    <cellStyle name="Примечание 32" xfId="60230" xr:uid="{00000000-0005-0000-0000-0000EDEC0000}"/>
    <cellStyle name="Примечание 33" xfId="60231" xr:uid="{00000000-0005-0000-0000-0000EEEC0000}"/>
    <cellStyle name="Примечание 34" xfId="60232" xr:uid="{00000000-0005-0000-0000-0000EFEC0000}"/>
    <cellStyle name="Примечание 35" xfId="60233" xr:uid="{00000000-0005-0000-0000-0000F0EC0000}"/>
    <cellStyle name="Примечание 36" xfId="60234" xr:uid="{00000000-0005-0000-0000-0000F1EC0000}"/>
    <cellStyle name="Примечание 37" xfId="60235" xr:uid="{00000000-0005-0000-0000-0000F2EC0000}"/>
    <cellStyle name="Примечание 38" xfId="60236" xr:uid="{00000000-0005-0000-0000-0000F3EC0000}"/>
    <cellStyle name="Примечание 39" xfId="60237" xr:uid="{00000000-0005-0000-0000-0000F4EC0000}"/>
    <cellStyle name="Примечание 4" xfId="60238" xr:uid="{00000000-0005-0000-0000-0000F5EC0000}"/>
    <cellStyle name="Примечание 4 2" xfId="60239" xr:uid="{00000000-0005-0000-0000-0000F6EC0000}"/>
    <cellStyle name="Примечание 4 3" xfId="60240" xr:uid="{00000000-0005-0000-0000-0000F7EC0000}"/>
    <cellStyle name="Примечание 40" xfId="60241" xr:uid="{00000000-0005-0000-0000-0000F8EC0000}"/>
    <cellStyle name="Примечание 41" xfId="60242" xr:uid="{00000000-0005-0000-0000-0000F9EC0000}"/>
    <cellStyle name="Примечание 42" xfId="60243" xr:uid="{00000000-0005-0000-0000-0000FAEC0000}"/>
    <cellStyle name="Примечание 43" xfId="60244" xr:uid="{00000000-0005-0000-0000-0000FBEC0000}"/>
    <cellStyle name="Примечание 44" xfId="60245" xr:uid="{00000000-0005-0000-0000-0000FCEC0000}"/>
    <cellStyle name="Примечание 45" xfId="60246" xr:uid="{00000000-0005-0000-0000-0000FDEC0000}"/>
    <cellStyle name="Примечание 46" xfId="60247" xr:uid="{00000000-0005-0000-0000-0000FEEC0000}"/>
    <cellStyle name="Примечание 47" xfId="60248" xr:uid="{00000000-0005-0000-0000-0000FFEC0000}"/>
    <cellStyle name="Примечание 48" xfId="60249" xr:uid="{00000000-0005-0000-0000-000000ED0000}"/>
    <cellStyle name="Примечание 49" xfId="60250" xr:uid="{00000000-0005-0000-0000-000001ED0000}"/>
    <cellStyle name="Примечание 5" xfId="60251" xr:uid="{00000000-0005-0000-0000-000002ED0000}"/>
    <cellStyle name="Примечание 5 2" xfId="60252" xr:uid="{00000000-0005-0000-0000-000003ED0000}"/>
    <cellStyle name="Примечание 5 3" xfId="60253" xr:uid="{00000000-0005-0000-0000-000004ED0000}"/>
    <cellStyle name="Примечание 50" xfId="60254" xr:uid="{00000000-0005-0000-0000-000005ED0000}"/>
    <cellStyle name="Примечание 51" xfId="60255" xr:uid="{00000000-0005-0000-0000-000006ED0000}"/>
    <cellStyle name="Примечание 52" xfId="60256" xr:uid="{00000000-0005-0000-0000-000007ED0000}"/>
    <cellStyle name="Примечание 53" xfId="60257" xr:uid="{00000000-0005-0000-0000-000008ED0000}"/>
    <cellStyle name="Примечание 54" xfId="60258" xr:uid="{00000000-0005-0000-0000-000009ED0000}"/>
    <cellStyle name="Примечание 55" xfId="60259" xr:uid="{00000000-0005-0000-0000-00000AED0000}"/>
    <cellStyle name="Примечание 56" xfId="60260" xr:uid="{00000000-0005-0000-0000-00000BED0000}"/>
    <cellStyle name="Примечание 57" xfId="60261" xr:uid="{00000000-0005-0000-0000-00000CED0000}"/>
    <cellStyle name="Примечание 58" xfId="60262" xr:uid="{00000000-0005-0000-0000-00000DED0000}"/>
    <cellStyle name="Примечание 59" xfId="60263" xr:uid="{00000000-0005-0000-0000-00000EED0000}"/>
    <cellStyle name="Примечание 6" xfId="60264" xr:uid="{00000000-0005-0000-0000-00000FED0000}"/>
    <cellStyle name="Примечание 6 2" xfId="60265" xr:uid="{00000000-0005-0000-0000-000010ED0000}"/>
    <cellStyle name="Примечание 6 3" xfId="60266" xr:uid="{00000000-0005-0000-0000-000011ED0000}"/>
    <cellStyle name="Примечание 60" xfId="60267" xr:uid="{00000000-0005-0000-0000-000012ED0000}"/>
    <cellStyle name="Примечание 61" xfId="60268" xr:uid="{00000000-0005-0000-0000-000013ED0000}"/>
    <cellStyle name="Примечание 62" xfId="60269" xr:uid="{00000000-0005-0000-0000-000014ED0000}"/>
    <cellStyle name="Примечание 63" xfId="60270" xr:uid="{00000000-0005-0000-0000-000015ED0000}"/>
    <cellStyle name="Примечание 64" xfId="60271" xr:uid="{00000000-0005-0000-0000-000016ED0000}"/>
    <cellStyle name="Примечание 65" xfId="60272" xr:uid="{00000000-0005-0000-0000-000017ED0000}"/>
    <cellStyle name="Примечание 66" xfId="60273" xr:uid="{00000000-0005-0000-0000-000018ED0000}"/>
    <cellStyle name="Примечание 67" xfId="60274" xr:uid="{00000000-0005-0000-0000-000019ED0000}"/>
    <cellStyle name="Примечание 68" xfId="60275" xr:uid="{00000000-0005-0000-0000-00001AED0000}"/>
    <cellStyle name="Примечание 69" xfId="60276" xr:uid="{00000000-0005-0000-0000-00001BED0000}"/>
    <cellStyle name="Примечание 7" xfId="60277" xr:uid="{00000000-0005-0000-0000-00001CED0000}"/>
    <cellStyle name="Примечание 7 2" xfId="60278" xr:uid="{00000000-0005-0000-0000-00001DED0000}"/>
    <cellStyle name="Примечание 7 3" xfId="60279" xr:uid="{00000000-0005-0000-0000-00001EED0000}"/>
    <cellStyle name="Примечание 70" xfId="60280" xr:uid="{00000000-0005-0000-0000-00001FED0000}"/>
    <cellStyle name="Примечание 71" xfId="60281" xr:uid="{00000000-0005-0000-0000-000020ED0000}"/>
    <cellStyle name="Примечание 72" xfId="60282" xr:uid="{00000000-0005-0000-0000-000021ED0000}"/>
    <cellStyle name="Примечание 73" xfId="60283" xr:uid="{00000000-0005-0000-0000-000022ED0000}"/>
    <cellStyle name="Примечание 74" xfId="60284" xr:uid="{00000000-0005-0000-0000-000023ED0000}"/>
    <cellStyle name="Примечание 75" xfId="60285" xr:uid="{00000000-0005-0000-0000-000024ED0000}"/>
    <cellStyle name="Примечание 76" xfId="60286" xr:uid="{00000000-0005-0000-0000-000025ED0000}"/>
    <cellStyle name="Примечание 77" xfId="60287" xr:uid="{00000000-0005-0000-0000-000026ED0000}"/>
    <cellStyle name="Примечание 78" xfId="60288" xr:uid="{00000000-0005-0000-0000-000027ED0000}"/>
    <cellStyle name="Примечание 79" xfId="60289" xr:uid="{00000000-0005-0000-0000-000028ED0000}"/>
    <cellStyle name="Примечание 8" xfId="60290" xr:uid="{00000000-0005-0000-0000-000029ED0000}"/>
    <cellStyle name="Примечание 8 2" xfId="60291" xr:uid="{00000000-0005-0000-0000-00002AED0000}"/>
    <cellStyle name="Примечание 8 3" xfId="60292" xr:uid="{00000000-0005-0000-0000-00002BED0000}"/>
    <cellStyle name="Примечание 80" xfId="60293" xr:uid="{00000000-0005-0000-0000-00002CED0000}"/>
    <cellStyle name="Примечание 81" xfId="60294" xr:uid="{00000000-0005-0000-0000-00002DED0000}"/>
    <cellStyle name="Примечание 82" xfId="60295" xr:uid="{00000000-0005-0000-0000-00002EED0000}"/>
    <cellStyle name="Примечание 83" xfId="60296" xr:uid="{00000000-0005-0000-0000-00002FED0000}"/>
    <cellStyle name="Примечание 84" xfId="60297" xr:uid="{00000000-0005-0000-0000-000030ED0000}"/>
    <cellStyle name="Примечание 85" xfId="60298" xr:uid="{00000000-0005-0000-0000-000031ED0000}"/>
    <cellStyle name="Примечание 86" xfId="60299" xr:uid="{00000000-0005-0000-0000-000032ED0000}"/>
    <cellStyle name="Примечание 87" xfId="60300" xr:uid="{00000000-0005-0000-0000-000033ED0000}"/>
    <cellStyle name="Примечание 88" xfId="60301" xr:uid="{00000000-0005-0000-0000-000034ED0000}"/>
    <cellStyle name="Примечание 89" xfId="60302" xr:uid="{00000000-0005-0000-0000-000035ED0000}"/>
    <cellStyle name="Примечание 9" xfId="60303" xr:uid="{00000000-0005-0000-0000-000036ED0000}"/>
    <cellStyle name="Примечание 9 2" xfId="60304" xr:uid="{00000000-0005-0000-0000-000037ED0000}"/>
    <cellStyle name="Примечание 9 3" xfId="60305" xr:uid="{00000000-0005-0000-0000-000038ED0000}"/>
    <cellStyle name="Примечание 90" xfId="60306" xr:uid="{00000000-0005-0000-0000-000039ED0000}"/>
    <cellStyle name="Примечание 91" xfId="60307" xr:uid="{00000000-0005-0000-0000-00003AED0000}"/>
    <cellStyle name="Примечание 92" xfId="60308" xr:uid="{00000000-0005-0000-0000-00003BED0000}"/>
    <cellStyle name="Примечание 93" xfId="60309" xr:uid="{00000000-0005-0000-0000-00003CED0000}"/>
    <cellStyle name="Примечание 94" xfId="60310" xr:uid="{00000000-0005-0000-0000-00003DED0000}"/>
    <cellStyle name="Примечание 95" xfId="60311" xr:uid="{00000000-0005-0000-0000-00003EED0000}"/>
    <cellStyle name="Примечание 96" xfId="60312" xr:uid="{00000000-0005-0000-0000-00003FED0000}"/>
    <cellStyle name="Примечание 97" xfId="60313" xr:uid="{00000000-0005-0000-0000-000040ED0000}"/>
    <cellStyle name="Примечание 98" xfId="60314" xr:uid="{00000000-0005-0000-0000-000041ED0000}"/>
    <cellStyle name="Примечание 99" xfId="60315" xr:uid="{00000000-0005-0000-0000-000042ED0000}"/>
    <cellStyle name="Процентный 10" xfId="61282" xr:uid="{00000000-0005-0000-0000-000043ED0000}"/>
    <cellStyle name="Процентный 11" xfId="61283" xr:uid="{00000000-0005-0000-0000-000044ED0000}"/>
    <cellStyle name="Процентный 2" xfId="60316" xr:uid="{00000000-0005-0000-0000-000045ED0000}"/>
    <cellStyle name="Процентный 2 2" xfId="60317" xr:uid="{00000000-0005-0000-0000-000046ED0000}"/>
    <cellStyle name="Процентный 3" xfId="60318" xr:uid="{00000000-0005-0000-0000-000047ED0000}"/>
    <cellStyle name="Процентный 4" xfId="60319" xr:uid="{00000000-0005-0000-0000-000048ED0000}"/>
    <cellStyle name="Процентный 4 2" xfId="60320" xr:uid="{00000000-0005-0000-0000-000049ED0000}"/>
    <cellStyle name="Процентный 4 2 2" xfId="60321" xr:uid="{00000000-0005-0000-0000-00004AED0000}"/>
    <cellStyle name="Процентный 4 2 3" xfId="60322" xr:uid="{00000000-0005-0000-0000-00004BED0000}"/>
    <cellStyle name="Процентный 4 3" xfId="60323" xr:uid="{00000000-0005-0000-0000-00004CED0000}"/>
    <cellStyle name="Процентный 4 3 2" xfId="60324" xr:uid="{00000000-0005-0000-0000-00004DED0000}"/>
    <cellStyle name="Процентный 4 4" xfId="60325" xr:uid="{00000000-0005-0000-0000-00004EED0000}"/>
    <cellStyle name="Процентный 4 5" xfId="60326" xr:uid="{00000000-0005-0000-0000-00004FED0000}"/>
    <cellStyle name="Процентный 5" xfId="60327" xr:uid="{00000000-0005-0000-0000-000050ED0000}"/>
    <cellStyle name="Процентный 6" xfId="60328" xr:uid="{00000000-0005-0000-0000-000051ED0000}"/>
    <cellStyle name="Процентный 7" xfId="60329" xr:uid="{00000000-0005-0000-0000-000052ED0000}"/>
    <cellStyle name="Процентный 8" xfId="60330" xr:uid="{00000000-0005-0000-0000-000053ED0000}"/>
    <cellStyle name="Процентный 9" xfId="60331" xr:uid="{00000000-0005-0000-0000-000054ED0000}"/>
    <cellStyle name="Связанная ячейка 10" xfId="60332" xr:uid="{00000000-0005-0000-0000-000055ED0000}"/>
    <cellStyle name="Связанная ячейка 100" xfId="60333" xr:uid="{00000000-0005-0000-0000-000056ED0000}"/>
    <cellStyle name="Связанная ячейка 101" xfId="60334" xr:uid="{00000000-0005-0000-0000-000057ED0000}"/>
    <cellStyle name="Связанная ячейка 102" xfId="60335" xr:uid="{00000000-0005-0000-0000-000058ED0000}"/>
    <cellStyle name="Связанная ячейка 103" xfId="60336" xr:uid="{00000000-0005-0000-0000-000059ED0000}"/>
    <cellStyle name="Связанная ячейка 104" xfId="60337" xr:uid="{00000000-0005-0000-0000-00005AED0000}"/>
    <cellStyle name="Связанная ячейка 105" xfId="60338" xr:uid="{00000000-0005-0000-0000-00005BED0000}"/>
    <cellStyle name="Связанная ячейка 106" xfId="60339" xr:uid="{00000000-0005-0000-0000-00005CED0000}"/>
    <cellStyle name="Связанная ячейка 107" xfId="60340" xr:uid="{00000000-0005-0000-0000-00005DED0000}"/>
    <cellStyle name="Связанная ячейка 108" xfId="60341" xr:uid="{00000000-0005-0000-0000-00005EED0000}"/>
    <cellStyle name="Связанная ячейка 109" xfId="60342" xr:uid="{00000000-0005-0000-0000-00005FED0000}"/>
    <cellStyle name="Связанная ячейка 11" xfId="60343" xr:uid="{00000000-0005-0000-0000-000060ED0000}"/>
    <cellStyle name="Связанная ячейка 110" xfId="60344" xr:uid="{00000000-0005-0000-0000-000061ED0000}"/>
    <cellStyle name="Связанная ячейка 111" xfId="60345" xr:uid="{00000000-0005-0000-0000-000062ED0000}"/>
    <cellStyle name="Связанная ячейка 112" xfId="60346" xr:uid="{00000000-0005-0000-0000-000063ED0000}"/>
    <cellStyle name="Связанная ячейка 113" xfId="60347" xr:uid="{00000000-0005-0000-0000-000064ED0000}"/>
    <cellStyle name="Связанная ячейка 114" xfId="60348" xr:uid="{00000000-0005-0000-0000-000065ED0000}"/>
    <cellStyle name="Связанная ячейка 115" xfId="60349" xr:uid="{00000000-0005-0000-0000-000066ED0000}"/>
    <cellStyle name="Связанная ячейка 116" xfId="60350" xr:uid="{00000000-0005-0000-0000-000067ED0000}"/>
    <cellStyle name="Связанная ячейка 117" xfId="60351" xr:uid="{00000000-0005-0000-0000-000068ED0000}"/>
    <cellStyle name="Связанная ячейка 118" xfId="60352" xr:uid="{00000000-0005-0000-0000-000069ED0000}"/>
    <cellStyle name="Связанная ячейка 119" xfId="60353" xr:uid="{00000000-0005-0000-0000-00006AED0000}"/>
    <cellStyle name="Связанная ячейка 12" xfId="60354" xr:uid="{00000000-0005-0000-0000-00006BED0000}"/>
    <cellStyle name="Связанная ячейка 120" xfId="60355" xr:uid="{00000000-0005-0000-0000-00006CED0000}"/>
    <cellStyle name="Связанная ячейка 121" xfId="60356" xr:uid="{00000000-0005-0000-0000-00006DED0000}"/>
    <cellStyle name="Связанная ячейка 122" xfId="60357" xr:uid="{00000000-0005-0000-0000-00006EED0000}"/>
    <cellStyle name="Связанная ячейка 123" xfId="60358" xr:uid="{00000000-0005-0000-0000-00006FED0000}"/>
    <cellStyle name="Связанная ячейка 124" xfId="60359" xr:uid="{00000000-0005-0000-0000-000070ED0000}"/>
    <cellStyle name="Связанная ячейка 125" xfId="60360" xr:uid="{00000000-0005-0000-0000-000071ED0000}"/>
    <cellStyle name="Связанная ячейка 126" xfId="60361" xr:uid="{00000000-0005-0000-0000-000072ED0000}"/>
    <cellStyle name="Связанная ячейка 127" xfId="60362" xr:uid="{00000000-0005-0000-0000-000073ED0000}"/>
    <cellStyle name="Связанная ячейка 128" xfId="60363" xr:uid="{00000000-0005-0000-0000-000074ED0000}"/>
    <cellStyle name="Связанная ячейка 129" xfId="60364" xr:uid="{00000000-0005-0000-0000-000075ED0000}"/>
    <cellStyle name="Связанная ячейка 13" xfId="60365" xr:uid="{00000000-0005-0000-0000-000076ED0000}"/>
    <cellStyle name="Связанная ячейка 130" xfId="60366" xr:uid="{00000000-0005-0000-0000-000077ED0000}"/>
    <cellStyle name="Связанная ячейка 131" xfId="60367" xr:uid="{00000000-0005-0000-0000-000078ED0000}"/>
    <cellStyle name="Связанная ячейка 132" xfId="60368" xr:uid="{00000000-0005-0000-0000-000079ED0000}"/>
    <cellStyle name="Связанная ячейка 133" xfId="60369" xr:uid="{00000000-0005-0000-0000-00007AED0000}"/>
    <cellStyle name="Связанная ячейка 134" xfId="60370" xr:uid="{00000000-0005-0000-0000-00007BED0000}"/>
    <cellStyle name="Связанная ячейка 135" xfId="60371" xr:uid="{00000000-0005-0000-0000-00007CED0000}"/>
    <cellStyle name="Связанная ячейка 136" xfId="60372" xr:uid="{00000000-0005-0000-0000-00007DED0000}"/>
    <cellStyle name="Связанная ячейка 137" xfId="60373" xr:uid="{00000000-0005-0000-0000-00007EED0000}"/>
    <cellStyle name="Связанная ячейка 138" xfId="60374" xr:uid="{00000000-0005-0000-0000-00007FED0000}"/>
    <cellStyle name="Связанная ячейка 139" xfId="60375" xr:uid="{00000000-0005-0000-0000-000080ED0000}"/>
    <cellStyle name="Связанная ячейка 14" xfId="60376" xr:uid="{00000000-0005-0000-0000-000081ED0000}"/>
    <cellStyle name="Связанная ячейка 140" xfId="60377" xr:uid="{00000000-0005-0000-0000-000082ED0000}"/>
    <cellStyle name="Связанная ячейка 141" xfId="60378" xr:uid="{00000000-0005-0000-0000-000083ED0000}"/>
    <cellStyle name="Связанная ячейка 142" xfId="60379" xr:uid="{00000000-0005-0000-0000-000084ED0000}"/>
    <cellStyle name="Связанная ячейка 143" xfId="60380" xr:uid="{00000000-0005-0000-0000-000085ED0000}"/>
    <cellStyle name="Связанная ячейка 144" xfId="60381" xr:uid="{00000000-0005-0000-0000-000086ED0000}"/>
    <cellStyle name="Связанная ячейка 145" xfId="60382" xr:uid="{00000000-0005-0000-0000-000087ED0000}"/>
    <cellStyle name="Связанная ячейка 146" xfId="60383" xr:uid="{00000000-0005-0000-0000-000088ED0000}"/>
    <cellStyle name="Связанная ячейка 147" xfId="60384" xr:uid="{00000000-0005-0000-0000-000089ED0000}"/>
    <cellStyle name="Связанная ячейка 148" xfId="60385" xr:uid="{00000000-0005-0000-0000-00008AED0000}"/>
    <cellStyle name="Связанная ячейка 149" xfId="60386" xr:uid="{00000000-0005-0000-0000-00008BED0000}"/>
    <cellStyle name="Связанная ячейка 15" xfId="60387" xr:uid="{00000000-0005-0000-0000-00008CED0000}"/>
    <cellStyle name="Связанная ячейка 150" xfId="60388" xr:uid="{00000000-0005-0000-0000-00008DED0000}"/>
    <cellStyle name="Связанная ячейка 151" xfId="60389" xr:uid="{00000000-0005-0000-0000-00008EED0000}"/>
    <cellStyle name="Связанная ячейка 152" xfId="60390" xr:uid="{00000000-0005-0000-0000-00008FED0000}"/>
    <cellStyle name="Связанная ячейка 153" xfId="60391" xr:uid="{00000000-0005-0000-0000-000090ED0000}"/>
    <cellStyle name="Связанная ячейка 16" xfId="60392" xr:uid="{00000000-0005-0000-0000-000091ED0000}"/>
    <cellStyle name="Связанная ячейка 17" xfId="60393" xr:uid="{00000000-0005-0000-0000-000092ED0000}"/>
    <cellStyle name="Связанная ячейка 18" xfId="60394" xr:uid="{00000000-0005-0000-0000-000093ED0000}"/>
    <cellStyle name="Связанная ячейка 19" xfId="60395" xr:uid="{00000000-0005-0000-0000-000094ED0000}"/>
    <cellStyle name="Связанная ячейка 2" xfId="60396" xr:uid="{00000000-0005-0000-0000-000095ED0000}"/>
    <cellStyle name="Связанная ячейка 2 2" xfId="60397" xr:uid="{00000000-0005-0000-0000-000096ED0000}"/>
    <cellStyle name="Связанная ячейка 2 2 10" xfId="60398" xr:uid="{00000000-0005-0000-0000-000097ED0000}"/>
    <cellStyle name="Связанная ячейка 2 2 11" xfId="60399" xr:uid="{00000000-0005-0000-0000-000098ED0000}"/>
    <cellStyle name="Связанная ячейка 2 2 12" xfId="60400" xr:uid="{00000000-0005-0000-0000-000099ED0000}"/>
    <cellStyle name="Связанная ячейка 2 2 13" xfId="60401" xr:uid="{00000000-0005-0000-0000-00009AED0000}"/>
    <cellStyle name="Связанная ячейка 2 2 2" xfId="60402" xr:uid="{00000000-0005-0000-0000-00009BED0000}"/>
    <cellStyle name="Связанная ячейка 2 2 3" xfId="60403" xr:uid="{00000000-0005-0000-0000-00009CED0000}"/>
    <cellStyle name="Связанная ячейка 2 2 4" xfId="60404" xr:uid="{00000000-0005-0000-0000-00009DED0000}"/>
    <cellStyle name="Связанная ячейка 2 2 5" xfId="60405" xr:uid="{00000000-0005-0000-0000-00009EED0000}"/>
    <cellStyle name="Связанная ячейка 2 2 6" xfId="60406" xr:uid="{00000000-0005-0000-0000-00009FED0000}"/>
    <cellStyle name="Связанная ячейка 2 2 7" xfId="60407" xr:uid="{00000000-0005-0000-0000-0000A0ED0000}"/>
    <cellStyle name="Связанная ячейка 2 2 8" xfId="60408" xr:uid="{00000000-0005-0000-0000-0000A1ED0000}"/>
    <cellStyle name="Связанная ячейка 2 2 9" xfId="60409" xr:uid="{00000000-0005-0000-0000-0000A2ED0000}"/>
    <cellStyle name="Связанная ячейка 2 3" xfId="60410" xr:uid="{00000000-0005-0000-0000-0000A3ED0000}"/>
    <cellStyle name="Связанная ячейка 20" xfId="60411" xr:uid="{00000000-0005-0000-0000-0000A4ED0000}"/>
    <cellStyle name="Связанная ячейка 21" xfId="60412" xr:uid="{00000000-0005-0000-0000-0000A5ED0000}"/>
    <cellStyle name="Связанная ячейка 22" xfId="60413" xr:uid="{00000000-0005-0000-0000-0000A6ED0000}"/>
    <cellStyle name="Связанная ячейка 23" xfId="60414" xr:uid="{00000000-0005-0000-0000-0000A7ED0000}"/>
    <cellStyle name="Связанная ячейка 24" xfId="60415" xr:uid="{00000000-0005-0000-0000-0000A8ED0000}"/>
    <cellStyle name="Связанная ячейка 25" xfId="60416" xr:uid="{00000000-0005-0000-0000-0000A9ED0000}"/>
    <cellStyle name="Связанная ячейка 26" xfId="60417" xr:uid="{00000000-0005-0000-0000-0000AAED0000}"/>
    <cellStyle name="Связанная ячейка 27" xfId="60418" xr:uid="{00000000-0005-0000-0000-0000ABED0000}"/>
    <cellStyle name="Связанная ячейка 28" xfId="60419" xr:uid="{00000000-0005-0000-0000-0000ACED0000}"/>
    <cellStyle name="Связанная ячейка 29" xfId="60420" xr:uid="{00000000-0005-0000-0000-0000ADED0000}"/>
    <cellStyle name="Связанная ячейка 3" xfId="60421" xr:uid="{00000000-0005-0000-0000-0000AEED0000}"/>
    <cellStyle name="Связанная ячейка 30" xfId="60422" xr:uid="{00000000-0005-0000-0000-0000AFED0000}"/>
    <cellStyle name="Связанная ячейка 31" xfId="60423" xr:uid="{00000000-0005-0000-0000-0000B0ED0000}"/>
    <cellStyle name="Связанная ячейка 32" xfId="60424" xr:uid="{00000000-0005-0000-0000-0000B1ED0000}"/>
    <cellStyle name="Связанная ячейка 33" xfId="60425" xr:uid="{00000000-0005-0000-0000-0000B2ED0000}"/>
    <cellStyle name="Связанная ячейка 34" xfId="60426" xr:uid="{00000000-0005-0000-0000-0000B3ED0000}"/>
    <cellStyle name="Связанная ячейка 35" xfId="60427" xr:uid="{00000000-0005-0000-0000-0000B4ED0000}"/>
    <cellStyle name="Связанная ячейка 36" xfId="60428" xr:uid="{00000000-0005-0000-0000-0000B5ED0000}"/>
    <cellStyle name="Связанная ячейка 37" xfId="60429" xr:uid="{00000000-0005-0000-0000-0000B6ED0000}"/>
    <cellStyle name="Связанная ячейка 38" xfId="60430" xr:uid="{00000000-0005-0000-0000-0000B7ED0000}"/>
    <cellStyle name="Связанная ячейка 39" xfId="60431" xr:uid="{00000000-0005-0000-0000-0000B8ED0000}"/>
    <cellStyle name="Связанная ячейка 4" xfId="60432" xr:uid="{00000000-0005-0000-0000-0000B9ED0000}"/>
    <cellStyle name="Связанная ячейка 40" xfId="60433" xr:uid="{00000000-0005-0000-0000-0000BAED0000}"/>
    <cellStyle name="Связанная ячейка 41" xfId="60434" xr:uid="{00000000-0005-0000-0000-0000BBED0000}"/>
    <cellStyle name="Связанная ячейка 42" xfId="60435" xr:uid="{00000000-0005-0000-0000-0000BCED0000}"/>
    <cellStyle name="Связанная ячейка 43" xfId="60436" xr:uid="{00000000-0005-0000-0000-0000BDED0000}"/>
    <cellStyle name="Связанная ячейка 44" xfId="60437" xr:uid="{00000000-0005-0000-0000-0000BEED0000}"/>
    <cellStyle name="Связанная ячейка 45" xfId="60438" xr:uid="{00000000-0005-0000-0000-0000BFED0000}"/>
    <cellStyle name="Связанная ячейка 46" xfId="60439" xr:uid="{00000000-0005-0000-0000-0000C0ED0000}"/>
    <cellStyle name="Связанная ячейка 47" xfId="60440" xr:uid="{00000000-0005-0000-0000-0000C1ED0000}"/>
    <cellStyle name="Связанная ячейка 48" xfId="60441" xr:uid="{00000000-0005-0000-0000-0000C2ED0000}"/>
    <cellStyle name="Связанная ячейка 49" xfId="60442" xr:uid="{00000000-0005-0000-0000-0000C3ED0000}"/>
    <cellStyle name="Связанная ячейка 5" xfId="60443" xr:uid="{00000000-0005-0000-0000-0000C4ED0000}"/>
    <cellStyle name="Связанная ячейка 50" xfId="60444" xr:uid="{00000000-0005-0000-0000-0000C5ED0000}"/>
    <cellStyle name="Связанная ячейка 51" xfId="60445" xr:uid="{00000000-0005-0000-0000-0000C6ED0000}"/>
    <cellStyle name="Связанная ячейка 52" xfId="60446" xr:uid="{00000000-0005-0000-0000-0000C7ED0000}"/>
    <cellStyle name="Связанная ячейка 53" xfId="60447" xr:uid="{00000000-0005-0000-0000-0000C8ED0000}"/>
    <cellStyle name="Связанная ячейка 54" xfId="60448" xr:uid="{00000000-0005-0000-0000-0000C9ED0000}"/>
    <cellStyle name="Связанная ячейка 55" xfId="60449" xr:uid="{00000000-0005-0000-0000-0000CAED0000}"/>
    <cellStyle name="Связанная ячейка 56" xfId="60450" xr:uid="{00000000-0005-0000-0000-0000CBED0000}"/>
    <cellStyle name="Связанная ячейка 57" xfId="60451" xr:uid="{00000000-0005-0000-0000-0000CCED0000}"/>
    <cellStyle name="Связанная ячейка 58" xfId="60452" xr:uid="{00000000-0005-0000-0000-0000CDED0000}"/>
    <cellStyle name="Связанная ячейка 59" xfId="60453" xr:uid="{00000000-0005-0000-0000-0000CEED0000}"/>
    <cellStyle name="Связанная ячейка 6" xfId="60454" xr:uid="{00000000-0005-0000-0000-0000CFED0000}"/>
    <cellStyle name="Связанная ячейка 60" xfId="60455" xr:uid="{00000000-0005-0000-0000-0000D0ED0000}"/>
    <cellStyle name="Связанная ячейка 61" xfId="60456" xr:uid="{00000000-0005-0000-0000-0000D1ED0000}"/>
    <cellStyle name="Связанная ячейка 62" xfId="60457" xr:uid="{00000000-0005-0000-0000-0000D2ED0000}"/>
    <cellStyle name="Связанная ячейка 63" xfId="60458" xr:uid="{00000000-0005-0000-0000-0000D3ED0000}"/>
    <cellStyle name="Связанная ячейка 64" xfId="60459" xr:uid="{00000000-0005-0000-0000-0000D4ED0000}"/>
    <cellStyle name="Связанная ячейка 65" xfId="60460" xr:uid="{00000000-0005-0000-0000-0000D5ED0000}"/>
    <cellStyle name="Связанная ячейка 66" xfId="60461" xr:uid="{00000000-0005-0000-0000-0000D6ED0000}"/>
    <cellStyle name="Связанная ячейка 67" xfId="60462" xr:uid="{00000000-0005-0000-0000-0000D7ED0000}"/>
    <cellStyle name="Связанная ячейка 68" xfId="60463" xr:uid="{00000000-0005-0000-0000-0000D8ED0000}"/>
    <cellStyle name="Связанная ячейка 69" xfId="60464" xr:uid="{00000000-0005-0000-0000-0000D9ED0000}"/>
    <cellStyle name="Связанная ячейка 7" xfId="60465" xr:uid="{00000000-0005-0000-0000-0000DAED0000}"/>
    <cellStyle name="Связанная ячейка 70" xfId="60466" xr:uid="{00000000-0005-0000-0000-0000DBED0000}"/>
    <cellStyle name="Связанная ячейка 71" xfId="60467" xr:uid="{00000000-0005-0000-0000-0000DCED0000}"/>
    <cellStyle name="Связанная ячейка 72" xfId="60468" xr:uid="{00000000-0005-0000-0000-0000DDED0000}"/>
    <cellStyle name="Связанная ячейка 73" xfId="60469" xr:uid="{00000000-0005-0000-0000-0000DEED0000}"/>
    <cellStyle name="Связанная ячейка 74" xfId="60470" xr:uid="{00000000-0005-0000-0000-0000DFED0000}"/>
    <cellStyle name="Связанная ячейка 75" xfId="60471" xr:uid="{00000000-0005-0000-0000-0000E0ED0000}"/>
    <cellStyle name="Связанная ячейка 76" xfId="60472" xr:uid="{00000000-0005-0000-0000-0000E1ED0000}"/>
    <cellStyle name="Связанная ячейка 77" xfId="60473" xr:uid="{00000000-0005-0000-0000-0000E2ED0000}"/>
    <cellStyle name="Связанная ячейка 78" xfId="60474" xr:uid="{00000000-0005-0000-0000-0000E3ED0000}"/>
    <cellStyle name="Связанная ячейка 79" xfId="60475" xr:uid="{00000000-0005-0000-0000-0000E4ED0000}"/>
    <cellStyle name="Связанная ячейка 8" xfId="60476" xr:uid="{00000000-0005-0000-0000-0000E5ED0000}"/>
    <cellStyle name="Связанная ячейка 80" xfId="60477" xr:uid="{00000000-0005-0000-0000-0000E6ED0000}"/>
    <cellStyle name="Связанная ячейка 81" xfId="60478" xr:uid="{00000000-0005-0000-0000-0000E7ED0000}"/>
    <cellStyle name="Связанная ячейка 82" xfId="60479" xr:uid="{00000000-0005-0000-0000-0000E8ED0000}"/>
    <cellStyle name="Связанная ячейка 83" xfId="60480" xr:uid="{00000000-0005-0000-0000-0000E9ED0000}"/>
    <cellStyle name="Связанная ячейка 84" xfId="60481" xr:uid="{00000000-0005-0000-0000-0000EAED0000}"/>
    <cellStyle name="Связанная ячейка 85" xfId="60482" xr:uid="{00000000-0005-0000-0000-0000EBED0000}"/>
    <cellStyle name="Связанная ячейка 86" xfId="60483" xr:uid="{00000000-0005-0000-0000-0000ECED0000}"/>
    <cellStyle name="Связанная ячейка 87" xfId="60484" xr:uid="{00000000-0005-0000-0000-0000EDED0000}"/>
    <cellStyle name="Связанная ячейка 88" xfId="60485" xr:uid="{00000000-0005-0000-0000-0000EEED0000}"/>
    <cellStyle name="Связанная ячейка 89" xfId="60486" xr:uid="{00000000-0005-0000-0000-0000EFED0000}"/>
    <cellStyle name="Связанная ячейка 9" xfId="60487" xr:uid="{00000000-0005-0000-0000-0000F0ED0000}"/>
    <cellStyle name="Связанная ячейка 90" xfId="60488" xr:uid="{00000000-0005-0000-0000-0000F1ED0000}"/>
    <cellStyle name="Связанная ячейка 91" xfId="60489" xr:uid="{00000000-0005-0000-0000-0000F2ED0000}"/>
    <cellStyle name="Связанная ячейка 92" xfId="60490" xr:uid="{00000000-0005-0000-0000-0000F3ED0000}"/>
    <cellStyle name="Связанная ячейка 93" xfId="60491" xr:uid="{00000000-0005-0000-0000-0000F4ED0000}"/>
    <cellStyle name="Связанная ячейка 94" xfId="60492" xr:uid="{00000000-0005-0000-0000-0000F5ED0000}"/>
    <cellStyle name="Связанная ячейка 95" xfId="60493" xr:uid="{00000000-0005-0000-0000-0000F6ED0000}"/>
    <cellStyle name="Связанная ячейка 96" xfId="60494" xr:uid="{00000000-0005-0000-0000-0000F7ED0000}"/>
    <cellStyle name="Связанная ячейка 97" xfId="60495" xr:uid="{00000000-0005-0000-0000-0000F8ED0000}"/>
    <cellStyle name="Связанная ячейка 98" xfId="60496" xr:uid="{00000000-0005-0000-0000-0000F9ED0000}"/>
    <cellStyle name="Связанная ячейка 99" xfId="60497" xr:uid="{00000000-0005-0000-0000-0000FAED0000}"/>
    <cellStyle name="Стиль 1" xfId="60498" xr:uid="{00000000-0005-0000-0000-0000FBED0000}"/>
    <cellStyle name="Текст предупреждения 10" xfId="60499" xr:uid="{00000000-0005-0000-0000-0000FCED0000}"/>
    <cellStyle name="Текст предупреждения 100" xfId="60500" xr:uid="{00000000-0005-0000-0000-0000FDED0000}"/>
    <cellStyle name="Текст предупреждения 101" xfId="60501" xr:uid="{00000000-0005-0000-0000-0000FEED0000}"/>
    <cellStyle name="Текст предупреждения 102" xfId="60502" xr:uid="{00000000-0005-0000-0000-0000FFED0000}"/>
    <cellStyle name="Текст предупреждения 103" xfId="60503" xr:uid="{00000000-0005-0000-0000-000000EE0000}"/>
    <cellStyle name="Текст предупреждения 104" xfId="60504" xr:uid="{00000000-0005-0000-0000-000001EE0000}"/>
    <cellStyle name="Текст предупреждения 105" xfId="60505" xr:uid="{00000000-0005-0000-0000-000002EE0000}"/>
    <cellStyle name="Текст предупреждения 106" xfId="60506" xr:uid="{00000000-0005-0000-0000-000003EE0000}"/>
    <cellStyle name="Текст предупреждения 107" xfId="60507" xr:uid="{00000000-0005-0000-0000-000004EE0000}"/>
    <cellStyle name="Текст предупреждения 108" xfId="60508" xr:uid="{00000000-0005-0000-0000-000005EE0000}"/>
    <cellStyle name="Текст предупреждения 109" xfId="60509" xr:uid="{00000000-0005-0000-0000-000006EE0000}"/>
    <cellStyle name="Текст предупреждения 11" xfId="60510" xr:uid="{00000000-0005-0000-0000-000007EE0000}"/>
    <cellStyle name="Текст предупреждения 110" xfId="60511" xr:uid="{00000000-0005-0000-0000-000008EE0000}"/>
    <cellStyle name="Текст предупреждения 111" xfId="60512" xr:uid="{00000000-0005-0000-0000-000009EE0000}"/>
    <cellStyle name="Текст предупреждения 112" xfId="60513" xr:uid="{00000000-0005-0000-0000-00000AEE0000}"/>
    <cellStyle name="Текст предупреждения 113" xfId="60514" xr:uid="{00000000-0005-0000-0000-00000BEE0000}"/>
    <cellStyle name="Текст предупреждения 114" xfId="60515" xr:uid="{00000000-0005-0000-0000-00000CEE0000}"/>
    <cellStyle name="Текст предупреждения 115" xfId="60516" xr:uid="{00000000-0005-0000-0000-00000DEE0000}"/>
    <cellStyle name="Текст предупреждения 116" xfId="60517" xr:uid="{00000000-0005-0000-0000-00000EEE0000}"/>
    <cellStyle name="Текст предупреждения 117" xfId="60518" xr:uid="{00000000-0005-0000-0000-00000FEE0000}"/>
    <cellStyle name="Текст предупреждения 118" xfId="60519" xr:uid="{00000000-0005-0000-0000-000010EE0000}"/>
    <cellStyle name="Текст предупреждения 119" xfId="60520" xr:uid="{00000000-0005-0000-0000-000011EE0000}"/>
    <cellStyle name="Текст предупреждения 12" xfId="60521" xr:uid="{00000000-0005-0000-0000-000012EE0000}"/>
    <cellStyle name="Текст предупреждения 120" xfId="60522" xr:uid="{00000000-0005-0000-0000-000013EE0000}"/>
    <cellStyle name="Текст предупреждения 121" xfId="60523" xr:uid="{00000000-0005-0000-0000-000014EE0000}"/>
    <cellStyle name="Текст предупреждения 122" xfId="60524" xr:uid="{00000000-0005-0000-0000-000015EE0000}"/>
    <cellStyle name="Текст предупреждения 123" xfId="60525" xr:uid="{00000000-0005-0000-0000-000016EE0000}"/>
    <cellStyle name="Текст предупреждения 124" xfId="60526" xr:uid="{00000000-0005-0000-0000-000017EE0000}"/>
    <cellStyle name="Текст предупреждения 125" xfId="60527" xr:uid="{00000000-0005-0000-0000-000018EE0000}"/>
    <cellStyle name="Текст предупреждения 126" xfId="60528" xr:uid="{00000000-0005-0000-0000-000019EE0000}"/>
    <cellStyle name="Текст предупреждения 127" xfId="60529" xr:uid="{00000000-0005-0000-0000-00001AEE0000}"/>
    <cellStyle name="Текст предупреждения 128" xfId="60530" xr:uid="{00000000-0005-0000-0000-00001BEE0000}"/>
    <cellStyle name="Текст предупреждения 129" xfId="60531" xr:uid="{00000000-0005-0000-0000-00001CEE0000}"/>
    <cellStyle name="Текст предупреждения 13" xfId="60532" xr:uid="{00000000-0005-0000-0000-00001DEE0000}"/>
    <cellStyle name="Текст предупреждения 130" xfId="60533" xr:uid="{00000000-0005-0000-0000-00001EEE0000}"/>
    <cellStyle name="Текст предупреждения 131" xfId="60534" xr:uid="{00000000-0005-0000-0000-00001FEE0000}"/>
    <cellStyle name="Текст предупреждения 132" xfId="60535" xr:uid="{00000000-0005-0000-0000-000020EE0000}"/>
    <cellStyle name="Текст предупреждения 133" xfId="60536" xr:uid="{00000000-0005-0000-0000-000021EE0000}"/>
    <cellStyle name="Текст предупреждения 134" xfId="60537" xr:uid="{00000000-0005-0000-0000-000022EE0000}"/>
    <cellStyle name="Текст предупреждения 135" xfId="60538" xr:uid="{00000000-0005-0000-0000-000023EE0000}"/>
    <cellStyle name="Текст предупреждения 136" xfId="60539" xr:uid="{00000000-0005-0000-0000-000024EE0000}"/>
    <cellStyle name="Текст предупреждения 137" xfId="60540" xr:uid="{00000000-0005-0000-0000-000025EE0000}"/>
    <cellStyle name="Текст предупреждения 138" xfId="60541" xr:uid="{00000000-0005-0000-0000-000026EE0000}"/>
    <cellStyle name="Текст предупреждения 139" xfId="60542" xr:uid="{00000000-0005-0000-0000-000027EE0000}"/>
    <cellStyle name="Текст предупреждения 14" xfId="60543" xr:uid="{00000000-0005-0000-0000-000028EE0000}"/>
    <cellStyle name="Текст предупреждения 140" xfId="60544" xr:uid="{00000000-0005-0000-0000-000029EE0000}"/>
    <cellStyle name="Текст предупреждения 141" xfId="60545" xr:uid="{00000000-0005-0000-0000-00002AEE0000}"/>
    <cellStyle name="Текст предупреждения 142" xfId="60546" xr:uid="{00000000-0005-0000-0000-00002BEE0000}"/>
    <cellStyle name="Текст предупреждения 143" xfId="60547" xr:uid="{00000000-0005-0000-0000-00002CEE0000}"/>
    <cellStyle name="Текст предупреждения 144" xfId="60548" xr:uid="{00000000-0005-0000-0000-00002DEE0000}"/>
    <cellStyle name="Текст предупреждения 145" xfId="60549" xr:uid="{00000000-0005-0000-0000-00002EEE0000}"/>
    <cellStyle name="Текст предупреждения 146" xfId="60550" xr:uid="{00000000-0005-0000-0000-00002FEE0000}"/>
    <cellStyle name="Текст предупреждения 147" xfId="60551" xr:uid="{00000000-0005-0000-0000-000030EE0000}"/>
    <cellStyle name="Текст предупреждения 148" xfId="60552" xr:uid="{00000000-0005-0000-0000-000031EE0000}"/>
    <cellStyle name="Текст предупреждения 149" xfId="60553" xr:uid="{00000000-0005-0000-0000-000032EE0000}"/>
    <cellStyle name="Текст предупреждения 15" xfId="60554" xr:uid="{00000000-0005-0000-0000-000033EE0000}"/>
    <cellStyle name="Текст предупреждения 150" xfId="60555" xr:uid="{00000000-0005-0000-0000-000034EE0000}"/>
    <cellStyle name="Текст предупреждения 151" xfId="60556" xr:uid="{00000000-0005-0000-0000-000035EE0000}"/>
    <cellStyle name="Текст предупреждения 152" xfId="60557" xr:uid="{00000000-0005-0000-0000-000036EE0000}"/>
    <cellStyle name="Текст предупреждения 153" xfId="60558" xr:uid="{00000000-0005-0000-0000-000037EE0000}"/>
    <cellStyle name="Текст предупреждения 16" xfId="60559" xr:uid="{00000000-0005-0000-0000-000038EE0000}"/>
    <cellStyle name="Текст предупреждения 17" xfId="60560" xr:uid="{00000000-0005-0000-0000-000039EE0000}"/>
    <cellStyle name="Текст предупреждения 18" xfId="60561" xr:uid="{00000000-0005-0000-0000-00003AEE0000}"/>
    <cellStyle name="Текст предупреждения 19" xfId="60562" xr:uid="{00000000-0005-0000-0000-00003BEE0000}"/>
    <cellStyle name="Текст предупреждения 2" xfId="60563" xr:uid="{00000000-0005-0000-0000-00003CEE0000}"/>
    <cellStyle name="Текст предупреждения 2 2" xfId="60564" xr:uid="{00000000-0005-0000-0000-00003DEE0000}"/>
    <cellStyle name="Текст предупреждения 2 2 10" xfId="60565" xr:uid="{00000000-0005-0000-0000-00003EEE0000}"/>
    <cellStyle name="Текст предупреждения 2 2 11" xfId="60566" xr:uid="{00000000-0005-0000-0000-00003FEE0000}"/>
    <cellStyle name="Текст предупреждения 2 2 12" xfId="60567" xr:uid="{00000000-0005-0000-0000-000040EE0000}"/>
    <cellStyle name="Текст предупреждения 2 2 13" xfId="60568" xr:uid="{00000000-0005-0000-0000-000041EE0000}"/>
    <cellStyle name="Текст предупреждения 2 2 2" xfId="60569" xr:uid="{00000000-0005-0000-0000-000042EE0000}"/>
    <cellStyle name="Текст предупреждения 2 2 3" xfId="60570" xr:uid="{00000000-0005-0000-0000-000043EE0000}"/>
    <cellStyle name="Текст предупреждения 2 2 4" xfId="60571" xr:uid="{00000000-0005-0000-0000-000044EE0000}"/>
    <cellStyle name="Текст предупреждения 2 2 5" xfId="60572" xr:uid="{00000000-0005-0000-0000-000045EE0000}"/>
    <cellStyle name="Текст предупреждения 2 2 6" xfId="60573" xr:uid="{00000000-0005-0000-0000-000046EE0000}"/>
    <cellStyle name="Текст предупреждения 2 2 7" xfId="60574" xr:uid="{00000000-0005-0000-0000-000047EE0000}"/>
    <cellStyle name="Текст предупреждения 2 2 8" xfId="60575" xr:uid="{00000000-0005-0000-0000-000048EE0000}"/>
    <cellStyle name="Текст предупреждения 2 2 9" xfId="60576" xr:uid="{00000000-0005-0000-0000-000049EE0000}"/>
    <cellStyle name="Текст предупреждения 2 3" xfId="60577" xr:uid="{00000000-0005-0000-0000-00004AEE0000}"/>
    <cellStyle name="Текст предупреждения 20" xfId="60578" xr:uid="{00000000-0005-0000-0000-00004BEE0000}"/>
    <cellStyle name="Текст предупреждения 21" xfId="60579" xr:uid="{00000000-0005-0000-0000-00004CEE0000}"/>
    <cellStyle name="Текст предупреждения 22" xfId="60580" xr:uid="{00000000-0005-0000-0000-00004DEE0000}"/>
    <cellStyle name="Текст предупреждения 23" xfId="60581" xr:uid="{00000000-0005-0000-0000-00004EEE0000}"/>
    <cellStyle name="Текст предупреждения 24" xfId="60582" xr:uid="{00000000-0005-0000-0000-00004FEE0000}"/>
    <cellStyle name="Текст предупреждения 25" xfId="60583" xr:uid="{00000000-0005-0000-0000-000050EE0000}"/>
    <cellStyle name="Текст предупреждения 26" xfId="60584" xr:uid="{00000000-0005-0000-0000-000051EE0000}"/>
    <cellStyle name="Текст предупреждения 27" xfId="60585" xr:uid="{00000000-0005-0000-0000-000052EE0000}"/>
    <cellStyle name="Текст предупреждения 28" xfId="60586" xr:uid="{00000000-0005-0000-0000-000053EE0000}"/>
    <cellStyle name="Текст предупреждения 29" xfId="60587" xr:uid="{00000000-0005-0000-0000-000054EE0000}"/>
    <cellStyle name="Текст предупреждения 3" xfId="60588" xr:uid="{00000000-0005-0000-0000-000055EE0000}"/>
    <cellStyle name="Текст предупреждения 30" xfId="60589" xr:uid="{00000000-0005-0000-0000-000056EE0000}"/>
    <cellStyle name="Текст предупреждения 31" xfId="60590" xr:uid="{00000000-0005-0000-0000-000057EE0000}"/>
    <cellStyle name="Текст предупреждения 32" xfId="60591" xr:uid="{00000000-0005-0000-0000-000058EE0000}"/>
    <cellStyle name="Текст предупреждения 33" xfId="60592" xr:uid="{00000000-0005-0000-0000-000059EE0000}"/>
    <cellStyle name="Текст предупреждения 34" xfId="60593" xr:uid="{00000000-0005-0000-0000-00005AEE0000}"/>
    <cellStyle name="Текст предупреждения 35" xfId="60594" xr:uid="{00000000-0005-0000-0000-00005BEE0000}"/>
    <cellStyle name="Текст предупреждения 36" xfId="60595" xr:uid="{00000000-0005-0000-0000-00005CEE0000}"/>
    <cellStyle name="Текст предупреждения 37" xfId="60596" xr:uid="{00000000-0005-0000-0000-00005DEE0000}"/>
    <cellStyle name="Текст предупреждения 38" xfId="60597" xr:uid="{00000000-0005-0000-0000-00005EEE0000}"/>
    <cellStyle name="Текст предупреждения 39" xfId="60598" xr:uid="{00000000-0005-0000-0000-00005FEE0000}"/>
    <cellStyle name="Текст предупреждения 4" xfId="60599" xr:uid="{00000000-0005-0000-0000-000060EE0000}"/>
    <cellStyle name="Текст предупреждения 40" xfId="60600" xr:uid="{00000000-0005-0000-0000-000061EE0000}"/>
    <cellStyle name="Текст предупреждения 41" xfId="60601" xr:uid="{00000000-0005-0000-0000-000062EE0000}"/>
    <cellStyle name="Текст предупреждения 42" xfId="60602" xr:uid="{00000000-0005-0000-0000-000063EE0000}"/>
    <cellStyle name="Текст предупреждения 43" xfId="60603" xr:uid="{00000000-0005-0000-0000-000064EE0000}"/>
    <cellStyle name="Текст предупреждения 44" xfId="60604" xr:uid="{00000000-0005-0000-0000-000065EE0000}"/>
    <cellStyle name="Текст предупреждения 45" xfId="60605" xr:uid="{00000000-0005-0000-0000-000066EE0000}"/>
    <cellStyle name="Текст предупреждения 46" xfId="60606" xr:uid="{00000000-0005-0000-0000-000067EE0000}"/>
    <cellStyle name="Текст предупреждения 47" xfId="60607" xr:uid="{00000000-0005-0000-0000-000068EE0000}"/>
    <cellStyle name="Текст предупреждения 48" xfId="60608" xr:uid="{00000000-0005-0000-0000-000069EE0000}"/>
    <cellStyle name="Текст предупреждения 49" xfId="60609" xr:uid="{00000000-0005-0000-0000-00006AEE0000}"/>
    <cellStyle name="Текст предупреждения 5" xfId="60610" xr:uid="{00000000-0005-0000-0000-00006BEE0000}"/>
    <cellStyle name="Текст предупреждения 50" xfId="60611" xr:uid="{00000000-0005-0000-0000-00006CEE0000}"/>
    <cellStyle name="Текст предупреждения 51" xfId="60612" xr:uid="{00000000-0005-0000-0000-00006DEE0000}"/>
    <cellStyle name="Текст предупреждения 52" xfId="60613" xr:uid="{00000000-0005-0000-0000-00006EEE0000}"/>
    <cellStyle name="Текст предупреждения 53" xfId="60614" xr:uid="{00000000-0005-0000-0000-00006FEE0000}"/>
    <cellStyle name="Текст предупреждения 54" xfId="60615" xr:uid="{00000000-0005-0000-0000-000070EE0000}"/>
    <cellStyle name="Текст предупреждения 55" xfId="60616" xr:uid="{00000000-0005-0000-0000-000071EE0000}"/>
    <cellStyle name="Текст предупреждения 56" xfId="60617" xr:uid="{00000000-0005-0000-0000-000072EE0000}"/>
    <cellStyle name="Текст предупреждения 57" xfId="60618" xr:uid="{00000000-0005-0000-0000-000073EE0000}"/>
    <cellStyle name="Текст предупреждения 58" xfId="60619" xr:uid="{00000000-0005-0000-0000-000074EE0000}"/>
    <cellStyle name="Текст предупреждения 59" xfId="60620" xr:uid="{00000000-0005-0000-0000-000075EE0000}"/>
    <cellStyle name="Текст предупреждения 6" xfId="60621" xr:uid="{00000000-0005-0000-0000-000076EE0000}"/>
    <cellStyle name="Текст предупреждения 60" xfId="60622" xr:uid="{00000000-0005-0000-0000-000077EE0000}"/>
    <cellStyle name="Текст предупреждения 61" xfId="60623" xr:uid="{00000000-0005-0000-0000-000078EE0000}"/>
    <cellStyle name="Текст предупреждения 62" xfId="60624" xr:uid="{00000000-0005-0000-0000-000079EE0000}"/>
    <cellStyle name="Текст предупреждения 63" xfId="60625" xr:uid="{00000000-0005-0000-0000-00007AEE0000}"/>
    <cellStyle name="Текст предупреждения 64" xfId="60626" xr:uid="{00000000-0005-0000-0000-00007BEE0000}"/>
    <cellStyle name="Текст предупреждения 65" xfId="60627" xr:uid="{00000000-0005-0000-0000-00007CEE0000}"/>
    <cellStyle name="Текст предупреждения 66" xfId="60628" xr:uid="{00000000-0005-0000-0000-00007DEE0000}"/>
    <cellStyle name="Текст предупреждения 67" xfId="60629" xr:uid="{00000000-0005-0000-0000-00007EEE0000}"/>
    <cellStyle name="Текст предупреждения 68" xfId="60630" xr:uid="{00000000-0005-0000-0000-00007FEE0000}"/>
    <cellStyle name="Текст предупреждения 69" xfId="60631" xr:uid="{00000000-0005-0000-0000-000080EE0000}"/>
    <cellStyle name="Текст предупреждения 7" xfId="60632" xr:uid="{00000000-0005-0000-0000-000081EE0000}"/>
    <cellStyle name="Текст предупреждения 70" xfId="60633" xr:uid="{00000000-0005-0000-0000-000082EE0000}"/>
    <cellStyle name="Текст предупреждения 71" xfId="60634" xr:uid="{00000000-0005-0000-0000-000083EE0000}"/>
    <cellStyle name="Текст предупреждения 72" xfId="60635" xr:uid="{00000000-0005-0000-0000-000084EE0000}"/>
    <cellStyle name="Текст предупреждения 73" xfId="60636" xr:uid="{00000000-0005-0000-0000-000085EE0000}"/>
    <cellStyle name="Текст предупреждения 74" xfId="60637" xr:uid="{00000000-0005-0000-0000-000086EE0000}"/>
    <cellStyle name="Текст предупреждения 75" xfId="60638" xr:uid="{00000000-0005-0000-0000-000087EE0000}"/>
    <cellStyle name="Текст предупреждения 76" xfId="60639" xr:uid="{00000000-0005-0000-0000-000088EE0000}"/>
    <cellStyle name="Текст предупреждения 77" xfId="60640" xr:uid="{00000000-0005-0000-0000-000089EE0000}"/>
    <cellStyle name="Текст предупреждения 78" xfId="60641" xr:uid="{00000000-0005-0000-0000-00008AEE0000}"/>
    <cellStyle name="Текст предупреждения 79" xfId="60642" xr:uid="{00000000-0005-0000-0000-00008BEE0000}"/>
    <cellStyle name="Текст предупреждения 8" xfId="60643" xr:uid="{00000000-0005-0000-0000-00008CEE0000}"/>
    <cellStyle name="Текст предупреждения 80" xfId="60644" xr:uid="{00000000-0005-0000-0000-00008DEE0000}"/>
    <cellStyle name="Текст предупреждения 81" xfId="60645" xr:uid="{00000000-0005-0000-0000-00008EEE0000}"/>
    <cellStyle name="Текст предупреждения 82" xfId="60646" xr:uid="{00000000-0005-0000-0000-00008FEE0000}"/>
    <cellStyle name="Текст предупреждения 83" xfId="60647" xr:uid="{00000000-0005-0000-0000-000090EE0000}"/>
    <cellStyle name="Текст предупреждения 84" xfId="60648" xr:uid="{00000000-0005-0000-0000-000091EE0000}"/>
    <cellStyle name="Текст предупреждения 85" xfId="60649" xr:uid="{00000000-0005-0000-0000-000092EE0000}"/>
    <cellStyle name="Текст предупреждения 86" xfId="60650" xr:uid="{00000000-0005-0000-0000-000093EE0000}"/>
    <cellStyle name="Текст предупреждения 87" xfId="60651" xr:uid="{00000000-0005-0000-0000-000094EE0000}"/>
    <cellStyle name="Текст предупреждения 88" xfId="60652" xr:uid="{00000000-0005-0000-0000-000095EE0000}"/>
    <cellStyle name="Текст предупреждения 89" xfId="60653" xr:uid="{00000000-0005-0000-0000-000096EE0000}"/>
    <cellStyle name="Текст предупреждения 9" xfId="60654" xr:uid="{00000000-0005-0000-0000-000097EE0000}"/>
    <cellStyle name="Текст предупреждения 90" xfId="60655" xr:uid="{00000000-0005-0000-0000-000098EE0000}"/>
    <cellStyle name="Текст предупреждения 91" xfId="60656" xr:uid="{00000000-0005-0000-0000-000099EE0000}"/>
    <cellStyle name="Текст предупреждения 92" xfId="60657" xr:uid="{00000000-0005-0000-0000-00009AEE0000}"/>
    <cellStyle name="Текст предупреждения 93" xfId="60658" xr:uid="{00000000-0005-0000-0000-00009BEE0000}"/>
    <cellStyle name="Текст предупреждения 94" xfId="60659" xr:uid="{00000000-0005-0000-0000-00009CEE0000}"/>
    <cellStyle name="Текст предупреждения 95" xfId="60660" xr:uid="{00000000-0005-0000-0000-00009DEE0000}"/>
    <cellStyle name="Текст предупреждения 96" xfId="60661" xr:uid="{00000000-0005-0000-0000-00009EEE0000}"/>
    <cellStyle name="Текст предупреждения 97" xfId="60662" xr:uid="{00000000-0005-0000-0000-00009FEE0000}"/>
    <cellStyle name="Текст предупреждения 98" xfId="60663" xr:uid="{00000000-0005-0000-0000-0000A0EE0000}"/>
    <cellStyle name="Текст предупреждения 99" xfId="60664" xr:uid="{00000000-0005-0000-0000-0000A1EE0000}"/>
    <cellStyle name="Финансовый 10" xfId="60665" xr:uid="{00000000-0005-0000-0000-0000A2EE0000}"/>
    <cellStyle name="Финансовый 11" xfId="60666" xr:uid="{00000000-0005-0000-0000-0000A3EE0000}"/>
    <cellStyle name="Финансовый 11 2" xfId="60667" xr:uid="{00000000-0005-0000-0000-0000A4EE0000}"/>
    <cellStyle name="Финансовый 12" xfId="61284" xr:uid="{00000000-0005-0000-0000-0000A5EE0000}"/>
    <cellStyle name="Финансовый 13" xfId="61265" xr:uid="{00000000-0005-0000-0000-0000A6EE0000}"/>
    <cellStyle name="Финансовый 13 2" xfId="61309" xr:uid="{00000000-0005-0000-0000-0000A7EE0000}"/>
    <cellStyle name="Финансовый 2" xfId="5" xr:uid="{00000000-0005-0000-0000-0000A8EE0000}"/>
    <cellStyle name="Финансовый 2 10" xfId="60668" xr:uid="{00000000-0005-0000-0000-0000A9EE0000}"/>
    <cellStyle name="Финансовый 2 11" xfId="60669" xr:uid="{00000000-0005-0000-0000-0000AAEE0000}"/>
    <cellStyle name="Финансовый 2 12" xfId="60670" xr:uid="{00000000-0005-0000-0000-0000ABEE0000}"/>
    <cellStyle name="Финансовый 2 13" xfId="60671" xr:uid="{00000000-0005-0000-0000-0000ACEE0000}"/>
    <cellStyle name="Финансовый 2 14" xfId="60672" xr:uid="{00000000-0005-0000-0000-0000ADEE0000}"/>
    <cellStyle name="Финансовый 2 15" xfId="60673" xr:uid="{00000000-0005-0000-0000-0000AEEE0000}"/>
    <cellStyle name="Финансовый 2 16" xfId="60674" xr:uid="{00000000-0005-0000-0000-0000AFEE0000}"/>
    <cellStyle name="Финансовый 2 17" xfId="60675" xr:uid="{00000000-0005-0000-0000-0000B0EE0000}"/>
    <cellStyle name="Финансовый 2 18" xfId="61285" xr:uid="{00000000-0005-0000-0000-0000B1EE0000}"/>
    <cellStyle name="Финансовый 2 2" xfId="60676" xr:uid="{00000000-0005-0000-0000-0000B2EE0000}"/>
    <cellStyle name="Финансовый 2 2 2" xfId="60677" xr:uid="{00000000-0005-0000-0000-0000B3EE0000}"/>
    <cellStyle name="Финансовый 2 2 2 2" xfId="60678" xr:uid="{00000000-0005-0000-0000-0000B4EE0000}"/>
    <cellStyle name="Финансовый 2 2 3" xfId="60679" xr:uid="{00000000-0005-0000-0000-0000B5EE0000}"/>
    <cellStyle name="Финансовый 2 3" xfId="60680" xr:uid="{00000000-0005-0000-0000-0000B6EE0000}"/>
    <cellStyle name="Финансовый 2 3 2" xfId="60681" xr:uid="{00000000-0005-0000-0000-0000B7EE0000}"/>
    <cellStyle name="Финансовый 2 3 2 2" xfId="60682" xr:uid="{00000000-0005-0000-0000-0000B8EE0000}"/>
    <cellStyle name="Финансовый 2 3 3" xfId="60683" xr:uid="{00000000-0005-0000-0000-0000B9EE0000}"/>
    <cellStyle name="Финансовый 2 4" xfId="60684" xr:uid="{00000000-0005-0000-0000-0000BAEE0000}"/>
    <cellStyle name="Финансовый 2 4 2" xfId="60685" xr:uid="{00000000-0005-0000-0000-0000BBEE0000}"/>
    <cellStyle name="Финансовый 2 4 2 2" xfId="60686" xr:uid="{00000000-0005-0000-0000-0000BCEE0000}"/>
    <cellStyle name="Финансовый 2 4 3" xfId="60687" xr:uid="{00000000-0005-0000-0000-0000BDEE0000}"/>
    <cellStyle name="Финансовый 2 5" xfId="60688" xr:uid="{00000000-0005-0000-0000-0000BEEE0000}"/>
    <cellStyle name="Финансовый 2 5 2" xfId="60689" xr:uid="{00000000-0005-0000-0000-0000BFEE0000}"/>
    <cellStyle name="Финансовый 2 6" xfId="60690" xr:uid="{00000000-0005-0000-0000-0000C0EE0000}"/>
    <cellStyle name="Финансовый 2 6 2" xfId="60691" xr:uid="{00000000-0005-0000-0000-0000C1EE0000}"/>
    <cellStyle name="Финансовый 2 7" xfId="60692" xr:uid="{00000000-0005-0000-0000-0000C2EE0000}"/>
    <cellStyle name="Финансовый 2 7 2" xfId="60693" xr:uid="{00000000-0005-0000-0000-0000C3EE0000}"/>
    <cellStyle name="Финансовый 2 8" xfId="60694" xr:uid="{00000000-0005-0000-0000-0000C4EE0000}"/>
    <cellStyle name="Финансовый 2 9" xfId="60695" xr:uid="{00000000-0005-0000-0000-0000C5EE0000}"/>
    <cellStyle name="Финансовый 3" xfId="60696" xr:uid="{00000000-0005-0000-0000-0000C6EE0000}"/>
    <cellStyle name="Финансовый 3 2" xfId="60697" xr:uid="{00000000-0005-0000-0000-0000C7EE0000}"/>
    <cellStyle name="Финансовый 3 2 2" xfId="60698" xr:uid="{00000000-0005-0000-0000-0000C8EE0000}"/>
    <cellStyle name="Финансовый 3 3" xfId="60699" xr:uid="{00000000-0005-0000-0000-0000C9EE0000}"/>
    <cellStyle name="Финансовый 3 4" xfId="60700" xr:uid="{00000000-0005-0000-0000-0000CAEE0000}"/>
    <cellStyle name="Финансовый 3 5" xfId="60701" xr:uid="{00000000-0005-0000-0000-0000CBEE0000}"/>
    <cellStyle name="Финансовый 3 6" xfId="60702" xr:uid="{00000000-0005-0000-0000-0000CCEE0000}"/>
    <cellStyle name="Финансовый 3 7" xfId="60703" xr:uid="{00000000-0005-0000-0000-0000CDEE0000}"/>
    <cellStyle name="Финансовый 3 8" xfId="60704" xr:uid="{00000000-0005-0000-0000-0000CEEE0000}"/>
    <cellStyle name="Финансовый 3 9" xfId="60705" xr:uid="{00000000-0005-0000-0000-0000CFEE0000}"/>
    <cellStyle name="Финансовый 4" xfId="60706" xr:uid="{00000000-0005-0000-0000-0000D0EE0000}"/>
    <cellStyle name="Финансовый 4 2" xfId="60707" xr:uid="{00000000-0005-0000-0000-0000D1EE0000}"/>
    <cellStyle name="Финансовый 4 3" xfId="60708" xr:uid="{00000000-0005-0000-0000-0000D2EE0000}"/>
    <cellStyle name="Финансовый 5" xfId="60709" xr:uid="{00000000-0005-0000-0000-0000D3EE0000}"/>
    <cellStyle name="Финансовый 5 2" xfId="60710" xr:uid="{00000000-0005-0000-0000-0000D4EE0000}"/>
    <cellStyle name="Финансовый 5 3" xfId="61225" xr:uid="{00000000-0005-0000-0000-0000D5EE0000}"/>
    <cellStyle name="Финансовый 6" xfId="60711" xr:uid="{00000000-0005-0000-0000-0000D6EE0000}"/>
    <cellStyle name="Финансовый 6 2" xfId="60712" xr:uid="{00000000-0005-0000-0000-0000D7EE0000}"/>
    <cellStyle name="Финансовый 7" xfId="60713" xr:uid="{00000000-0005-0000-0000-0000D8EE0000}"/>
    <cellStyle name="Финансовый 8" xfId="60714" xr:uid="{00000000-0005-0000-0000-0000D9EE0000}"/>
    <cellStyle name="Финансовый 9" xfId="60715" xr:uid="{00000000-0005-0000-0000-0000DAEE0000}"/>
    <cellStyle name="Хороший 10" xfId="60716" xr:uid="{00000000-0005-0000-0000-0000DBEE0000}"/>
    <cellStyle name="Хороший 100" xfId="60717" xr:uid="{00000000-0005-0000-0000-0000DCEE0000}"/>
    <cellStyle name="Хороший 101" xfId="60718" xr:uid="{00000000-0005-0000-0000-0000DDEE0000}"/>
    <cellStyle name="Хороший 102" xfId="60719" xr:uid="{00000000-0005-0000-0000-0000DEEE0000}"/>
    <cellStyle name="Хороший 103" xfId="60720" xr:uid="{00000000-0005-0000-0000-0000DFEE0000}"/>
    <cellStyle name="Хороший 104" xfId="60721" xr:uid="{00000000-0005-0000-0000-0000E0EE0000}"/>
    <cellStyle name="Хороший 105" xfId="60722" xr:uid="{00000000-0005-0000-0000-0000E1EE0000}"/>
    <cellStyle name="Хороший 106" xfId="60723" xr:uid="{00000000-0005-0000-0000-0000E2EE0000}"/>
    <cellStyle name="Хороший 107" xfId="60724" xr:uid="{00000000-0005-0000-0000-0000E3EE0000}"/>
    <cellStyle name="Хороший 108" xfId="60725" xr:uid="{00000000-0005-0000-0000-0000E4EE0000}"/>
    <cellStyle name="Хороший 109" xfId="60726" xr:uid="{00000000-0005-0000-0000-0000E5EE0000}"/>
    <cellStyle name="Хороший 11" xfId="60727" xr:uid="{00000000-0005-0000-0000-0000E6EE0000}"/>
    <cellStyle name="Хороший 110" xfId="60728" xr:uid="{00000000-0005-0000-0000-0000E7EE0000}"/>
    <cellStyle name="Хороший 111" xfId="60729" xr:uid="{00000000-0005-0000-0000-0000E8EE0000}"/>
    <cellStyle name="Хороший 112" xfId="60730" xr:uid="{00000000-0005-0000-0000-0000E9EE0000}"/>
    <cellStyle name="Хороший 113" xfId="60731" xr:uid="{00000000-0005-0000-0000-0000EAEE0000}"/>
    <cellStyle name="Хороший 114" xfId="60732" xr:uid="{00000000-0005-0000-0000-0000EBEE0000}"/>
    <cellStyle name="Хороший 115" xfId="60733" xr:uid="{00000000-0005-0000-0000-0000ECEE0000}"/>
    <cellStyle name="Хороший 116" xfId="60734" xr:uid="{00000000-0005-0000-0000-0000EDEE0000}"/>
    <cellStyle name="Хороший 117" xfId="60735" xr:uid="{00000000-0005-0000-0000-0000EEEE0000}"/>
    <cellStyle name="Хороший 118" xfId="60736" xr:uid="{00000000-0005-0000-0000-0000EFEE0000}"/>
    <cellStyle name="Хороший 119" xfId="60737" xr:uid="{00000000-0005-0000-0000-0000F0EE0000}"/>
    <cellStyle name="Хороший 12" xfId="60738" xr:uid="{00000000-0005-0000-0000-0000F1EE0000}"/>
    <cellStyle name="Хороший 120" xfId="60739" xr:uid="{00000000-0005-0000-0000-0000F2EE0000}"/>
    <cellStyle name="Хороший 121" xfId="60740" xr:uid="{00000000-0005-0000-0000-0000F3EE0000}"/>
    <cellStyle name="Хороший 122" xfId="60741" xr:uid="{00000000-0005-0000-0000-0000F4EE0000}"/>
    <cellStyle name="Хороший 123" xfId="60742" xr:uid="{00000000-0005-0000-0000-0000F5EE0000}"/>
    <cellStyle name="Хороший 124" xfId="60743" xr:uid="{00000000-0005-0000-0000-0000F6EE0000}"/>
    <cellStyle name="Хороший 125" xfId="60744" xr:uid="{00000000-0005-0000-0000-0000F7EE0000}"/>
    <cellStyle name="Хороший 126" xfId="60745" xr:uid="{00000000-0005-0000-0000-0000F8EE0000}"/>
    <cellStyle name="Хороший 127" xfId="60746" xr:uid="{00000000-0005-0000-0000-0000F9EE0000}"/>
    <cellStyle name="Хороший 128" xfId="60747" xr:uid="{00000000-0005-0000-0000-0000FAEE0000}"/>
    <cellStyle name="Хороший 129" xfId="60748" xr:uid="{00000000-0005-0000-0000-0000FBEE0000}"/>
    <cellStyle name="Хороший 13" xfId="60749" xr:uid="{00000000-0005-0000-0000-0000FCEE0000}"/>
    <cellStyle name="Хороший 130" xfId="60750" xr:uid="{00000000-0005-0000-0000-0000FDEE0000}"/>
    <cellStyle name="Хороший 131" xfId="60751" xr:uid="{00000000-0005-0000-0000-0000FEEE0000}"/>
    <cellStyle name="Хороший 132" xfId="60752" xr:uid="{00000000-0005-0000-0000-0000FFEE0000}"/>
    <cellStyle name="Хороший 133" xfId="60753" xr:uid="{00000000-0005-0000-0000-000000EF0000}"/>
    <cellStyle name="Хороший 134" xfId="60754" xr:uid="{00000000-0005-0000-0000-000001EF0000}"/>
    <cellStyle name="Хороший 135" xfId="60755" xr:uid="{00000000-0005-0000-0000-000002EF0000}"/>
    <cellStyle name="Хороший 136" xfId="60756" xr:uid="{00000000-0005-0000-0000-000003EF0000}"/>
    <cellStyle name="Хороший 137" xfId="60757" xr:uid="{00000000-0005-0000-0000-000004EF0000}"/>
    <cellStyle name="Хороший 138" xfId="60758" xr:uid="{00000000-0005-0000-0000-000005EF0000}"/>
    <cellStyle name="Хороший 139" xfId="60759" xr:uid="{00000000-0005-0000-0000-000006EF0000}"/>
    <cellStyle name="Хороший 14" xfId="60760" xr:uid="{00000000-0005-0000-0000-000007EF0000}"/>
    <cellStyle name="Хороший 140" xfId="60761" xr:uid="{00000000-0005-0000-0000-000008EF0000}"/>
    <cellStyle name="Хороший 141" xfId="60762" xr:uid="{00000000-0005-0000-0000-000009EF0000}"/>
    <cellStyle name="Хороший 142" xfId="60763" xr:uid="{00000000-0005-0000-0000-00000AEF0000}"/>
    <cellStyle name="Хороший 143" xfId="60764" xr:uid="{00000000-0005-0000-0000-00000BEF0000}"/>
    <cellStyle name="Хороший 144" xfId="60765" xr:uid="{00000000-0005-0000-0000-00000CEF0000}"/>
    <cellStyle name="Хороший 145" xfId="60766" xr:uid="{00000000-0005-0000-0000-00000DEF0000}"/>
    <cellStyle name="Хороший 146" xfId="60767" xr:uid="{00000000-0005-0000-0000-00000EEF0000}"/>
    <cellStyle name="Хороший 147" xfId="60768" xr:uid="{00000000-0005-0000-0000-00000FEF0000}"/>
    <cellStyle name="Хороший 148" xfId="60769" xr:uid="{00000000-0005-0000-0000-000010EF0000}"/>
    <cellStyle name="Хороший 149" xfId="60770" xr:uid="{00000000-0005-0000-0000-000011EF0000}"/>
    <cellStyle name="Хороший 15" xfId="60771" xr:uid="{00000000-0005-0000-0000-000012EF0000}"/>
    <cellStyle name="Хороший 150" xfId="60772" xr:uid="{00000000-0005-0000-0000-000013EF0000}"/>
    <cellStyle name="Хороший 151" xfId="60773" xr:uid="{00000000-0005-0000-0000-000014EF0000}"/>
    <cellStyle name="Хороший 152" xfId="60774" xr:uid="{00000000-0005-0000-0000-000015EF0000}"/>
    <cellStyle name="Хороший 153" xfId="60775" xr:uid="{00000000-0005-0000-0000-000016EF0000}"/>
    <cellStyle name="Хороший 16" xfId="60776" xr:uid="{00000000-0005-0000-0000-000017EF0000}"/>
    <cellStyle name="Хороший 17" xfId="60777" xr:uid="{00000000-0005-0000-0000-000018EF0000}"/>
    <cellStyle name="Хороший 18" xfId="60778" xr:uid="{00000000-0005-0000-0000-000019EF0000}"/>
    <cellStyle name="Хороший 19" xfId="60779" xr:uid="{00000000-0005-0000-0000-00001AEF0000}"/>
    <cellStyle name="Хороший 2" xfId="60780" xr:uid="{00000000-0005-0000-0000-00001BEF0000}"/>
    <cellStyle name="Хороший 2 2" xfId="60781" xr:uid="{00000000-0005-0000-0000-00001CEF0000}"/>
    <cellStyle name="Хороший 2 2 10" xfId="60782" xr:uid="{00000000-0005-0000-0000-00001DEF0000}"/>
    <cellStyle name="Хороший 2 2 11" xfId="60783" xr:uid="{00000000-0005-0000-0000-00001EEF0000}"/>
    <cellStyle name="Хороший 2 2 12" xfId="60784" xr:uid="{00000000-0005-0000-0000-00001FEF0000}"/>
    <cellStyle name="Хороший 2 2 13" xfId="60785" xr:uid="{00000000-0005-0000-0000-000020EF0000}"/>
    <cellStyle name="Хороший 2 2 2" xfId="60786" xr:uid="{00000000-0005-0000-0000-000021EF0000}"/>
    <cellStyle name="Хороший 2 2 3" xfId="60787" xr:uid="{00000000-0005-0000-0000-000022EF0000}"/>
    <cellStyle name="Хороший 2 2 4" xfId="60788" xr:uid="{00000000-0005-0000-0000-000023EF0000}"/>
    <cellStyle name="Хороший 2 2 5" xfId="60789" xr:uid="{00000000-0005-0000-0000-000024EF0000}"/>
    <cellStyle name="Хороший 2 2 6" xfId="60790" xr:uid="{00000000-0005-0000-0000-000025EF0000}"/>
    <cellStyle name="Хороший 2 2 7" xfId="60791" xr:uid="{00000000-0005-0000-0000-000026EF0000}"/>
    <cellStyle name="Хороший 2 2 8" xfId="60792" xr:uid="{00000000-0005-0000-0000-000027EF0000}"/>
    <cellStyle name="Хороший 2 2 9" xfId="60793" xr:uid="{00000000-0005-0000-0000-000028EF0000}"/>
    <cellStyle name="Хороший 2 3" xfId="60794" xr:uid="{00000000-0005-0000-0000-000029EF0000}"/>
    <cellStyle name="Хороший 20" xfId="60795" xr:uid="{00000000-0005-0000-0000-00002AEF0000}"/>
    <cellStyle name="Хороший 21" xfId="60796" xr:uid="{00000000-0005-0000-0000-00002BEF0000}"/>
    <cellStyle name="Хороший 22" xfId="60797" xr:uid="{00000000-0005-0000-0000-00002CEF0000}"/>
    <cellStyle name="Хороший 23" xfId="60798" xr:uid="{00000000-0005-0000-0000-00002DEF0000}"/>
    <cellStyle name="Хороший 24" xfId="60799" xr:uid="{00000000-0005-0000-0000-00002EEF0000}"/>
    <cellStyle name="Хороший 25" xfId="60800" xr:uid="{00000000-0005-0000-0000-00002FEF0000}"/>
    <cellStyle name="Хороший 26" xfId="60801" xr:uid="{00000000-0005-0000-0000-000030EF0000}"/>
    <cellStyle name="Хороший 27" xfId="60802" xr:uid="{00000000-0005-0000-0000-000031EF0000}"/>
    <cellStyle name="Хороший 28" xfId="60803" xr:uid="{00000000-0005-0000-0000-000032EF0000}"/>
    <cellStyle name="Хороший 29" xfId="60804" xr:uid="{00000000-0005-0000-0000-000033EF0000}"/>
    <cellStyle name="Хороший 3" xfId="60805" xr:uid="{00000000-0005-0000-0000-000034EF0000}"/>
    <cellStyle name="Хороший 30" xfId="60806" xr:uid="{00000000-0005-0000-0000-000035EF0000}"/>
    <cellStyle name="Хороший 31" xfId="60807" xr:uid="{00000000-0005-0000-0000-000036EF0000}"/>
    <cellStyle name="Хороший 32" xfId="60808" xr:uid="{00000000-0005-0000-0000-000037EF0000}"/>
    <cellStyle name="Хороший 33" xfId="60809" xr:uid="{00000000-0005-0000-0000-000038EF0000}"/>
    <cellStyle name="Хороший 34" xfId="60810" xr:uid="{00000000-0005-0000-0000-000039EF0000}"/>
    <cellStyle name="Хороший 35" xfId="60811" xr:uid="{00000000-0005-0000-0000-00003AEF0000}"/>
    <cellStyle name="Хороший 36" xfId="60812" xr:uid="{00000000-0005-0000-0000-00003BEF0000}"/>
    <cellStyle name="Хороший 37" xfId="60813" xr:uid="{00000000-0005-0000-0000-00003CEF0000}"/>
    <cellStyle name="Хороший 38" xfId="60814" xr:uid="{00000000-0005-0000-0000-00003DEF0000}"/>
    <cellStyle name="Хороший 39" xfId="60815" xr:uid="{00000000-0005-0000-0000-00003EEF0000}"/>
    <cellStyle name="Хороший 4" xfId="60816" xr:uid="{00000000-0005-0000-0000-00003FEF0000}"/>
    <cellStyle name="Хороший 40" xfId="60817" xr:uid="{00000000-0005-0000-0000-000040EF0000}"/>
    <cellStyle name="Хороший 41" xfId="60818" xr:uid="{00000000-0005-0000-0000-000041EF0000}"/>
    <cellStyle name="Хороший 42" xfId="60819" xr:uid="{00000000-0005-0000-0000-000042EF0000}"/>
    <cellStyle name="Хороший 43" xfId="60820" xr:uid="{00000000-0005-0000-0000-000043EF0000}"/>
    <cellStyle name="Хороший 44" xfId="60821" xr:uid="{00000000-0005-0000-0000-000044EF0000}"/>
    <cellStyle name="Хороший 45" xfId="60822" xr:uid="{00000000-0005-0000-0000-000045EF0000}"/>
    <cellStyle name="Хороший 46" xfId="60823" xr:uid="{00000000-0005-0000-0000-000046EF0000}"/>
    <cellStyle name="Хороший 47" xfId="60824" xr:uid="{00000000-0005-0000-0000-000047EF0000}"/>
    <cellStyle name="Хороший 48" xfId="60825" xr:uid="{00000000-0005-0000-0000-000048EF0000}"/>
    <cellStyle name="Хороший 49" xfId="60826" xr:uid="{00000000-0005-0000-0000-000049EF0000}"/>
    <cellStyle name="Хороший 5" xfId="60827" xr:uid="{00000000-0005-0000-0000-00004AEF0000}"/>
    <cellStyle name="Хороший 50" xfId="60828" xr:uid="{00000000-0005-0000-0000-00004BEF0000}"/>
    <cellStyle name="Хороший 51" xfId="60829" xr:uid="{00000000-0005-0000-0000-00004CEF0000}"/>
    <cellStyle name="Хороший 52" xfId="60830" xr:uid="{00000000-0005-0000-0000-00004DEF0000}"/>
    <cellStyle name="Хороший 53" xfId="60831" xr:uid="{00000000-0005-0000-0000-00004EEF0000}"/>
    <cellStyle name="Хороший 54" xfId="60832" xr:uid="{00000000-0005-0000-0000-00004FEF0000}"/>
    <cellStyle name="Хороший 55" xfId="60833" xr:uid="{00000000-0005-0000-0000-000050EF0000}"/>
    <cellStyle name="Хороший 56" xfId="60834" xr:uid="{00000000-0005-0000-0000-000051EF0000}"/>
    <cellStyle name="Хороший 57" xfId="60835" xr:uid="{00000000-0005-0000-0000-000052EF0000}"/>
    <cellStyle name="Хороший 58" xfId="60836" xr:uid="{00000000-0005-0000-0000-000053EF0000}"/>
    <cellStyle name="Хороший 59" xfId="60837" xr:uid="{00000000-0005-0000-0000-000054EF0000}"/>
    <cellStyle name="Хороший 6" xfId="60838" xr:uid="{00000000-0005-0000-0000-000055EF0000}"/>
    <cellStyle name="Хороший 60" xfId="60839" xr:uid="{00000000-0005-0000-0000-000056EF0000}"/>
    <cellStyle name="Хороший 61" xfId="60840" xr:uid="{00000000-0005-0000-0000-000057EF0000}"/>
    <cellStyle name="Хороший 62" xfId="60841" xr:uid="{00000000-0005-0000-0000-000058EF0000}"/>
    <cellStyle name="Хороший 63" xfId="60842" xr:uid="{00000000-0005-0000-0000-000059EF0000}"/>
    <cellStyle name="Хороший 64" xfId="60843" xr:uid="{00000000-0005-0000-0000-00005AEF0000}"/>
    <cellStyle name="Хороший 65" xfId="60844" xr:uid="{00000000-0005-0000-0000-00005BEF0000}"/>
    <cellStyle name="Хороший 66" xfId="60845" xr:uid="{00000000-0005-0000-0000-00005CEF0000}"/>
    <cellStyle name="Хороший 67" xfId="60846" xr:uid="{00000000-0005-0000-0000-00005DEF0000}"/>
    <cellStyle name="Хороший 68" xfId="60847" xr:uid="{00000000-0005-0000-0000-00005EEF0000}"/>
    <cellStyle name="Хороший 69" xfId="60848" xr:uid="{00000000-0005-0000-0000-00005FEF0000}"/>
    <cellStyle name="Хороший 7" xfId="60849" xr:uid="{00000000-0005-0000-0000-000060EF0000}"/>
    <cellStyle name="Хороший 70" xfId="60850" xr:uid="{00000000-0005-0000-0000-000061EF0000}"/>
    <cellStyle name="Хороший 71" xfId="60851" xr:uid="{00000000-0005-0000-0000-000062EF0000}"/>
    <cellStyle name="Хороший 72" xfId="60852" xr:uid="{00000000-0005-0000-0000-000063EF0000}"/>
    <cellStyle name="Хороший 73" xfId="60853" xr:uid="{00000000-0005-0000-0000-000064EF0000}"/>
    <cellStyle name="Хороший 74" xfId="60854" xr:uid="{00000000-0005-0000-0000-000065EF0000}"/>
    <cellStyle name="Хороший 75" xfId="60855" xr:uid="{00000000-0005-0000-0000-000066EF0000}"/>
    <cellStyle name="Хороший 76" xfId="60856" xr:uid="{00000000-0005-0000-0000-000067EF0000}"/>
    <cellStyle name="Хороший 77" xfId="60857" xr:uid="{00000000-0005-0000-0000-000068EF0000}"/>
    <cellStyle name="Хороший 78" xfId="60858" xr:uid="{00000000-0005-0000-0000-000069EF0000}"/>
    <cellStyle name="Хороший 79" xfId="60859" xr:uid="{00000000-0005-0000-0000-00006AEF0000}"/>
    <cellStyle name="Хороший 8" xfId="60860" xr:uid="{00000000-0005-0000-0000-00006BEF0000}"/>
    <cellStyle name="Хороший 80" xfId="60861" xr:uid="{00000000-0005-0000-0000-00006CEF0000}"/>
    <cellStyle name="Хороший 81" xfId="60862" xr:uid="{00000000-0005-0000-0000-00006DEF0000}"/>
    <cellStyle name="Хороший 82" xfId="60863" xr:uid="{00000000-0005-0000-0000-00006EEF0000}"/>
    <cellStyle name="Хороший 83" xfId="60864" xr:uid="{00000000-0005-0000-0000-00006FEF0000}"/>
    <cellStyle name="Хороший 84" xfId="60865" xr:uid="{00000000-0005-0000-0000-000070EF0000}"/>
    <cellStyle name="Хороший 85" xfId="60866" xr:uid="{00000000-0005-0000-0000-000071EF0000}"/>
    <cellStyle name="Хороший 86" xfId="60867" xr:uid="{00000000-0005-0000-0000-000072EF0000}"/>
    <cellStyle name="Хороший 87" xfId="60868" xr:uid="{00000000-0005-0000-0000-000073EF0000}"/>
    <cellStyle name="Хороший 88" xfId="60869" xr:uid="{00000000-0005-0000-0000-000074EF0000}"/>
    <cellStyle name="Хороший 89" xfId="60870" xr:uid="{00000000-0005-0000-0000-000075EF0000}"/>
    <cellStyle name="Хороший 9" xfId="60871" xr:uid="{00000000-0005-0000-0000-000076EF0000}"/>
    <cellStyle name="Хороший 90" xfId="60872" xr:uid="{00000000-0005-0000-0000-000077EF0000}"/>
    <cellStyle name="Хороший 91" xfId="60873" xr:uid="{00000000-0005-0000-0000-000078EF0000}"/>
    <cellStyle name="Хороший 92" xfId="60874" xr:uid="{00000000-0005-0000-0000-000079EF0000}"/>
    <cellStyle name="Хороший 93" xfId="60875" xr:uid="{00000000-0005-0000-0000-00007AEF0000}"/>
    <cellStyle name="Хороший 94" xfId="60876" xr:uid="{00000000-0005-0000-0000-00007BEF0000}"/>
    <cellStyle name="Хороший 95" xfId="60877" xr:uid="{00000000-0005-0000-0000-00007CEF0000}"/>
    <cellStyle name="Хороший 96" xfId="60878" xr:uid="{00000000-0005-0000-0000-00007DEF0000}"/>
    <cellStyle name="Хороший 97" xfId="60879" xr:uid="{00000000-0005-0000-0000-00007EEF0000}"/>
    <cellStyle name="Хороший 98" xfId="60880" xr:uid="{00000000-0005-0000-0000-00007FEF0000}"/>
    <cellStyle name="Хороший 99" xfId="60881" xr:uid="{00000000-0005-0000-0000-000080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2%20&#1075;\&#1057;&#1090;&#1072;&#1094;&#1080;&#1086;&#1085;&#1072;&#1088;\&#1050;&#1057;%20&#1050;&#1057;&#1043;%206-22%20&#1088;&#1072;&#1089;&#1095;&#1077;&#1090;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%20&#1052;&#1056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/&#1054;&#1073;&#1098;&#1077;&#1084;&#1099;%20&#1087;&#1086;%20&#1084;&#1077;&#1088;&#1086;&#1087;&#1088;&#1080;&#1103;&#1090;&#1080;&#1103;&#1084;%202022/&#1062;&#1077;&#1085;&#1090;&#1088;&#1072;&#1083;.&#1080;&#1089;&#1089;&#1083;&#1077;&#1076;&#1086;&#1074;&#1072;&#1085;.&#1050;&#1057;&#1050;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Анализ"/>
      <sheetName val="2 КВ фев"/>
      <sheetName val="КОВ_1310 фев"/>
      <sheetName val="ФМПП фев"/>
      <sheetName val="Свод КСГ по МО объемы"/>
      <sheetName val="Свод КСГ по МО финансы"/>
      <sheetName val="Объемы по уровням КСГ+ВМП"/>
      <sheetName val="Финансы по уровням КСГ+ВМП"/>
      <sheetName val="Объемы наш список"/>
      <sheetName val="Финансы наш список"/>
      <sheetName val="на 2022 год"/>
      <sheetName val="Стоимость"/>
      <sheetName val="Новый СВОД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КБ № 1 г.Стерлитам "/>
      <sheetName val="ГБУЗ РБ ГБ № 2 г. Стерлитамак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Б № 9 г.Уфа"/>
      <sheetName val="ГБУЗ РБ ГКБ № 10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Давлекановская ЦРБ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ВД г.Салават"/>
      <sheetName val="ГБУЗ РБ КВД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сягутовская ЦРБ "/>
      <sheetName val="ГБУЗ РБ Мелеуз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Раевская ЦРБ"/>
      <sheetName val="ГБУЗ РБ РД № 3 г.Уфа "/>
      <sheetName val="ГБУЗ РБ ГБ г.Салават"/>
      <sheetName val="ГБУЗ РБ Стерлибашевская ЦРБ"/>
      <sheetName val="ГБУЗ РБ Толбазинская ЦРБ"/>
      <sheetName val="ГБУЗ РБ Туймазинская ЦРБ"/>
      <sheetName val="ГБУЗ РБ Учалинская ЦГ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Б БСМП г.Уфа "/>
      <sheetName val="ГБУЗ РКБ им. Г.Г. Куватова"/>
      <sheetName val="ГБУ Уфимский НИИ глазных болезн"/>
      <sheetName val="ГАУЗ РКОД МЗ РБ"/>
      <sheetName val="ГБУЗ РДКБ "/>
      <sheetName val="ГБУЗ РКВД №1 "/>
      <sheetName val="ГБУЗ РКГВВ"/>
      <sheetName val="ГБУЗ РКИБ"/>
      <sheetName val="ГБУЗ РКПЦ МЗ РБ "/>
      <sheetName val="ГБУЗ РКЦ"/>
      <sheetName val="ООО МД ПРОЕКТ 2010"/>
      <sheetName val="ООО Медсервис"/>
      <sheetName val="ООО МЦ Семья"/>
      <sheetName val="ООО Октябрьский СЦ"/>
      <sheetName val="ФГБОУ ВО БГМУ "/>
      <sheetName val="ЧУЗ КБ РЖД-МЕДИЦИНА Г.УФ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50">
          <cell r="DW450">
            <v>0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>
        <row r="147">
          <cell r="Y147">
            <v>14307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сводная табл"/>
      <sheetName val="Факт за янв-март"/>
      <sheetName val="План 9 мес (план-факт 3 мес)"/>
      <sheetName val="4-22(с новой стоимостью)"/>
      <sheetName val="сводная табл (с нов стоимостью)"/>
      <sheetName val="для сайта"/>
    </sheetNames>
    <sheetDataSet>
      <sheetData sheetId="0">
        <row r="3">
          <cell r="J3">
            <v>186505</v>
          </cell>
        </row>
        <row r="4">
          <cell r="J4">
            <v>202027</v>
          </cell>
        </row>
        <row r="5">
          <cell r="J5">
            <v>145110</v>
          </cell>
        </row>
        <row r="6">
          <cell r="J6">
            <v>221379</v>
          </cell>
        </row>
        <row r="7">
          <cell r="J7">
            <v>150068</v>
          </cell>
        </row>
        <row r="8">
          <cell r="J8">
            <v>169474</v>
          </cell>
        </row>
        <row r="9">
          <cell r="J9">
            <v>489920</v>
          </cell>
        </row>
        <row r="10">
          <cell r="J10">
            <v>301178</v>
          </cell>
        </row>
        <row r="11">
          <cell r="J11">
            <v>114978</v>
          </cell>
        </row>
        <row r="12">
          <cell r="J12">
            <v>613178</v>
          </cell>
        </row>
        <row r="13">
          <cell r="J13">
            <v>1770709</v>
          </cell>
        </row>
        <row r="14">
          <cell r="J14">
            <v>182583</v>
          </cell>
        </row>
        <row r="15">
          <cell r="J15">
            <v>278284</v>
          </cell>
        </row>
        <row r="16">
          <cell r="J16">
            <v>177718</v>
          </cell>
        </row>
        <row r="17">
          <cell r="J17">
            <v>255362</v>
          </cell>
        </row>
        <row r="18">
          <cell r="J18">
            <v>333982</v>
          </cell>
        </row>
        <row r="19">
          <cell r="J19">
            <v>446838</v>
          </cell>
        </row>
        <row r="20">
          <cell r="J20">
            <v>280090</v>
          </cell>
        </row>
        <row r="21">
          <cell r="J21">
            <v>572923</v>
          </cell>
        </row>
        <row r="22">
          <cell r="J22">
            <v>133271</v>
          </cell>
        </row>
        <row r="23">
          <cell r="J23">
            <v>115040</v>
          </cell>
        </row>
        <row r="24">
          <cell r="J24">
            <v>153773</v>
          </cell>
        </row>
        <row r="25">
          <cell r="J25">
            <v>81750</v>
          </cell>
        </row>
        <row r="26">
          <cell r="J26">
            <v>184807</v>
          </cell>
        </row>
        <row r="27">
          <cell r="J27">
            <v>245883</v>
          </cell>
        </row>
        <row r="28">
          <cell r="J28">
            <v>128062</v>
          </cell>
        </row>
        <row r="29">
          <cell r="J29">
            <v>75694</v>
          </cell>
        </row>
        <row r="30">
          <cell r="J30">
            <v>147486</v>
          </cell>
        </row>
        <row r="31">
          <cell r="J31">
            <v>68919</v>
          </cell>
        </row>
        <row r="32">
          <cell r="J32">
            <v>100081</v>
          </cell>
        </row>
        <row r="33">
          <cell r="J33">
            <v>94707</v>
          </cell>
        </row>
        <row r="34">
          <cell r="J34">
            <v>193698</v>
          </cell>
        </row>
        <row r="35">
          <cell r="J35">
            <v>112041</v>
          </cell>
        </row>
        <row r="36">
          <cell r="J36">
            <v>191968</v>
          </cell>
        </row>
        <row r="37">
          <cell r="J37">
            <v>150387</v>
          </cell>
        </row>
        <row r="38">
          <cell r="J38">
            <v>183187</v>
          </cell>
        </row>
        <row r="39">
          <cell r="J39">
            <v>211305</v>
          </cell>
        </row>
        <row r="40">
          <cell r="J40">
            <v>239147</v>
          </cell>
        </row>
        <row r="41">
          <cell r="J41">
            <v>136052</v>
          </cell>
        </row>
        <row r="42">
          <cell r="J42">
            <v>164157</v>
          </cell>
        </row>
        <row r="43">
          <cell r="J43">
            <v>203933</v>
          </cell>
        </row>
        <row r="44">
          <cell r="J44">
            <v>175787</v>
          </cell>
        </row>
        <row r="45">
          <cell r="J45">
            <v>339241</v>
          </cell>
        </row>
        <row r="46">
          <cell r="J46">
            <v>155745</v>
          </cell>
        </row>
        <row r="47">
          <cell r="J47">
            <v>290212</v>
          </cell>
        </row>
        <row r="48">
          <cell r="J48">
            <v>234475</v>
          </cell>
        </row>
        <row r="49">
          <cell r="J49">
            <v>739082</v>
          </cell>
        </row>
        <row r="50">
          <cell r="J50">
            <v>409365</v>
          </cell>
        </row>
        <row r="51">
          <cell r="J51">
            <v>160783</v>
          </cell>
        </row>
        <row r="52">
          <cell r="J52">
            <v>279616</v>
          </cell>
        </row>
        <row r="53">
          <cell r="J53">
            <v>151179</v>
          </cell>
        </row>
        <row r="54">
          <cell r="J54">
            <v>309886</v>
          </cell>
        </row>
        <row r="55">
          <cell r="J55">
            <v>159765</v>
          </cell>
        </row>
        <row r="56">
          <cell r="J56">
            <v>240720</v>
          </cell>
        </row>
        <row r="57">
          <cell r="J57">
            <v>378732</v>
          </cell>
        </row>
        <row r="58">
          <cell r="J58">
            <v>107029</v>
          </cell>
        </row>
        <row r="59">
          <cell r="J59">
            <v>158170</v>
          </cell>
        </row>
        <row r="60">
          <cell r="J60">
            <v>139828</v>
          </cell>
        </row>
        <row r="61">
          <cell r="J61">
            <v>208400</v>
          </cell>
        </row>
        <row r="62">
          <cell r="J62">
            <v>116200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E9">
            <v>0</v>
          </cell>
          <cell r="F9">
            <v>0</v>
          </cell>
          <cell r="G9">
            <v>3963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7846</v>
          </cell>
        </row>
        <row r="10">
          <cell r="E10">
            <v>0</v>
          </cell>
          <cell r="F10">
            <v>0</v>
          </cell>
          <cell r="G10">
            <v>1428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8208</v>
          </cell>
          <cell r="K12">
            <v>26572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8728</v>
          </cell>
          <cell r="K13">
            <v>26607</v>
          </cell>
          <cell r="L13">
            <v>0</v>
          </cell>
        </row>
        <row r="14">
          <cell r="E14">
            <v>0</v>
          </cell>
          <cell r="F14">
            <v>3964</v>
          </cell>
          <cell r="G14">
            <v>0</v>
          </cell>
          <cell r="H14">
            <v>0</v>
          </cell>
          <cell r="J14">
            <v>35252</v>
          </cell>
          <cell r="K14">
            <v>65467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8727</v>
          </cell>
          <cell r="K15">
            <v>28250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9994</v>
          </cell>
          <cell r="K16">
            <v>29983</v>
          </cell>
          <cell r="L16">
            <v>0</v>
          </cell>
        </row>
        <row r="17">
          <cell r="E17">
            <v>0</v>
          </cell>
          <cell r="F17">
            <v>6543</v>
          </cell>
          <cell r="G17">
            <v>0</v>
          </cell>
          <cell r="H17">
            <v>0</v>
          </cell>
          <cell r="J17">
            <v>69784</v>
          </cell>
          <cell r="K17">
            <v>198616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31599</v>
          </cell>
          <cell r="K18">
            <v>67810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14509</v>
          </cell>
          <cell r="K19">
            <v>28164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9939</v>
          </cell>
          <cell r="K20">
            <v>29503</v>
          </cell>
          <cell r="L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11647</v>
          </cell>
          <cell r="K21">
            <v>34390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9027</v>
          </cell>
          <cell r="K22">
            <v>30917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24661</v>
          </cell>
          <cell r="K23">
            <v>50069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50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11038</v>
          </cell>
          <cell r="K25">
            <v>40063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9656</v>
          </cell>
          <cell r="K26">
            <v>60824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28139</v>
          </cell>
          <cell r="K27">
            <v>72357</v>
          </cell>
          <cell r="L27">
            <v>0</v>
          </cell>
        </row>
        <row r="28">
          <cell r="E28">
            <v>0</v>
          </cell>
          <cell r="F28">
            <v>5619</v>
          </cell>
          <cell r="G28">
            <v>0</v>
          </cell>
          <cell r="H28">
            <v>0</v>
          </cell>
          <cell r="J28">
            <v>53354</v>
          </cell>
          <cell r="K28">
            <v>121577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11100</v>
          </cell>
          <cell r="K29">
            <v>18731</v>
          </cell>
          <cell r="L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4691</v>
          </cell>
          <cell r="K30">
            <v>21369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46339</v>
          </cell>
          <cell r="K31">
            <v>73391</v>
          </cell>
          <cell r="L31">
            <v>0</v>
          </cell>
        </row>
        <row r="32">
          <cell r="E32">
            <v>0</v>
          </cell>
          <cell r="F32">
            <v>3674</v>
          </cell>
          <cell r="G32">
            <v>0</v>
          </cell>
          <cell r="H32">
            <v>0</v>
          </cell>
          <cell r="J32">
            <v>34975</v>
          </cell>
          <cell r="K32">
            <v>64953</v>
          </cell>
          <cell r="L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8176</v>
          </cell>
          <cell r="K33">
            <v>18198</v>
          </cell>
          <cell r="L33">
            <v>0</v>
          </cell>
        </row>
        <row r="34">
          <cell r="E34">
            <v>0</v>
          </cell>
          <cell r="F34">
            <v>11590</v>
          </cell>
          <cell r="G34">
            <v>0</v>
          </cell>
          <cell r="H34">
            <v>4527</v>
          </cell>
          <cell r="J34">
            <v>44215</v>
          </cell>
          <cell r="K34">
            <v>113695</v>
          </cell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42017</v>
          </cell>
          <cell r="K35">
            <v>148968</v>
          </cell>
          <cell r="L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3511</v>
          </cell>
          <cell r="J36">
            <v>14134</v>
          </cell>
          <cell r="K36">
            <v>56538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65442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4856</v>
          </cell>
          <cell r="K38">
            <v>5936</v>
          </cell>
          <cell r="L38">
            <v>0</v>
          </cell>
        </row>
        <row r="39">
          <cell r="E39">
            <v>0</v>
          </cell>
          <cell r="F39">
            <v>5666</v>
          </cell>
          <cell r="G39">
            <v>0</v>
          </cell>
          <cell r="H39">
            <v>0</v>
          </cell>
          <cell r="J39">
            <v>47100</v>
          </cell>
          <cell r="K39">
            <v>97824</v>
          </cell>
          <cell r="L39">
            <v>0</v>
          </cell>
        </row>
        <row r="40">
          <cell r="E40">
            <v>0</v>
          </cell>
          <cell r="F40">
            <v>3373</v>
          </cell>
          <cell r="G40">
            <v>0</v>
          </cell>
          <cell r="H40">
            <v>0</v>
          </cell>
          <cell r="J40">
            <v>71255</v>
          </cell>
          <cell r="K40">
            <v>135280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12513</v>
          </cell>
          <cell r="K41">
            <v>30635</v>
          </cell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42868</v>
          </cell>
          <cell r="K42">
            <v>100025</v>
          </cell>
          <cell r="L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18794</v>
          </cell>
          <cell r="K43">
            <v>36483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32107</v>
          </cell>
          <cell r="K44">
            <v>107490</v>
          </cell>
          <cell r="L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14816</v>
          </cell>
          <cell r="K45">
            <v>35407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10520</v>
          </cell>
          <cell r="K46">
            <v>21360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15454</v>
          </cell>
          <cell r="K47">
            <v>37834</v>
          </cell>
          <cell r="L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7425</v>
          </cell>
          <cell r="K48">
            <v>19092</v>
          </cell>
          <cell r="L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4758</v>
          </cell>
          <cell r="K49">
            <v>15928</v>
          </cell>
          <cell r="L49">
            <v>0</v>
          </cell>
        </row>
        <row r="50">
          <cell r="E50">
            <v>0</v>
          </cell>
          <cell r="F50">
            <v>6946</v>
          </cell>
          <cell r="G50">
            <v>0</v>
          </cell>
          <cell r="H50">
            <v>0</v>
          </cell>
          <cell r="J50">
            <v>57380</v>
          </cell>
          <cell r="K50">
            <v>124779</v>
          </cell>
          <cell r="L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9917</v>
          </cell>
          <cell r="K51">
            <v>35158</v>
          </cell>
          <cell r="L51">
            <v>0</v>
          </cell>
        </row>
        <row r="52">
          <cell r="E52">
            <v>0</v>
          </cell>
          <cell r="F52">
            <v>2649</v>
          </cell>
          <cell r="G52">
            <v>0</v>
          </cell>
          <cell r="H52">
            <v>0</v>
          </cell>
          <cell r="J52">
            <v>33513</v>
          </cell>
          <cell r="K52">
            <v>118819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8453</v>
          </cell>
          <cell r="K53">
            <v>28297</v>
          </cell>
          <cell r="L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12688</v>
          </cell>
          <cell r="K54">
            <v>40180</v>
          </cell>
          <cell r="L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J55">
            <v>15432</v>
          </cell>
          <cell r="K55">
            <v>51957</v>
          </cell>
          <cell r="L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7135</v>
          </cell>
          <cell r="K56">
            <v>16647</v>
          </cell>
          <cell r="L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12018</v>
          </cell>
          <cell r="K57">
            <v>34562</v>
          </cell>
          <cell r="L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18911</v>
          </cell>
          <cell r="K58">
            <v>48627</v>
          </cell>
          <cell r="L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J59">
            <v>47973</v>
          </cell>
          <cell r="K59">
            <v>170087</v>
          </cell>
          <cell r="L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9016</v>
          </cell>
          <cell r="K60">
            <v>28086</v>
          </cell>
          <cell r="L60">
            <v>0</v>
          </cell>
        </row>
        <row r="61">
          <cell r="E61">
            <v>0</v>
          </cell>
          <cell r="F61">
            <v>0</v>
          </cell>
          <cell r="G61">
            <v>50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11646</v>
          </cell>
          <cell r="K62">
            <v>50632</v>
          </cell>
          <cell r="L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11216</v>
          </cell>
          <cell r="K63">
            <v>39766</v>
          </cell>
          <cell r="L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3897</v>
          </cell>
          <cell r="J64">
            <v>17203</v>
          </cell>
          <cell r="K64">
            <v>54477</v>
          </cell>
          <cell r="L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3734</v>
          </cell>
          <cell r="J65">
            <v>20256</v>
          </cell>
          <cell r="K65">
            <v>68977</v>
          </cell>
          <cell r="L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8389</v>
          </cell>
          <cell r="K66">
            <v>26565</v>
          </cell>
          <cell r="L66">
            <v>0</v>
          </cell>
        </row>
        <row r="67">
          <cell r="E67">
            <v>0</v>
          </cell>
          <cell r="F67">
            <v>0</v>
          </cell>
          <cell r="G67">
            <v>23383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>
            <v>0</v>
          </cell>
          <cell r="F68">
            <v>0</v>
          </cell>
          <cell r="G68">
            <v>37194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5965</v>
          </cell>
          <cell r="F69">
            <v>0</v>
          </cell>
          <cell r="G69">
            <v>0</v>
          </cell>
          <cell r="H69">
            <v>0</v>
          </cell>
          <cell r="J69">
            <v>29128</v>
          </cell>
          <cell r="K69">
            <v>86004</v>
          </cell>
          <cell r="L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17393</v>
          </cell>
          <cell r="K70">
            <v>42584</v>
          </cell>
          <cell r="L70">
            <v>0</v>
          </cell>
        </row>
        <row r="71">
          <cell r="E71">
            <v>5672</v>
          </cell>
          <cell r="F71">
            <v>0</v>
          </cell>
          <cell r="G71">
            <v>0</v>
          </cell>
          <cell r="H71">
            <v>0</v>
          </cell>
          <cell r="J71">
            <v>41887</v>
          </cell>
          <cell r="K71">
            <v>112763</v>
          </cell>
          <cell r="L71">
            <v>0</v>
          </cell>
        </row>
        <row r="72">
          <cell r="E72">
            <v>0</v>
          </cell>
          <cell r="F72">
            <v>0</v>
          </cell>
          <cell r="G72">
            <v>17292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>
            <v>0</v>
          </cell>
          <cell r="F73">
            <v>0</v>
          </cell>
          <cell r="G73">
            <v>19558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0</v>
          </cell>
          <cell r="F74">
            <v>0</v>
          </cell>
          <cell r="G74">
            <v>24108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19442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E76">
            <v>0</v>
          </cell>
          <cell r="F76">
            <v>0</v>
          </cell>
          <cell r="G76">
            <v>27914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E77">
            <v>0</v>
          </cell>
          <cell r="F77">
            <v>0</v>
          </cell>
          <cell r="G77">
            <v>18290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E78">
            <v>0</v>
          </cell>
          <cell r="F78">
            <v>0</v>
          </cell>
          <cell r="G78">
            <v>17310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2046</v>
          </cell>
          <cell r="J79">
            <v>23216</v>
          </cell>
          <cell r="K79">
            <v>92865</v>
          </cell>
          <cell r="L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4902</v>
          </cell>
          <cell r="J80">
            <v>67948</v>
          </cell>
          <cell r="K80">
            <v>143466</v>
          </cell>
          <cell r="L80">
            <v>0</v>
          </cell>
        </row>
        <row r="81">
          <cell r="E81">
            <v>0</v>
          </cell>
          <cell r="F81">
            <v>3912</v>
          </cell>
          <cell r="G81">
            <v>0</v>
          </cell>
          <cell r="H81">
            <v>5290</v>
          </cell>
          <cell r="J81">
            <v>31988</v>
          </cell>
          <cell r="K81">
            <v>98699</v>
          </cell>
          <cell r="L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11370</v>
          </cell>
          <cell r="K82">
            <v>27837</v>
          </cell>
          <cell r="L82">
            <v>0</v>
          </cell>
        </row>
        <row r="83">
          <cell r="E83">
            <v>0</v>
          </cell>
          <cell r="F83">
            <v>6464</v>
          </cell>
          <cell r="G83">
            <v>0</v>
          </cell>
          <cell r="H83">
            <v>0</v>
          </cell>
          <cell r="J83">
            <v>69203</v>
          </cell>
          <cell r="K83">
            <v>146383</v>
          </cell>
          <cell r="L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11599</v>
          </cell>
          <cell r="K84">
            <v>41122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45558</v>
          </cell>
          <cell r="K85">
            <v>109649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33669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894</v>
          </cell>
          <cell r="H87">
            <v>0</v>
          </cell>
          <cell r="J87">
            <v>1284</v>
          </cell>
          <cell r="K87">
            <v>10484</v>
          </cell>
          <cell r="L87">
            <v>0</v>
          </cell>
        </row>
        <row r="88">
          <cell r="E88">
            <v>0</v>
          </cell>
          <cell r="F88">
            <v>0</v>
          </cell>
          <cell r="H88">
            <v>0</v>
          </cell>
          <cell r="J88">
            <v>3965</v>
          </cell>
          <cell r="K88">
            <v>0</v>
          </cell>
          <cell r="L88">
            <v>0</v>
          </cell>
        </row>
        <row r="89">
          <cell r="E89">
            <v>0</v>
          </cell>
          <cell r="F89">
            <v>0</v>
          </cell>
          <cell r="G89">
            <v>1341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2079</v>
          </cell>
          <cell r="K90">
            <v>7821</v>
          </cell>
          <cell r="L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>
            <v>7375</v>
          </cell>
          <cell r="K91">
            <v>27745</v>
          </cell>
          <cell r="L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9626</v>
          </cell>
          <cell r="K92">
            <v>20933</v>
          </cell>
          <cell r="L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9708</v>
          </cell>
          <cell r="K93">
            <v>22759</v>
          </cell>
          <cell r="L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21651</v>
          </cell>
          <cell r="K94">
            <v>64952</v>
          </cell>
          <cell r="L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9623</v>
          </cell>
          <cell r="K95">
            <v>27821</v>
          </cell>
          <cell r="L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11856</v>
          </cell>
          <cell r="K96">
            <v>33743</v>
          </cell>
          <cell r="L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J97">
            <v>27221</v>
          </cell>
          <cell r="K97">
            <v>66643</v>
          </cell>
          <cell r="L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J98">
            <v>17204</v>
          </cell>
          <cell r="K98">
            <v>60994</v>
          </cell>
          <cell r="L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7782</v>
          </cell>
          <cell r="K99">
            <v>20011</v>
          </cell>
          <cell r="L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8670</v>
          </cell>
          <cell r="K100">
            <v>36964</v>
          </cell>
          <cell r="L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12337</v>
          </cell>
          <cell r="K101">
            <v>30949</v>
          </cell>
          <cell r="L101">
            <v>0</v>
          </cell>
        </row>
        <row r="102">
          <cell r="E102">
            <v>0</v>
          </cell>
          <cell r="F102">
            <v>2581</v>
          </cell>
          <cell r="G102">
            <v>0</v>
          </cell>
          <cell r="H102">
            <v>0</v>
          </cell>
          <cell r="J102">
            <v>10365</v>
          </cell>
          <cell r="K102">
            <v>40194</v>
          </cell>
          <cell r="L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J103">
            <v>8939</v>
          </cell>
          <cell r="K103">
            <v>25440</v>
          </cell>
          <cell r="L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J104">
            <v>10439</v>
          </cell>
          <cell r="K104">
            <v>39271</v>
          </cell>
          <cell r="L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20457</v>
          </cell>
          <cell r="K105">
            <v>64782</v>
          </cell>
          <cell r="L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>
            <v>8350</v>
          </cell>
          <cell r="K106">
            <v>29606</v>
          </cell>
          <cell r="L106">
            <v>0</v>
          </cell>
        </row>
        <row r="107">
          <cell r="E107">
            <v>0</v>
          </cell>
          <cell r="F107">
            <v>0</v>
          </cell>
          <cell r="G107">
            <v>1814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E108">
            <v>0</v>
          </cell>
          <cell r="F108">
            <v>0</v>
          </cell>
          <cell r="G108">
            <v>621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E109">
            <v>0</v>
          </cell>
          <cell r="F109">
            <v>0</v>
          </cell>
          <cell r="G109">
            <v>28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E110">
            <v>0</v>
          </cell>
          <cell r="F110">
            <v>0</v>
          </cell>
          <cell r="G110">
            <v>7705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E111">
            <v>0</v>
          </cell>
          <cell r="F111">
            <v>0</v>
          </cell>
          <cell r="G111">
            <v>16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E112">
            <v>0</v>
          </cell>
          <cell r="F112">
            <v>0</v>
          </cell>
          <cell r="G112">
            <v>68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E113">
            <v>0</v>
          </cell>
          <cell r="F113">
            <v>0</v>
          </cell>
          <cell r="G113">
            <v>652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E114">
            <v>0</v>
          </cell>
          <cell r="F114">
            <v>0</v>
          </cell>
          <cell r="G114">
            <v>2866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E115">
            <v>0</v>
          </cell>
          <cell r="F115">
            <v>0</v>
          </cell>
          <cell r="G115">
            <v>244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F116">
            <v>0</v>
          </cell>
          <cell r="G116">
            <v>168</v>
          </cell>
          <cell r="H116">
            <v>6109</v>
          </cell>
          <cell r="J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F117">
            <v>0</v>
          </cell>
          <cell r="G117">
            <v>23691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F118">
            <v>0</v>
          </cell>
          <cell r="G118">
            <v>54613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F119">
            <v>0</v>
          </cell>
          <cell r="G119">
            <v>33850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3524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29682</v>
          </cell>
          <cell r="K121">
            <v>47844</v>
          </cell>
          <cell r="L121">
            <v>0</v>
          </cell>
        </row>
        <row r="122">
          <cell r="E122">
            <v>0</v>
          </cell>
          <cell r="F122">
            <v>7174</v>
          </cell>
          <cell r="G122">
            <v>0</v>
          </cell>
          <cell r="H122">
            <v>7250</v>
          </cell>
          <cell r="J122">
            <v>41221</v>
          </cell>
          <cell r="K122">
            <v>154137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16692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</sheetData>
      <sheetData sheetId="6" refreshError="1"/>
      <sheetData sheetId="7">
        <row r="9">
          <cell r="H9">
            <v>1020</v>
          </cell>
        </row>
        <row r="42">
          <cell r="J42">
            <v>0</v>
          </cell>
        </row>
        <row r="116">
          <cell r="H116">
            <v>-1020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по мед.реаб.(19-21)"/>
      <sheetName val="Стоимость"/>
      <sheetName val="Изм-я 6-19"/>
      <sheetName val="Объемы МР 6-22"/>
      <sheetName val="Финансы МР 6-22 "/>
    </sheetNames>
    <sheetDataSet>
      <sheetData sheetId="0">
        <row r="8">
          <cell r="D8">
            <v>7846</v>
          </cell>
        </row>
        <row r="9">
          <cell r="E9">
            <v>150</v>
          </cell>
          <cell r="F9">
            <v>1150</v>
          </cell>
          <cell r="G9">
            <v>1762</v>
          </cell>
          <cell r="H9">
            <v>312</v>
          </cell>
          <cell r="I9">
            <v>150</v>
          </cell>
        </row>
      </sheetData>
      <sheetData sheetId="1"/>
      <sheetData sheetId="2">
        <row r="9">
          <cell r="E9">
            <v>-50</v>
          </cell>
          <cell r="F9">
            <v>-150</v>
          </cell>
          <cell r="G9">
            <v>300</v>
          </cell>
          <cell r="H9">
            <v>-50</v>
          </cell>
          <cell r="I9">
            <v>-50</v>
          </cell>
        </row>
      </sheetData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0">
          <cell r="E10">
            <v>0</v>
          </cell>
          <cell r="G10">
            <v>2000</v>
          </cell>
          <cell r="H10">
            <v>16363</v>
          </cell>
        </row>
        <row r="11">
          <cell r="E11">
            <v>0</v>
          </cell>
          <cell r="G11">
            <v>770</v>
          </cell>
          <cell r="H11">
            <v>13288</v>
          </cell>
        </row>
        <row r="12">
          <cell r="E12">
            <v>0</v>
          </cell>
          <cell r="G12">
            <v>991</v>
          </cell>
          <cell r="H12">
            <v>19260</v>
          </cell>
        </row>
        <row r="13">
          <cell r="E13">
            <v>0</v>
          </cell>
          <cell r="G13">
            <v>605</v>
          </cell>
          <cell r="H13">
            <v>6859</v>
          </cell>
        </row>
        <row r="14">
          <cell r="E14">
            <v>0</v>
          </cell>
          <cell r="G14">
            <v>2170</v>
          </cell>
          <cell r="H14">
            <v>7767</v>
          </cell>
        </row>
        <row r="15">
          <cell r="E15">
            <v>0</v>
          </cell>
          <cell r="G15">
            <v>6739</v>
          </cell>
          <cell r="H15">
            <v>85448</v>
          </cell>
        </row>
        <row r="16">
          <cell r="E16">
            <v>0</v>
          </cell>
          <cell r="G16">
            <v>1166</v>
          </cell>
          <cell r="H16">
            <v>10354</v>
          </cell>
        </row>
        <row r="17">
          <cell r="E17">
            <v>0</v>
          </cell>
          <cell r="G17">
            <v>564</v>
          </cell>
          <cell r="H17">
            <v>11896</v>
          </cell>
        </row>
        <row r="18">
          <cell r="E18">
            <v>0</v>
          </cell>
          <cell r="G18">
            <v>2024</v>
          </cell>
          <cell r="H18">
            <v>7202</v>
          </cell>
        </row>
        <row r="19">
          <cell r="E19">
            <v>0</v>
          </cell>
          <cell r="G19">
            <v>367</v>
          </cell>
          <cell r="H19">
            <v>10545</v>
          </cell>
        </row>
        <row r="20">
          <cell r="E20">
            <v>0</v>
          </cell>
          <cell r="G20">
            <v>530</v>
          </cell>
          <cell r="H20">
            <v>14514</v>
          </cell>
        </row>
        <row r="21">
          <cell r="E21">
            <v>0</v>
          </cell>
          <cell r="G21">
            <v>2500</v>
          </cell>
          <cell r="H21">
            <v>15041</v>
          </cell>
        </row>
        <row r="23">
          <cell r="E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G24">
            <v>105</v>
          </cell>
          <cell r="H24">
            <v>3083</v>
          </cell>
        </row>
        <row r="25">
          <cell r="E25">
            <v>0</v>
          </cell>
          <cell r="G25">
            <v>5945</v>
          </cell>
          <cell r="H25">
            <v>11731</v>
          </cell>
        </row>
        <row r="26">
          <cell r="E26">
            <v>0</v>
          </cell>
          <cell r="G26">
            <v>1732</v>
          </cell>
          <cell r="H26">
            <v>9163</v>
          </cell>
        </row>
        <row r="27">
          <cell r="E27">
            <v>0</v>
          </cell>
          <cell r="G27">
            <v>915</v>
          </cell>
          <cell r="H27">
            <v>37960</v>
          </cell>
        </row>
        <row r="28">
          <cell r="E28">
            <v>0</v>
          </cell>
          <cell r="G28">
            <v>503</v>
          </cell>
          <cell r="H28">
            <v>10837</v>
          </cell>
        </row>
        <row r="29">
          <cell r="E29">
            <v>0</v>
          </cell>
          <cell r="G29">
            <v>901</v>
          </cell>
          <cell r="H29">
            <v>3575</v>
          </cell>
        </row>
        <row r="30">
          <cell r="E30">
            <v>0</v>
          </cell>
          <cell r="G30">
            <v>5238</v>
          </cell>
          <cell r="H30">
            <v>23025</v>
          </cell>
        </row>
        <row r="31">
          <cell r="E31">
            <v>0</v>
          </cell>
          <cell r="G31">
            <v>1831</v>
          </cell>
          <cell r="H31">
            <v>17515</v>
          </cell>
        </row>
        <row r="32">
          <cell r="E32">
            <v>0</v>
          </cell>
          <cell r="G32">
            <v>420</v>
          </cell>
          <cell r="H32">
            <v>4973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G35">
            <v>9491</v>
          </cell>
          <cell r="H35">
            <v>42197</v>
          </cell>
        </row>
        <row r="36">
          <cell r="E36">
            <v>0</v>
          </cell>
          <cell r="G36">
            <v>5000</v>
          </cell>
          <cell r="H36">
            <v>21000</v>
          </cell>
        </row>
        <row r="37">
          <cell r="E37">
            <v>0</v>
          </cell>
          <cell r="G37">
            <v>854</v>
          </cell>
          <cell r="H37">
            <v>5977</v>
          </cell>
        </row>
        <row r="38">
          <cell r="E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G40">
            <v>80</v>
          </cell>
          <cell r="H40">
            <v>2020</v>
          </cell>
        </row>
        <row r="41">
          <cell r="E41">
            <v>0</v>
          </cell>
          <cell r="G41">
            <v>2062</v>
          </cell>
          <cell r="H41">
            <v>28102</v>
          </cell>
        </row>
        <row r="42">
          <cell r="E42">
            <v>0</v>
          </cell>
          <cell r="G42">
            <v>8284</v>
          </cell>
          <cell r="H42">
            <v>36451</v>
          </cell>
        </row>
        <row r="43">
          <cell r="E43">
            <v>0</v>
          </cell>
          <cell r="G43">
            <v>840</v>
          </cell>
          <cell r="H43">
            <v>7639</v>
          </cell>
        </row>
        <row r="44">
          <cell r="E44">
            <v>0</v>
          </cell>
          <cell r="G44">
            <v>1000</v>
          </cell>
          <cell r="H44">
            <v>27669</v>
          </cell>
        </row>
        <row r="45">
          <cell r="E45">
            <v>0</v>
          </cell>
          <cell r="G45">
            <v>4228</v>
          </cell>
          <cell r="H45">
            <v>19818</v>
          </cell>
        </row>
        <row r="46">
          <cell r="E46">
            <v>0</v>
          </cell>
          <cell r="G46">
            <v>2708</v>
          </cell>
          <cell r="H46">
            <v>23816</v>
          </cell>
        </row>
        <row r="47">
          <cell r="E47">
            <v>0</v>
          </cell>
          <cell r="G47">
            <v>609</v>
          </cell>
          <cell r="H47">
            <v>4826</v>
          </cell>
        </row>
        <row r="48">
          <cell r="E48">
            <v>0</v>
          </cell>
          <cell r="G48">
            <v>1337</v>
          </cell>
          <cell r="H48">
            <v>5255</v>
          </cell>
        </row>
        <row r="49">
          <cell r="E49">
            <v>0</v>
          </cell>
          <cell r="G49">
            <v>1215</v>
          </cell>
          <cell r="H49">
            <v>16075</v>
          </cell>
        </row>
        <row r="50">
          <cell r="E50">
            <v>0</v>
          </cell>
          <cell r="G50">
            <v>395</v>
          </cell>
          <cell r="H50">
            <v>5337</v>
          </cell>
        </row>
        <row r="51">
          <cell r="E51">
            <v>0</v>
          </cell>
          <cell r="G51">
            <v>600</v>
          </cell>
          <cell r="H51">
            <v>8000</v>
          </cell>
        </row>
        <row r="52">
          <cell r="E52">
            <v>0</v>
          </cell>
          <cell r="G52">
            <v>4890</v>
          </cell>
          <cell r="H52">
            <v>41196</v>
          </cell>
        </row>
        <row r="53">
          <cell r="E53">
            <v>0</v>
          </cell>
          <cell r="G53">
            <v>1362</v>
          </cell>
          <cell r="H53">
            <v>13185</v>
          </cell>
        </row>
        <row r="54">
          <cell r="E54">
            <v>0</v>
          </cell>
          <cell r="G54">
            <v>4766</v>
          </cell>
          <cell r="H54">
            <v>36639</v>
          </cell>
        </row>
        <row r="55">
          <cell r="E55">
            <v>0</v>
          </cell>
          <cell r="G55">
            <v>739</v>
          </cell>
          <cell r="H55">
            <v>6654</v>
          </cell>
        </row>
        <row r="56">
          <cell r="E56">
            <v>0</v>
          </cell>
          <cell r="G56">
            <v>1106</v>
          </cell>
          <cell r="H56">
            <v>6929</v>
          </cell>
        </row>
        <row r="57">
          <cell r="E57">
            <v>0</v>
          </cell>
          <cell r="G57">
            <v>3344</v>
          </cell>
          <cell r="H57">
            <v>14147</v>
          </cell>
        </row>
        <row r="58">
          <cell r="E58">
            <v>0</v>
          </cell>
          <cell r="G58">
            <v>211</v>
          </cell>
          <cell r="H58">
            <v>6627</v>
          </cell>
        </row>
        <row r="59">
          <cell r="E59">
            <v>0</v>
          </cell>
          <cell r="G59">
            <v>732</v>
          </cell>
          <cell r="H59">
            <v>12988</v>
          </cell>
        </row>
        <row r="60">
          <cell r="E60">
            <v>0</v>
          </cell>
          <cell r="G60">
            <v>400</v>
          </cell>
          <cell r="H60">
            <v>16037</v>
          </cell>
        </row>
        <row r="61">
          <cell r="E61">
            <v>0</v>
          </cell>
          <cell r="G61">
            <v>637</v>
          </cell>
          <cell r="H61">
            <v>57284</v>
          </cell>
        </row>
        <row r="62">
          <cell r="E62">
            <v>0</v>
          </cell>
          <cell r="G62">
            <v>284</v>
          </cell>
          <cell r="H62">
            <v>6079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G65">
            <v>429</v>
          </cell>
          <cell r="H65">
            <v>7270</v>
          </cell>
        </row>
        <row r="66">
          <cell r="E66">
            <v>0</v>
          </cell>
          <cell r="G66">
            <v>300</v>
          </cell>
          <cell r="H66">
            <v>10000</v>
          </cell>
        </row>
        <row r="67">
          <cell r="E67">
            <v>0</v>
          </cell>
          <cell r="G67">
            <v>2500</v>
          </cell>
          <cell r="H67">
            <v>21000</v>
          </cell>
        </row>
        <row r="68">
          <cell r="E68">
            <v>0</v>
          </cell>
          <cell r="G68">
            <v>1500</v>
          </cell>
          <cell r="H68">
            <v>19000</v>
          </cell>
        </row>
        <row r="69">
          <cell r="E69">
            <v>0</v>
          </cell>
          <cell r="G69">
            <v>130</v>
          </cell>
          <cell r="H69">
            <v>9500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G72">
            <v>7538</v>
          </cell>
          <cell r="H72">
            <v>19469</v>
          </cell>
        </row>
        <row r="73">
          <cell r="E73">
            <v>0</v>
          </cell>
          <cell r="G73">
            <v>2178</v>
          </cell>
          <cell r="H73">
            <v>25031</v>
          </cell>
        </row>
        <row r="74">
          <cell r="E74">
            <v>0</v>
          </cell>
          <cell r="G74">
            <v>4837</v>
          </cell>
          <cell r="H74">
            <v>53712</v>
          </cell>
        </row>
        <row r="75">
          <cell r="E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</row>
        <row r="79">
          <cell r="E79">
            <v>0</v>
          </cell>
          <cell r="G79">
            <v>0</v>
          </cell>
          <cell r="H79">
            <v>0</v>
          </cell>
        </row>
        <row r="80">
          <cell r="E80">
            <v>0</v>
          </cell>
          <cell r="G80">
            <v>0</v>
          </cell>
          <cell r="H80">
            <v>0</v>
          </cell>
        </row>
        <row r="81">
          <cell r="E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G82">
            <v>1886</v>
          </cell>
          <cell r="H82">
            <v>7513</v>
          </cell>
        </row>
        <row r="83">
          <cell r="E83">
            <v>0</v>
          </cell>
          <cell r="G83">
            <v>16053</v>
          </cell>
          <cell r="H83">
            <v>51971</v>
          </cell>
        </row>
        <row r="84">
          <cell r="E84">
            <v>0</v>
          </cell>
          <cell r="G84">
            <v>4531</v>
          </cell>
          <cell r="H84">
            <v>29421</v>
          </cell>
        </row>
        <row r="85">
          <cell r="E85">
            <v>0</v>
          </cell>
          <cell r="G85">
            <v>1631</v>
          </cell>
          <cell r="H85">
            <v>9117</v>
          </cell>
        </row>
        <row r="86">
          <cell r="E86">
            <v>0</v>
          </cell>
          <cell r="G86">
            <v>28282</v>
          </cell>
          <cell r="H86">
            <v>51730</v>
          </cell>
        </row>
        <row r="87">
          <cell r="E87">
            <v>0</v>
          </cell>
          <cell r="G87">
            <v>680</v>
          </cell>
          <cell r="H87">
            <v>19404</v>
          </cell>
        </row>
        <row r="88">
          <cell r="E88">
            <v>0</v>
          </cell>
          <cell r="G88">
            <v>6239</v>
          </cell>
          <cell r="H88">
            <v>42069</v>
          </cell>
        </row>
        <row r="89">
          <cell r="E89">
            <v>13210</v>
          </cell>
          <cell r="G89">
            <v>0</v>
          </cell>
          <cell r="H89">
            <v>0</v>
          </cell>
        </row>
        <row r="90">
          <cell r="E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G91">
            <v>32</v>
          </cell>
          <cell r="H91">
            <v>248</v>
          </cell>
        </row>
        <row r="92">
          <cell r="E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G94">
            <v>0</v>
          </cell>
          <cell r="H94">
            <v>3707</v>
          </cell>
        </row>
        <row r="95">
          <cell r="E95">
            <v>0</v>
          </cell>
          <cell r="G95">
            <v>300</v>
          </cell>
          <cell r="H95">
            <v>6500</v>
          </cell>
        </row>
        <row r="96">
          <cell r="E96">
            <v>0</v>
          </cell>
          <cell r="G96">
            <v>1319</v>
          </cell>
          <cell r="H96">
            <v>2380</v>
          </cell>
        </row>
        <row r="97">
          <cell r="E97">
            <v>0</v>
          </cell>
          <cell r="G97">
            <v>0</v>
          </cell>
          <cell r="H97">
            <v>5977</v>
          </cell>
        </row>
        <row r="98">
          <cell r="E98">
            <v>0</v>
          </cell>
          <cell r="G98">
            <v>664</v>
          </cell>
          <cell r="H98">
            <v>4917</v>
          </cell>
        </row>
        <row r="99">
          <cell r="E99">
            <v>0</v>
          </cell>
          <cell r="G99">
            <v>1702</v>
          </cell>
          <cell r="H99">
            <v>4037</v>
          </cell>
        </row>
        <row r="100">
          <cell r="E100">
            <v>0</v>
          </cell>
          <cell r="G100">
            <v>3164</v>
          </cell>
          <cell r="H100">
            <v>14046</v>
          </cell>
        </row>
        <row r="101">
          <cell r="E101">
            <v>0</v>
          </cell>
          <cell r="G101">
            <v>2180</v>
          </cell>
          <cell r="H101">
            <v>18454</v>
          </cell>
        </row>
        <row r="102">
          <cell r="E102">
            <v>0</v>
          </cell>
          <cell r="G102">
            <v>1786</v>
          </cell>
          <cell r="H102">
            <v>6408</v>
          </cell>
        </row>
        <row r="103">
          <cell r="E103">
            <v>0</v>
          </cell>
          <cell r="G103">
            <v>321</v>
          </cell>
          <cell r="H103">
            <v>2053</v>
          </cell>
        </row>
        <row r="104">
          <cell r="E104">
            <v>0</v>
          </cell>
          <cell r="G104">
            <v>881</v>
          </cell>
          <cell r="H104">
            <v>8649</v>
          </cell>
        </row>
        <row r="105">
          <cell r="E105">
            <v>0</v>
          </cell>
          <cell r="G105">
            <v>1892</v>
          </cell>
          <cell r="H105">
            <v>3298</v>
          </cell>
        </row>
        <row r="106">
          <cell r="E106">
            <v>0</v>
          </cell>
          <cell r="G106">
            <v>1054</v>
          </cell>
          <cell r="H106">
            <v>9607</v>
          </cell>
        </row>
        <row r="107">
          <cell r="E107">
            <v>0</v>
          </cell>
          <cell r="G107">
            <v>0</v>
          </cell>
          <cell r="H107">
            <v>4244</v>
          </cell>
        </row>
        <row r="108">
          <cell r="E108">
            <v>0</v>
          </cell>
          <cell r="G108">
            <v>2167</v>
          </cell>
          <cell r="H108">
            <v>7222</v>
          </cell>
        </row>
        <row r="109">
          <cell r="E109">
            <v>0</v>
          </cell>
          <cell r="G109">
            <v>3027</v>
          </cell>
          <cell r="H109">
            <v>35004</v>
          </cell>
        </row>
        <row r="110">
          <cell r="E110">
            <v>0</v>
          </cell>
          <cell r="G110">
            <v>1176</v>
          </cell>
          <cell r="H110">
            <v>10904</v>
          </cell>
        </row>
        <row r="111">
          <cell r="E111">
            <v>616</v>
          </cell>
          <cell r="G111">
            <v>0</v>
          </cell>
          <cell r="H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</row>
        <row r="113">
          <cell r="E113">
            <v>208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2592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220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972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</row>
        <row r="138">
          <cell r="E138">
            <v>900</v>
          </cell>
          <cell r="G138">
            <v>0</v>
          </cell>
          <cell r="H138">
            <v>0</v>
          </cell>
        </row>
        <row r="139">
          <cell r="E139">
            <v>6647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G143">
            <v>3858</v>
          </cell>
          <cell r="H143">
            <v>24977</v>
          </cell>
        </row>
        <row r="144">
          <cell r="E144">
            <v>0</v>
          </cell>
          <cell r="G144">
            <v>17630</v>
          </cell>
          <cell r="H144">
            <v>38699</v>
          </cell>
        </row>
        <row r="145">
          <cell r="E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</row>
      </sheetData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</sheetNames>
    <sheetDataSet>
      <sheetData sheetId="0">
        <row r="8">
          <cell r="D8">
            <v>4418253</v>
          </cell>
        </row>
      </sheetData>
      <sheetData sheetId="1">
        <row r="9">
          <cell r="F9">
            <v>0</v>
          </cell>
        </row>
      </sheetData>
      <sheetData sheetId="2">
        <row r="9">
          <cell r="F9">
            <v>0</v>
          </cell>
          <cell r="H9">
            <v>314721</v>
          </cell>
          <cell r="I9">
            <v>0</v>
          </cell>
        </row>
        <row r="11">
          <cell r="E11">
            <v>0</v>
          </cell>
          <cell r="F11">
            <v>0</v>
          </cell>
          <cell r="H11">
            <v>5500</v>
          </cell>
          <cell r="I11">
            <v>9277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E12">
            <v>0</v>
          </cell>
          <cell r="F12">
            <v>0</v>
          </cell>
          <cell r="H12">
            <v>6878</v>
          </cell>
          <cell r="I12">
            <v>11150</v>
          </cell>
          <cell r="K12">
            <v>1025</v>
          </cell>
          <cell r="L12">
            <v>439</v>
          </cell>
          <cell r="N12">
            <v>0</v>
          </cell>
          <cell r="O12">
            <v>0</v>
          </cell>
        </row>
        <row r="13">
          <cell r="E13">
            <v>0</v>
          </cell>
          <cell r="F13">
            <v>0</v>
          </cell>
          <cell r="H13">
            <v>4580</v>
          </cell>
          <cell r="I13">
            <v>25314</v>
          </cell>
          <cell r="K13">
            <v>1025</v>
          </cell>
          <cell r="L13">
            <v>439</v>
          </cell>
          <cell r="N13">
            <v>6962</v>
          </cell>
          <cell r="O13">
            <v>180</v>
          </cell>
        </row>
        <row r="14">
          <cell r="E14">
            <v>0</v>
          </cell>
          <cell r="F14">
            <v>0</v>
          </cell>
          <cell r="H14">
            <v>2479</v>
          </cell>
          <cell r="I14">
            <v>15408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E15">
            <v>0</v>
          </cell>
          <cell r="F15">
            <v>0</v>
          </cell>
          <cell r="H15">
            <v>6229</v>
          </cell>
          <cell r="I15">
            <v>10181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E16">
            <v>0</v>
          </cell>
          <cell r="F16">
            <v>0</v>
          </cell>
          <cell r="H16">
            <v>28617</v>
          </cell>
          <cell r="I16">
            <v>94692</v>
          </cell>
          <cell r="K16">
            <v>1025</v>
          </cell>
          <cell r="L16">
            <v>439</v>
          </cell>
          <cell r="N16">
            <v>0</v>
          </cell>
          <cell r="O16">
            <v>196</v>
          </cell>
        </row>
        <row r="17">
          <cell r="E17">
            <v>0</v>
          </cell>
          <cell r="F17">
            <v>0</v>
          </cell>
          <cell r="H17">
            <v>7044</v>
          </cell>
          <cell r="I17">
            <v>39979</v>
          </cell>
          <cell r="K17">
            <v>1025</v>
          </cell>
          <cell r="L17">
            <v>439</v>
          </cell>
          <cell r="N17">
            <v>6002</v>
          </cell>
          <cell r="O17">
            <v>289</v>
          </cell>
        </row>
        <row r="18">
          <cell r="E18">
            <v>0</v>
          </cell>
          <cell r="F18">
            <v>0</v>
          </cell>
          <cell r="H18">
            <v>2618</v>
          </cell>
          <cell r="I18">
            <v>15776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E19">
            <v>0</v>
          </cell>
          <cell r="F19">
            <v>0</v>
          </cell>
          <cell r="H19">
            <v>4316</v>
          </cell>
          <cell r="I19">
            <v>16621</v>
          </cell>
          <cell r="K19">
            <v>1025</v>
          </cell>
          <cell r="L19">
            <v>439</v>
          </cell>
          <cell r="N19">
            <v>0</v>
          </cell>
          <cell r="O19">
            <v>0</v>
          </cell>
        </row>
        <row r="20">
          <cell r="E20">
            <v>0</v>
          </cell>
          <cell r="F20">
            <v>0</v>
          </cell>
          <cell r="H20">
            <v>8354</v>
          </cell>
          <cell r="I20">
            <v>17444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E21">
            <v>0</v>
          </cell>
          <cell r="F21">
            <v>0</v>
          </cell>
          <cell r="H21">
            <v>1926</v>
          </cell>
          <cell r="I21">
            <v>12740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H22">
            <v>9000</v>
          </cell>
          <cell r="I22">
            <v>28581</v>
          </cell>
          <cell r="K22">
            <v>1025</v>
          </cell>
          <cell r="L22">
            <v>439</v>
          </cell>
          <cell r="N22">
            <v>0</v>
          </cell>
          <cell r="O22">
            <v>0</v>
          </cell>
        </row>
        <row r="23"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E25">
            <v>0</v>
          </cell>
          <cell r="F25">
            <v>0</v>
          </cell>
          <cell r="H25">
            <v>3126</v>
          </cell>
          <cell r="I25">
            <v>10015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E26">
            <v>0</v>
          </cell>
          <cell r="F26">
            <v>0</v>
          </cell>
          <cell r="H26">
            <v>5000</v>
          </cell>
          <cell r="I26">
            <v>18534</v>
          </cell>
          <cell r="K26">
            <v>1025</v>
          </cell>
          <cell r="L26">
            <v>439</v>
          </cell>
          <cell r="N26">
            <v>0</v>
          </cell>
          <cell r="O26">
            <v>0</v>
          </cell>
        </row>
        <row r="27">
          <cell r="E27">
            <v>0</v>
          </cell>
          <cell r="F27">
            <v>0</v>
          </cell>
          <cell r="H27">
            <v>11000</v>
          </cell>
          <cell r="I27">
            <v>36322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E28">
            <v>0</v>
          </cell>
          <cell r="F28">
            <v>0</v>
          </cell>
          <cell r="H28">
            <v>20000</v>
          </cell>
          <cell r="I28">
            <v>38463</v>
          </cell>
          <cell r="K28">
            <v>1025</v>
          </cell>
          <cell r="L28">
            <v>439</v>
          </cell>
          <cell r="N28">
            <v>0</v>
          </cell>
          <cell r="O28">
            <v>283</v>
          </cell>
        </row>
        <row r="29">
          <cell r="E29">
            <v>0</v>
          </cell>
          <cell r="F29">
            <v>0</v>
          </cell>
          <cell r="H29">
            <v>2431</v>
          </cell>
          <cell r="I29">
            <v>7722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E30">
            <v>0</v>
          </cell>
          <cell r="F30">
            <v>0</v>
          </cell>
          <cell r="H30">
            <v>2761</v>
          </cell>
          <cell r="I30">
            <v>4696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E31">
            <v>0</v>
          </cell>
          <cell r="F31">
            <v>0</v>
          </cell>
          <cell r="H31">
            <v>5053</v>
          </cell>
          <cell r="I31">
            <v>42819</v>
          </cell>
          <cell r="K31">
            <v>1025</v>
          </cell>
          <cell r="L31">
            <v>439</v>
          </cell>
          <cell r="N31">
            <v>0</v>
          </cell>
          <cell r="O31">
            <v>0</v>
          </cell>
        </row>
        <row r="32">
          <cell r="E32">
            <v>0</v>
          </cell>
          <cell r="F32">
            <v>0</v>
          </cell>
          <cell r="H32">
            <v>12276</v>
          </cell>
          <cell r="I32">
            <v>42562</v>
          </cell>
          <cell r="K32">
            <v>1025</v>
          </cell>
          <cell r="L32">
            <v>439</v>
          </cell>
          <cell r="N32">
            <v>0</v>
          </cell>
          <cell r="O32">
            <v>204</v>
          </cell>
        </row>
        <row r="33">
          <cell r="E33">
            <v>0</v>
          </cell>
          <cell r="F33">
            <v>0</v>
          </cell>
          <cell r="H33">
            <v>8520</v>
          </cell>
          <cell r="I33">
            <v>7918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E36">
            <v>0</v>
          </cell>
          <cell r="F36">
            <v>0</v>
          </cell>
          <cell r="H36">
            <v>10000</v>
          </cell>
          <cell r="I36">
            <v>49573</v>
          </cell>
          <cell r="K36">
            <v>1025</v>
          </cell>
          <cell r="L36">
            <v>439</v>
          </cell>
          <cell r="N36">
            <v>0</v>
          </cell>
          <cell r="O36">
            <v>1375</v>
          </cell>
        </row>
        <row r="37">
          <cell r="E37">
            <v>0</v>
          </cell>
          <cell r="F37">
            <v>0</v>
          </cell>
          <cell r="H37">
            <v>9000</v>
          </cell>
          <cell r="I37">
            <v>61795</v>
          </cell>
          <cell r="K37">
            <v>2050</v>
          </cell>
          <cell r="L37">
            <v>878</v>
          </cell>
          <cell r="N37">
            <v>0</v>
          </cell>
          <cell r="O37">
            <v>1996</v>
          </cell>
        </row>
        <row r="38">
          <cell r="E38">
            <v>0</v>
          </cell>
          <cell r="F38">
            <v>0</v>
          </cell>
          <cell r="H38">
            <v>2500</v>
          </cell>
          <cell r="I38">
            <v>50000</v>
          </cell>
          <cell r="K38">
            <v>0</v>
          </cell>
          <cell r="L38">
            <v>0</v>
          </cell>
          <cell r="N38">
            <v>0</v>
          </cell>
          <cell r="O38">
            <v>2501</v>
          </cell>
        </row>
        <row r="39">
          <cell r="E39">
            <v>10320</v>
          </cell>
          <cell r="F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E41">
            <v>0</v>
          </cell>
          <cell r="F41">
            <v>0</v>
          </cell>
          <cell r="H41">
            <v>493</v>
          </cell>
          <cell r="I41">
            <v>5818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E42">
            <v>0</v>
          </cell>
          <cell r="F42">
            <v>0</v>
          </cell>
          <cell r="H42">
            <v>7044</v>
          </cell>
          <cell r="I42">
            <v>60615</v>
          </cell>
          <cell r="K42">
            <v>1025</v>
          </cell>
          <cell r="L42">
            <v>439</v>
          </cell>
          <cell r="N42">
            <v>0</v>
          </cell>
          <cell r="O42">
            <v>973</v>
          </cell>
        </row>
        <row r="43">
          <cell r="E43">
            <v>0</v>
          </cell>
          <cell r="F43">
            <v>0</v>
          </cell>
          <cell r="H43">
            <v>20000</v>
          </cell>
          <cell r="I43">
            <v>70710</v>
          </cell>
          <cell r="K43">
            <v>1025</v>
          </cell>
          <cell r="L43">
            <v>439</v>
          </cell>
          <cell r="N43">
            <v>0</v>
          </cell>
          <cell r="O43">
            <v>303</v>
          </cell>
        </row>
        <row r="44">
          <cell r="E44">
            <v>0</v>
          </cell>
          <cell r="F44">
            <v>0</v>
          </cell>
          <cell r="H44">
            <v>2200</v>
          </cell>
          <cell r="I44">
            <v>13665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E45">
            <v>0</v>
          </cell>
          <cell r="F45">
            <v>0</v>
          </cell>
          <cell r="H45">
            <v>12000</v>
          </cell>
          <cell r="I45">
            <v>44308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E46">
            <v>0</v>
          </cell>
          <cell r="F46">
            <v>0</v>
          </cell>
          <cell r="H46">
            <v>3876</v>
          </cell>
          <cell r="I46">
            <v>20916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E47">
            <v>0</v>
          </cell>
          <cell r="F47">
            <v>0</v>
          </cell>
          <cell r="H47">
            <v>10000</v>
          </cell>
          <cell r="I47">
            <v>69329</v>
          </cell>
          <cell r="K47">
            <v>1025</v>
          </cell>
          <cell r="L47">
            <v>439</v>
          </cell>
          <cell r="N47">
            <v>0</v>
          </cell>
          <cell r="O47">
            <v>0</v>
          </cell>
        </row>
        <row r="48">
          <cell r="E48">
            <v>0</v>
          </cell>
          <cell r="F48">
            <v>0</v>
          </cell>
          <cell r="H48">
            <v>3973</v>
          </cell>
          <cell r="I48">
            <v>16306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E49">
            <v>0</v>
          </cell>
          <cell r="F49">
            <v>0</v>
          </cell>
          <cell r="H49">
            <v>892</v>
          </cell>
          <cell r="I49">
            <v>11909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E50">
            <v>0</v>
          </cell>
          <cell r="F50">
            <v>0</v>
          </cell>
          <cell r="H50">
            <v>3212</v>
          </cell>
          <cell r="I50">
            <v>15879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E51">
            <v>0</v>
          </cell>
          <cell r="F51">
            <v>0</v>
          </cell>
          <cell r="H51">
            <v>2235</v>
          </cell>
          <cell r="I51">
            <v>8682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E52">
            <v>0</v>
          </cell>
          <cell r="F52">
            <v>0</v>
          </cell>
          <cell r="H52">
            <v>1870</v>
          </cell>
          <cell r="I52">
            <v>9209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E53">
            <v>0</v>
          </cell>
          <cell r="F53">
            <v>0</v>
          </cell>
          <cell r="H53">
            <v>7000</v>
          </cell>
          <cell r="I53">
            <v>77176</v>
          </cell>
          <cell r="K53">
            <v>1025</v>
          </cell>
          <cell r="L53">
            <v>439</v>
          </cell>
          <cell r="N53">
            <v>0</v>
          </cell>
          <cell r="O53">
            <v>1177</v>
          </cell>
        </row>
        <row r="54">
          <cell r="E54">
            <v>0</v>
          </cell>
          <cell r="F54">
            <v>0</v>
          </cell>
          <cell r="H54">
            <v>2724</v>
          </cell>
          <cell r="I54">
            <v>20252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E55">
            <v>0</v>
          </cell>
          <cell r="F55">
            <v>0</v>
          </cell>
          <cell r="H55">
            <v>5000</v>
          </cell>
          <cell r="I55">
            <v>69216</v>
          </cell>
          <cell r="K55">
            <v>1025</v>
          </cell>
          <cell r="L55">
            <v>439</v>
          </cell>
          <cell r="N55">
            <v>0</v>
          </cell>
          <cell r="O55">
            <v>57</v>
          </cell>
        </row>
        <row r="56">
          <cell r="E56">
            <v>0</v>
          </cell>
          <cell r="F56">
            <v>0</v>
          </cell>
          <cell r="H56">
            <v>2740</v>
          </cell>
          <cell r="I56">
            <v>12864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E57">
            <v>0</v>
          </cell>
          <cell r="F57">
            <v>0</v>
          </cell>
          <cell r="H57">
            <v>6282</v>
          </cell>
          <cell r="I57">
            <v>17901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E58">
            <v>0</v>
          </cell>
          <cell r="F58">
            <v>0</v>
          </cell>
          <cell r="H58">
            <v>7222</v>
          </cell>
          <cell r="I58">
            <v>32332</v>
          </cell>
          <cell r="K58">
            <v>1025</v>
          </cell>
          <cell r="L58">
            <v>439</v>
          </cell>
          <cell r="N58">
            <v>0</v>
          </cell>
          <cell r="O58">
            <v>0</v>
          </cell>
        </row>
        <row r="59">
          <cell r="E59">
            <v>0</v>
          </cell>
          <cell r="F59">
            <v>0</v>
          </cell>
          <cell r="H59">
            <v>1329</v>
          </cell>
          <cell r="I59">
            <v>8610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E60">
            <v>0</v>
          </cell>
          <cell r="F60">
            <v>0</v>
          </cell>
          <cell r="H60">
            <v>3227</v>
          </cell>
          <cell r="I60">
            <v>14221</v>
          </cell>
          <cell r="K60">
            <v>1025</v>
          </cell>
          <cell r="L60">
            <v>439</v>
          </cell>
          <cell r="N60">
            <v>0</v>
          </cell>
          <cell r="O60">
            <v>0</v>
          </cell>
        </row>
        <row r="61">
          <cell r="E61">
            <v>0</v>
          </cell>
          <cell r="F61">
            <v>0</v>
          </cell>
          <cell r="H61">
            <v>1887</v>
          </cell>
          <cell r="I61">
            <v>16475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E62">
            <v>0</v>
          </cell>
          <cell r="F62">
            <v>0</v>
          </cell>
          <cell r="H62">
            <v>19000</v>
          </cell>
          <cell r="I62">
            <v>98159</v>
          </cell>
          <cell r="K62">
            <v>1025</v>
          </cell>
          <cell r="L62">
            <v>439</v>
          </cell>
          <cell r="N62">
            <v>0</v>
          </cell>
          <cell r="O62">
            <v>1157</v>
          </cell>
        </row>
        <row r="63">
          <cell r="E63">
            <v>0</v>
          </cell>
          <cell r="F63">
            <v>0</v>
          </cell>
          <cell r="H63">
            <v>3000</v>
          </cell>
          <cell r="I63">
            <v>12331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E66">
            <v>0</v>
          </cell>
          <cell r="F66">
            <v>0</v>
          </cell>
          <cell r="H66">
            <v>2911</v>
          </cell>
          <cell r="I66">
            <v>44777</v>
          </cell>
          <cell r="K66">
            <v>0</v>
          </cell>
          <cell r="L66">
            <v>0</v>
          </cell>
          <cell r="N66">
            <v>0</v>
          </cell>
          <cell r="O66">
            <v>1734</v>
          </cell>
        </row>
        <row r="67">
          <cell r="E67">
            <v>0</v>
          </cell>
          <cell r="F67">
            <v>0</v>
          </cell>
          <cell r="H67">
            <v>1980</v>
          </cell>
          <cell r="I67">
            <v>40983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E68">
            <v>0</v>
          </cell>
          <cell r="F68">
            <v>0</v>
          </cell>
          <cell r="H68">
            <v>3708</v>
          </cell>
          <cell r="I68">
            <v>65519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E69">
            <v>0</v>
          </cell>
          <cell r="F69">
            <v>0</v>
          </cell>
          <cell r="H69">
            <v>4500</v>
          </cell>
          <cell r="I69">
            <v>68959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E70">
            <v>0</v>
          </cell>
          <cell r="F70">
            <v>0</v>
          </cell>
          <cell r="H70">
            <v>3135</v>
          </cell>
          <cell r="I70">
            <v>29870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E71">
            <v>26558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E72">
            <v>15383</v>
          </cell>
          <cell r="F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E73">
            <v>0</v>
          </cell>
          <cell r="F73">
            <v>0</v>
          </cell>
          <cell r="H73">
            <v>17156</v>
          </cell>
          <cell r="I73">
            <v>49721</v>
          </cell>
          <cell r="K73">
            <v>1025</v>
          </cell>
          <cell r="L73">
            <v>439</v>
          </cell>
          <cell r="N73">
            <v>0</v>
          </cell>
          <cell r="O73">
            <v>0</v>
          </cell>
        </row>
        <row r="74">
          <cell r="E74">
            <v>0</v>
          </cell>
          <cell r="F74">
            <v>0</v>
          </cell>
          <cell r="H74">
            <v>4966</v>
          </cell>
          <cell r="I74">
            <v>11249</v>
          </cell>
          <cell r="K74">
            <v>1025</v>
          </cell>
          <cell r="L74">
            <v>439</v>
          </cell>
          <cell r="N74">
            <v>6234</v>
          </cell>
          <cell r="O74">
            <v>387</v>
          </cell>
        </row>
        <row r="75">
          <cell r="E75">
            <v>0</v>
          </cell>
          <cell r="F75">
            <v>0</v>
          </cell>
          <cell r="H75">
            <v>18233</v>
          </cell>
          <cell r="I75">
            <v>51992</v>
          </cell>
          <cell r="K75">
            <v>1025</v>
          </cell>
          <cell r="L75">
            <v>439</v>
          </cell>
          <cell r="N75">
            <v>0</v>
          </cell>
          <cell r="O75">
            <v>0</v>
          </cell>
        </row>
        <row r="76">
          <cell r="E76">
            <v>1996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E77">
            <v>2982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E78">
            <v>3366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E79">
            <v>3170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E80">
            <v>8391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E81">
            <v>2374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E82">
            <v>2462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E83">
            <v>0</v>
          </cell>
          <cell r="F83">
            <v>0</v>
          </cell>
          <cell r="H83">
            <v>5000</v>
          </cell>
          <cell r="I83">
            <v>61166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E84">
            <v>0</v>
          </cell>
          <cell r="F84">
            <v>0</v>
          </cell>
          <cell r="H84">
            <v>19622</v>
          </cell>
          <cell r="I84">
            <v>72257</v>
          </cell>
          <cell r="K84">
            <v>3075</v>
          </cell>
          <cell r="L84">
            <v>1317</v>
          </cell>
          <cell r="N84">
            <v>0</v>
          </cell>
          <cell r="O84">
            <v>2803</v>
          </cell>
        </row>
        <row r="85">
          <cell r="E85">
            <v>0</v>
          </cell>
          <cell r="F85">
            <v>0</v>
          </cell>
          <cell r="H85">
            <v>13029</v>
          </cell>
          <cell r="I85">
            <v>42820</v>
          </cell>
          <cell r="K85">
            <v>1025</v>
          </cell>
          <cell r="L85">
            <v>439</v>
          </cell>
          <cell r="N85">
            <v>5017</v>
          </cell>
          <cell r="O85">
            <v>64</v>
          </cell>
        </row>
        <row r="86">
          <cell r="E86">
            <v>0</v>
          </cell>
          <cell r="F86">
            <v>0</v>
          </cell>
          <cell r="H86">
            <v>4430</v>
          </cell>
          <cell r="I86">
            <v>12418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E87">
            <v>0</v>
          </cell>
          <cell r="F87">
            <v>0</v>
          </cell>
          <cell r="H87">
            <v>19000</v>
          </cell>
          <cell r="I87">
            <v>58762</v>
          </cell>
          <cell r="K87">
            <v>2050</v>
          </cell>
          <cell r="L87">
            <v>878</v>
          </cell>
          <cell r="N87">
            <v>12740</v>
          </cell>
          <cell r="O87">
            <v>12641</v>
          </cell>
        </row>
        <row r="88">
          <cell r="E88">
            <v>0</v>
          </cell>
          <cell r="F88">
            <v>0</v>
          </cell>
          <cell r="H88">
            <v>1620</v>
          </cell>
          <cell r="I88">
            <v>36314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E89">
            <v>0</v>
          </cell>
          <cell r="F89">
            <v>0</v>
          </cell>
          <cell r="H89">
            <v>10428</v>
          </cell>
          <cell r="I89">
            <v>46148</v>
          </cell>
          <cell r="K89">
            <v>0</v>
          </cell>
          <cell r="L89">
            <v>0</v>
          </cell>
          <cell r="N89">
            <v>0</v>
          </cell>
          <cell r="O89">
            <v>3000</v>
          </cell>
        </row>
        <row r="90">
          <cell r="E90">
            <v>10116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E92">
            <v>0</v>
          </cell>
          <cell r="F92">
            <v>0</v>
          </cell>
          <cell r="H92">
            <v>1000</v>
          </cell>
          <cell r="I92">
            <v>7184</v>
          </cell>
          <cell r="K92">
            <v>0</v>
          </cell>
          <cell r="L92">
            <v>0</v>
          </cell>
          <cell r="N92">
            <v>0</v>
          </cell>
          <cell r="O92">
            <v>6536</v>
          </cell>
        </row>
        <row r="93">
          <cell r="F93">
            <v>0</v>
          </cell>
          <cell r="I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E94">
            <v>8400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E95">
            <v>0</v>
          </cell>
          <cell r="F95">
            <v>0</v>
          </cell>
          <cell r="H95">
            <v>872</v>
          </cell>
          <cell r="I95">
            <v>5893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E96">
            <v>0</v>
          </cell>
          <cell r="F96">
            <v>0</v>
          </cell>
          <cell r="H96">
            <v>3556</v>
          </cell>
          <cell r="I96">
            <v>13854</v>
          </cell>
          <cell r="K96">
            <v>1026</v>
          </cell>
          <cell r="L96">
            <v>439</v>
          </cell>
          <cell r="N96">
            <v>0</v>
          </cell>
          <cell r="O96">
            <v>0</v>
          </cell>
        </row>
        <row r="97">
          <cell r="E97">
            <v>0</v>
          </cell>
          <cell r="F97">
            <v>0</v>
          </cell>
          <cell r="H97">
            <v>2350</v>
          </cell>
          <cell r="I97">
            <v>15046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</row>
        <row r="98">
          <cell r="E98">
            <v>0</v>
          </cell>
          <cell r="F98">
            <v>0</v>
          </cell>
          <cell r="H98">
            <v>2061</v>
          </cell>
          <cell r="I98">
            <v>14364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</row>
        <row r="99">
          <cell r="E99">
            <v>0</v>
          </cell>
          <cell r="F99">
            <v>0</v>
          </cell>
          <cell r="H99">
            <v>5779</v>
          </cell>
          <cell r="I99">
            <v>49361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</row>
        <row r="100">
          <cell r="E100">
            <v>0</v>
          </cell>
          <cell r="F100">
            <v>0</v>
          </cell>
          <cell r="H100">
            <v>4159</v>
          </cell>
          <cell r="I100">
            <v>17572</v>
          </cell>
          <cell r="K100">
            <v>1025</v>
          </cell>
          <cell r="L100">
            <v>439</v>
          </cell>
          <cell r="N100">
            <v>0</v>
          </cell>
          <cell r="O100">
            <v>0</v>
          </cell>
        </row>
        <row r="101">
          <cell r="E101">
            <v>0</v>
          </cell>
          <cell r="F101">
            <v>0</v>
          </cell>
          <cell r="H101">
            <v>4620</v>
          </cell>
          <cell r="I101">
            <v>18310</v>
          </cell>
          <cell r="K101">
            <v>1025</v>
          </cell>
          <cell r="L101">
            <v>439</v>
          </cell>
          <cell r="N101">
            <v>0</v>
          </cell>
          <cell r="O101">
            <v>0</v>
          </cell>
        </row>
        <row r="102">
          <cell r="E102">
            <v>0</v>
          </cell>
          <cell r="F102">
            <v>0</v>
          </cell>
          <cell r="H102">
            <v>2895</v>
          </cell>
          <cell r="I102">
            <v>41151</v>
          </cell>
          <cell r="K102">
            <v>0</v>
          </cell>
          <cell r="L102">
            <v>0</v>
          </cell>
          <cell r="N102">
            <v>0</v>
          </cell>
          <cell r="O102">
            <v>35</v>
          </cell>
        </row>
        <row r="103">
          <cell r="E103">
            <v>0</v>
          </cell>
          <cell r="F103">
            <v>0</v>
          </cell>
          <cell r="H103">
            <v>13329</v>
          </cell>
          <cell r="I103">
            <v>33243</v>
          </cell>
          <cell r="K103">
            <v>0</v>
          </cell>
          <cell r="L103">
            <v>0</v>
          </cell>
          <cell r="N103">
            <v>0</v>
          </cell>
          <cell r="O103">
            <v>34</v>
          </cell>
        </row>
        <row r="104">
          <cell r="E104">
            <v>0</v>
          </cell>
          <cell r="F104">
            <v>0</v>
          </cell>
          <cell r="H104">
            <v>6226</v>
          </cell>
          <cell r="I104">
            <v>10003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E105">
            <v>0</v>
          </cell>
          <cell r="F105">
            <v>0</v>
          </cell>
          <cell r="H105">
            <v>2104</v>
          </cell>
          <cell r="I105">
            <v>12773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E106">
            <v>0</v>
          </cell>
          <cell r="F106">
            <v>0</v>
          </cell>
          <cell r="H106">
            <v>8003</v>
          </cell>
          <cell r="I106">
            <v>11331</v>
          </cell>
          <cell r="K106">
            <v>0</v>
          </cell>
          <cell r="L106">
            <v>0</v>
          </cell>
          <cell r="N106">
            <v>0</v>
          </cell>
          <cell r="O106">
            <v>403</v>
          </cell>
        </row>
        <row r="107">
          <cell r="E107">
            <v>0</v>
          </cell>
          <cell r="F107">
            <v>0</v>
          </cell>
          <cell r="H107">
            <v>5893</v>
          </cell>
          <cell r="I107">
            <v>13166</v>
          </cell>
          <cell r="K107">
            <v>1025</v>
          </cell>
          <cell r="L107">
            <v>439</v>
          </cell>
          <cell r="N107">
            <v>0</v>
          </cell>
          <cell r="O107">
            <v>150</v>
          </cell>
        </row>
        <row r="108">
          <cell r="E108">
            <v>0</v>
          </cell>
          <cell r="F108">
            <v>0</v>
          </cell>
          <cell r="H108">
            <v>6429</v>
          </cell>
          <cell r="I108">
            <v>12413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E109">
            <v>0</v>
          </cell>
          <cell r="F109">
            <v>0</v>
          </cell>
          <cell r="H109">
            <v>4220</v>
          </cell>
          <cell r="I109">
            <v>11395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E110">
            <v>0</v>
          </cell>
          <cell r="F110">
            <v>0</v>
          </cell>
          <cell r="H110">
            <v>6193</v>
          </cell>
          <cell r="I110">
            <v>26414</v>
          </cell>
          <cell r="K110">
            <v>0</v>
          </cell>
          <cell r="L110">
            <v>0</v>
          </cell>
          <cell r="N110">
            <v>0</v>
          </cell>
          <cell r="O110">
            <v>149</v>
          </cell>
        </row>
        <row r="111">
          <cell r="E111">
            <v>0</v>
          </cell>
          <cell r="F111">
            <v>0</v>
          </cell>
          <cell r="H111">
            <v>2038</v>
          </cell>
          <cell r="I111">
            <v>17284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</row>
        <row r="112">
          <cell r="E112">
            <v>5544</v>
          </cell>
          <cell r="F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</row>
        <row r="113"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</row>
        <row r="114">
          <cell r="E114">
            <v>1872</v>
          </cell>
          <cell r="F114">
            <v>0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</row>
        <row r="115">
          <cell r="E115">
            <v>0</v>
          </cell>
          <cell r="F115">
            <v>0</v>
          </cell>
          <cell r="H115">
            <v>0</v>
          </cell>
          <cell r="I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</row>
        <row r="116"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</row>
        <row r="117"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</row>
        <row r="119">
          <cell r="E119">
            <v>23328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</row>
        <row r="120"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</row>
        <row r="121">
          <cell r="E121">
            <v>100</v>
          </cell>
          <cell r="F121">
            <v>100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</row>
        <row r="122"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</row>
        <row r="123"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</row>
        <row r="124"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</row>
        <row r="125"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</row>
        <row r="126"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</row>
        <row r="127"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</row>
        <row r="128"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</row>
        <row r="129"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</row>
        <row r="130">
          <cell r="E130">
            <v>1980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</row>
        <row r="131"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E132">
            <v>8748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K134">
            <v>0</v>
          </cell>
          <cell r="L134">
            <v>0</v>
          </cell>
          <cell r="N134">
            <v>11035</v>
          </cell>
          <cell r="O134">
            <v>217115</v>
          </cell>
        </row>
        <row r="135"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130000</v>
          </cell>
        </row>
        <row r="136"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85000</v>
          </cell>
        </row>
        <row r="137"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114040</v>
          </cell>
        </row>
        <row r="138"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8000</v>
          </cell>
        </row>
        <row r="139">
          <cell r="E139">
            <v>9586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65356</v>
          </cell>
        </row>
        <row r="140">
          <cell r="E140">
            <v>22000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4000</v>
          </cell>
        </row>
        <row r="141"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78000</v>
          </cell>
        </row>
        <row r="142"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182</v>
          </cell>
        </row>
        <row r="143"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3075</v>
          </cell>
          <cell r="L143">
            <v>1317</v>
          </cell>
          <cell r="N143">
            <v>0</v>
          </cell>
          <cell r="O143">
            <v>53000</v>
          </cell>
        </row>
        <row r="144">
          <cell r="E144">
            <v>0</v>
          </cell>
          <cell r="F144">
            <v>0</v>
          </cell>
          <cell r="H144">
            <v>6667</v>
          </cell>
          <cell r="I144">
            <v>17709</v>
          </cell>
          <cell r="K144">
            <v>0</v>
          </cell>
          <cell r="L144">
            <v>0</v>
          </cell>
          <cell r="N144">
            <v>0</v>
          </cell>
          <cell r="O144">
            <v>1615</v>
          </cell>
        </row>
        <row r="145">
          <cell r="E145">
            <v>0</v>
          </cell>
          <cell r="F145">
            <v>0</v>
          </cell>
          <cell r="H145">
            <v>10000</v>
          </cell>
          <cell r="I145">
            <v>25000</v>
          </cell>
          <cell r="K145">
            <v>0</v>
          </cell>
          <cell r="L145">
            <v>0</v>
          </cell>
          <cell r="N145">
            <v>0</v>
          </cell>
          <cell r="O145">
            <v>5655</v>
          </cell>
        </row>
        <row r="146"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17901</v>
          </cell>
        </row>
        <row r="147"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11805</v>
          </cell>
        </row>
        <row r="148"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</row>
      </sheetData>
      <sheetData sheetId="3">
        <row r="11">
          <cell r="O11">
            <v>0</v>
          </cell>
        </row>
        <row r="12">
          <cell r="O12">
            <v>0</v>
          </cell>
        </row>
        <row r="13">
          <cell r="O13">
            <v>0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0</v>
          </cell>
        </row>
        <row r="19">
          <cell r="O19">
            <v>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3">
          <cell r="O23">
            <v>0</v>
          </cell>
        </row>
        <row r="24">
          <cell r="O24">
            <v>0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0</v>
          </cell>
        </row>
        <row r="35">
          <cell r="O35">
            <v>0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0</v>
          </cell>
        </row>
        <row r="56">
          <cell r="O56">
            <v>0</v>
          </cell>
        </row>
        <row r="57">
          <cell r="O57">
            <v>0</v>
          </cell>
        </row>
        <row r="58">
          <cell r="O58">
            <v>0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0</v>
          </cell>
        </row>
        <row r="80">
          <cell r="O80">
            <v>0</v>
          </cell>
        </row>
        <row r="81">
          <cell r="O81">
            <v>0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O97">
            <v>0</v>
          </cell>
        </row>
        <row r="98">
          <cell r="O98">
            <v>0</v>
          </cell>
        </row>
        <row r="99">
          <cell r="O99">
            <v>0</v>
          </cell>
        </row>
        <row r="100">
          <cell r="O100">
            <v>0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</sheetNames>
    <sheetDataSet>
      <sheetData sheetId="0">
        <row r="10">
          <cell r="E10">
            <v>0</v>
          </cell>
        </row>
      </sheetData>
      <sheetData sheetId="1">
        <row r="31">
          <cell r="G31">
            <v>-420</v>
          </cell>
        </row>
      </sheetData>
      <sheetData sheetId="2">
        <row r="10">
          <cell r="E10">
            <v>0</v>
          </cell>
          <cell r="G10">
            <v>1354</v>
          </cell>
          <cell r="H10">
            <v>2336</v>
          </cell>
        </row>
        <row r="11">
          <cell r="E11">
            <v>0</v>
          </cell>
          <cell r="G11">
            <v>927</v>
          </cell>
          <cell r="H11">
            <v>2260</v>
          </cell>
        </row>
        <row r="12">
          <cell r="E12">
            <v>0</v>
          </cell>
          <cell r="G12">
            <v>6267</v>
          </cell>
          <cell r="H12">
            <v>41309</v>
          </cell>
        </row>
        <row r="13">
          <cell r="E13">
            <v>0</v>
          </cell>
          <cell r="G13">
            <v>3137</v>
          </cell>
          <cell r="H13">
            <v>4886</v>
          </cell>
        </row>
        <row r="14">
          <cell r="E14">
            <v>0</v>
          </cell>
          <cell r="G14">
            <v>1386</v>
          </cell>
          <cell r="H14">
            <v>11688</v>
          </cell>
        </row>
        <row r="15">
          <cell r="E15">
            <v>0</v>
          </cell>
          <cell r="G15">
            <v>24193</v>
          </cell>
          <cell r="H15">
            <v>57890</v>
          </cell>
        </row>
        <row r="16">
          <cell r="E16">
            <v>0</v>
          </cell>
          <cell r="G16">
            <v>6672</v>
          </cell>
          <cell r="H16">
            <v>41171</v>
          </cell>
        </row>
        <row r="17">
          <cell r="E17">
            <v>0</v>
          </cell>
          <cell r="G17">
            <v>6855</v>
          </cell>
          <cell r="H17">
            <v>8485</v>
          </cell>
        </row>
        <row r="18">
          <cell r="E18">
            <v>0</v>
          </cell>
          <cell r="G18">
            <v>4046</v>
          </cell>
          <cell r="H18">
            <v>8262</v>
          </cell>
        </row>
        <row r="19">
          <cell r="E19">
            <v>0</v>
          </cell>
          <cell r="G19">
            <v>4772</v>
          </cell>
          <cell r="H19">
            <v>4043</v>
          </cell>
        </row>
        <row r="20">
          <cell r="E20">
            <v>0</v>
          </cell>
          <cell r="G20">
            <v>4456</v>
          </cell>
          <cell r="H20">
            <v>4751</v>
          </cell>
        </row>
        <row r="21">
          <cell r="E21">
            <v>0</v>
          </cell>
          <cell r="G21">
            <v>5080</v>
          </cell>
          <cell r="H21">
            <v>20534</v>
          </cell>
        </row>
        <row r="23">
          <cell r="E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G24">
            <v>1778</v>
          </cell>
          <cell r="H24">
            <v>29054</v>
          </cell>
        </row>
        <row r="25">
          <cell r="E25">
            <v>0</v>
          </cell>
          <cell r="G25">
            <v>1490</v>
          </cell>
          <cell r="H25">
            <v>33633</v>
          </cell>
        </row>
        <row r="26">
          <cell r="E26">
            <v>0</v>
          </cell>
          <cell r="G26">
            <v>10546</v>
          </cell>
          <cell r="H26">
            <v>29032</v>
          </cell>
        </row>
        <row r="27">
          <cell r="E27">
            <v>0</v>
          </cell>
          <cell r="G27">
            <v>20426</v>
          </cell>
          <cell r="H27">
            <v>39522</v>
          </cell>
        </row>
        <row r="28">
          <cell r="E28">
            <v>0</v>
          </cell>
          <cell r="G28">
            <v>3729</v>
          </cell>
          <cell r="H28">
            <v>6335</v>
          </cell>
        </row>
        <row r="29">
          <cell r="E29">
            <v>0</v>
          </cell>
          <cell r="G29">
            <v>2073</v>
          </cell>
          <cell r="H29">
            <v>12118</v>
          </cell>
        </row>
        <row r="30">
          <cell r="E30">
            <v>0</v>
          </cell>
          <cell r="G30">
            <v>19864</v>
          </cell>
          <cell r="H30">
            <v>22265</v>
          </cell>
        </row>
        <row r="31">
          <cell r="E31">
            <v>0</v>
          </cell>
          <cell r="G31">
            <v>4621</v>
          </cell>
          <cell r="H31">
            <v>28387</v>
          </cell>
        </row>
        <row r="32">
          <cell r="E32">
            <v>0</v>
          </cell>
          <cell r="G32">
            <v>1232</v>
          </cell>
          <cell r="H32">
            <v>8132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G35">
            <v>22019</v>
          </cell>
          <cell r="H35">
            <v>14582</v>
          </cell>
        </row>
        <row r="36">
          <cell r="E36">
            <v>0</v>
          </cell>
          <cell r="G36">
            <v>20129</v>
          </cell>
          <cell r="H36">
            <v>92421</v>
          </cell>
        </row>
        <row r="37">
          <cell r="E37">
            <v>0</v>
          </cell>
          <cell r="G37">
            <v>1405</v>
          </cell>
          <cell r="H37">
            <v>94536</v>
          </cell>
        </row>
        <row r="38">
          <cell r="E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G40">
            <v>134</v>
          </cell>
          <cell r="H40">
            <v>1070</v>
          </cell>
        </row>
        <row r="41">
          <cell r="E41">
            <v>0</v>
          </cell>
          <cell r="G41">
            <v>15429</v>
          </cell>
          <cell r="H41">
            <v>44154</v>
          </cell>
        </row>
        <row r="42">
          <cell r="E42">
            <v>0</v>
          </cell>
          <cell r="G42">
            <v>20169</v>
          </cell>
          <cell r="H42">
            <v>57606</v>
          </cell>
        </row>
        <row r="43">
          <cell r="E43">
            <v>0</v>
          </cell>
          <cell r="G43">
            <v>6018</v>
          </cell>
          <cell r="H43">
            <v>10466</v>
          </cell>
        </row>
        <row r="44">
          <cell r="E44">
            <v>0</v>
          </cell>
          <cell r="G44">
            <v>16598</v>
          </cell>
          <cell r="H44">
            <v>35532</v>
          </cell>
        </row>
        <row r="45">
          <cell r="E45">
            <v>0</v>
          </cell>
          <cell r="G45">
            <v>571</v>
          </cell>
          <cell r="H45">
            <v>8082</v>
          </cell>
        </row>
        <row r="46">
          <cell r="E46">
            <v>0</v>
          </cell>
          <cell r="G46">
            <v>6779</v>
          </cell>
          <cell r="H46">
            <v>38350</v>
          </cell>
        </row>
        <row r="47">
          <cell r="E47">
            <v>0</v>
          </cell>
          <cell r="G47">
            <v>2118</v>
          </cell>
          <cell r="H47">
            <v>21922</v>
          </cell>
        </row>
        <row r="48">
          <cell r="E48">
            <v>0</v>
          </cell>
          <cell r="G48">
            <v>234</v>
          </cell>
          <cell r="H48">
            <v>11244</v>
          </cell>
        </row>
        <row r="49">
          <cell r="E49">
            <v>0</v>
          </cell>
          <cell r="G49">
            <v>1622</v>
          </cell>
          <cell r="H49">
            <v>19109</v>
          </cell>
        </row>
        <row r="50">
          <cell r="E50">
            <v>0</v>
          </cell>
          <cell r="G50">
            <v>2188</v>
          </cell>
          <cell r="H50">
            <v>6621</v>
          </cell>
        </row>
        <row r="51">
          <cell r="E51">
            <v>0</v>
          </cell>
          <cell r="G51">
            <v>1855</v>
          </cell>
          <cell r="H51">
            <v>844</v>
          </cell>
        </row>
        <row r="52">
          <cell r="E52">
            <v>0</v>
          </cell>
          <cell r="G52">
            <v>22045</v>
          </cell>
          <cell r="H52">
            <v>46306</v>
          </cell>
        </row>
        <row r="53">
          <cell r="E53">
            <v>0</v>
          </cell>
          <cell r="G53">
            <v>3221</v>
          </cell>
          <cell r="H53">
            <v>5358</v>
          </cell>
        </row>
        <row r="54">
          <cell r="E54">
            <v>0</v>
          </cell>
          <cell r="G54">
            <v>14818</v>
          </cell>
          <cell r="H54">
            <v>33123</v>
          </cell>
        </row>
        <row r="55">
          <cell r="E55">
            <v>0</v>
          </cell>
          <cell r="G55">
            <v>4518</v>
          </cell>
          <cell r="H55">
            <v>10287</v>
          </cell>
        </row>
        <row r="56">
          <cell r="E56">
            <v>0</v>
          </cell>
          <cell r="G56">
            <v>3958</v>
          </cell>
          <cell r="H56">
            <v>16745</v>
          </cell>
        </row>
        <row r="57">
          <cell r="E57">
            <v>0</v>
          </cell>
          <cell r="G57">
            <v>567</v>
          </cell>
          <cell r="H57">
            <v>13133</v>
          </cell>
        </row>
        <row r="58">
          <cell r="E58">
            <v>0</v>
          </cell>
          <cell r="G58">
            <v>2529</v>
          </cell>
          <cell r="H58">
            <v>7584</v>
          </cell>
        </row>
        <row r="59">
          <cell r="E59">
            <v>0</v>
          </cell>
          <cell r="G59">
            <v>4328</v>
          </cell>
          <cell r="H59">
            <v>13492</v>
          </cell>
        </row>
        <row r="60">
          <cell r="E60">
            <v>0</v>
          </cell>
          <cell r="G60">
            <v>7502</v>
          </cell>
          <cell r="H60">
            <v>28456</v>
          </cell>
        </row>
        <row r="61">
          <cell r="E61">
            <v>0</v>
          </cell>
          <cell r="G61">
            <v>26971</v>
          </cell>
          <cell r="H61">
            <v>30358</v>
          </cell>
        </row>
        <row r="62">
          <cell r="E62">
            <v>0</v>
          </cell>
          <cell r="G62">
            <v>5574</v>
          </cell>
          <cell r="H62">
            <v>12720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G65">
            <v>6320</v>
          </cell>
          <cell r="H65">
            <v>76133</v>
          </cell>
        </row>
        <row r="66">
          <cell r="E66">
            <v>0</v>
          </cell>
          <cell r="G66">
            <v>2433</v>
          </cell>
          <cell r="H66">
            <v>56903</v>
          </cell>
        </row>
        <row r="67">
          <cell r="E67">
            <v>0</v>
          </cell>
          <cell r="G67">
            <v>2337</v>
          </cell>
          <cell r="H67">
            <v>63290</v>
          </cell>
        </row>
        <row r="68">
          <cell r="E68">
            <v>0</v>
          </cell>
          <cell r="G68">
            <v>17327</v>
          </cell>
          <cell r="H68">
            <v>85796</v>
          </cell>
        </row>
        <row r="69">
          <cell r="E69">
            <v>0</v>
          </cell>
          <cell r="G69">
            <v>2560</v>
          </cell>
          <cell r="H69">
            <v>32201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G72">
            <v>4471</v>
          </cell>
          <cell r="H72">
            <v>6032</v>
          </cell>
        </row>
        <row r="73">
          <cell r="E73">
            <v>0</v>
          </cell>
          <cell r="G73">
            <v>2603</v>
          </cell>
          <cell r="H73">
            <v>787</v>
          </cell>
        </row>
        <row r="74">
          <cell r="E74">
            <v>0</v>
          </cell>
          <cell r="G74">
            <v>7205</v>
          </cell>
          <cell r="H74">
            <v>1310</v>
          </cell>
        </row>
        <row r="75">
          <cell r="E75">
            <v>300</v>
          </cell>
          <cell r="G75">
            <v>0</v>
          </cell>
          <cell r="H75">
            <v>0</v>
          </cell>
        </row>
        <row r="76">
          <cell r="E76">
            <v>100</v>
          </cell>
          <cell r="G76">
            <v>0</v>
          </cell>
          <cell r="H76">
            <v>0</v>
          </cell>
        </row>
        <row r="77">
          <cell r="E77">
            <v>100</v>
          </cell>
          <cell r="G77">
            <v>0</v>
          </cell>
          <cell r="H77">
            <v>0</v>
          </cell>
        </row>
        <row r="78">
          <cell r="E78">
            <v>290</v>
          </cell>
          <cell r="G78">
            <v>0</v>
          </cell>
          <cell r="H78">
            <v>0</v>
          </cell>
        </row>
        <row r="79">
          <cell r="E79">
            <v>1600</v>
          </cell>
          <cell r="G79">
            <v>0</v>
          </cell>
          <cell r="H79">
            <v>0</v>
          </cell>
        </row>
        <row r="80">
          <cell r="E80">
            <v>150</v>
          </cell>
          <cell r="G80">
            <v>0</v>
          </cell>
          <cell r="H80">
            <v>0</v>
          </cell>
        </row>
        <row r="81">
          <cell r="E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G82">
            <v>18104</v>
          </cell>
          <cell r="H82">
            <v>65057</v>
          </cell>
        </row>
        <row r="83">
          <cell r="E83">
            <v>0</v>
          </cell>
          <cell r="G83">
            <v>5801</v>
          </cell>
          <cell r="H83">
            <v>31659</v>
          </cell>
        </row>
        <row r="84">
          <cell r="E84">
            <v>0</v>
          </cell>
          <cell r="G84">
            <v>4727</v>
          </cell>
          <cell r="H84">
            <v>9054</v>
          </cell>
        </row>
        <row r="85">
          <cell r="E85">
            <v>0</v>
          </cell>
          <cell r="G85">
            <v>325</v>
          </cell>
          <cell r="H85">
            <v>1131</v>
          </cell>
        </row>
        <row r="86">
          <cell r="E86">
            <v>0</v>
          </cell>
          <cell r="G86">
            <v>14360</v>
          </cell>
          <cell r="H86">
            <v>18156</v>
          </cell>
        </row>
        <row r="87">
          <cell r="E87">
            <v>0</v>
          </cell>
          <cell r="G87">
            <v>2525</v>
          </cell>
          <cell r="H87">
            <v>55897</v>
          </cell>
        </row>
        <row r="88">
          <cell r="E88">
            <v>0</v>
          </cell>
          <cell r="G88">
            <v>7220</v>
          </cell>
          <cell r="H88">
            <v>10907</v>
          </cell>
        </row>
        <row r="89">
          <cell r="E89">
            <v>20438</v>
          </cell>
          <cell r="G89">
            <v>0</v>
          </cell>
          <cell r="H89">
            <v>0</v>
          </cell>
        </row>
        <row r="90">
          <cell r="E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G91">
            <v>0</v>
          </cell>
          <cell r="H91">
            <v>1475</v>
          </cell>
        </row>
        <row r="92">
          <cell r="E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G94">
            <v>126</v>
          </cell>
          <cell r="H94">
            <v>2873</v>
          </cell>
        </row>
        <row r="95">
          <cell r="E95">
            <v>0</v>
          </cell>
          <cell r="G95">
            <v>147</v>
          </cell>
          <cell r="H95">
            <v>3881</v>
          </cell>
        </row>
        <row r="96">
          <cell r="E96">
            <v>0</v>
          </cell>
          <cell r="G96">
            <v>3385</v>
          </cell>
          <cell r="H96">
            <v>7557</v>
          </cell>
        </row>
        <row r="97">
          <cell r="E97">
            <v>0</v>
          </cell>
          <cell r="G97">
            <v>1360</v>
          </cell>
          <cell r="H97">
            <v>8190</v>
          </cell>
        </row>
        <row r="98">
          <cell r="E98">
            <v>0</v>
          </cell>
          <cell r="G98">
            <v>7702</v>
          </cell>
          <cell r="H98">
            <v>27060</v>
          </cell>
        </row>
        <row r="99">
          <cell r="E99">
            <v>0</v>
          </cell>
          <cell r="G99">
            <v>1227</v>
          </cell>
          <cell r="H99">
            <v>11396</v>
          </cell>
        </row>
        <row r="100">
          <cell r="E100">
            <v>0</v>
          </cell>
          <cell r="G100">
            <v>6542</v>
          </cell>
          <cell r="H100">
            <v>1245</v>
          </cell>
        </row>
        <row r="101">
          <cell r="E101">
            <v>0</v>
          </cell>
          <cell r="G101">
            <v>4054</v>
          </cell>
          <cell r="H101">
            <v>28896</v>
          </cell>
        </row>
        <row r="102">
          <cell r="E102">
            <v>0</v>
          </cell>
          <cell r="G102">
            <v>12021</v>
          </cell>
          <cell r="H102">
            <v>9704</v>
          </cell>
        </row>
        <row r="103">
          <cell r="E103">
            <v>0</v>
          </cell>
          <cell r="G103">
            <v>1024</v>
          </cell>
          <cell r="H103">
            <v>10578</v>
          </cell>
        </row>
        <row r="104">
          <cell r="E104">
            <v>0</v>
          </cell>
          <cell r="G104">
            <v>5751</v>
          </cell>
          <cell r="H104">
            <v>15450</v>
          </cell>
        </row>
        <row r="105">
          <cell r="E105">
            <v>0</v>
          </cell>
          <cell r="G105">
            <v>2186</v>
          </cell>
          <cell r="H105">
            <v>19514</v>
          </cell>
        </row>
        <row r="106">
          <cell r="E106">
            <v>0</v>
          </cell>
          <cell r="G106">
            <v>3897</v>
          </cell>
          <cell r="H106">
            <v>17212</v>
          </cell>
        </row>
        <row r="107">
          <cell r="E107">
            <v>0</v>
          </cell>
          <cell r="G107">
            <v>5177</v>
          </cell>
          <cell r="H107">
            <v>9110</v>
          </cell>
        </row>
        <row r="108">
          <cell r="E108">
            <v>0</v>
          </cell>
          <cell r="G108">
            <v>3051</v>
          </cell>
          <cell r="H108">
            <v>21636</v>
          </cell>
        </row>
        <row r="109">
          <cell r="E109">
            <v>0</v>
          </cell>
          <cell r="G109">
            <v>8551</v>
          </cell>
          <cell r="H109">
            <v>10985</v>
          </cell>
        </row>
        <row r="110">
          <cell r="E110">
            <v>0</v>
          </cell>
          <cell r="G110">
            <v>2057</v>
          </cell>
          <cell r="H110">
            <v>2995</v>
          </cell>
        </row>
        <row r="111">
          <cell r="E111">
            <v>0</v>
          </cell>
          <cell r="G111">
            <v>0</v>
          </cell>
          <cell r="H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</row>
        <row r="113">
          <cell r="E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</row>
        <row r="138">
          <cell r="E138">
            <v>11680</v>
          </cell>
          <cell r="G138">
            <v>0</v>
          </cell>
          <cell r="H138">
            <v>0</v>
          </cell>
        </row>
        <row r="139">
          <cell r="E139">
            <v>22115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G143">
            <v>3837</v>
          </cell>
          <cell r="H143">
            <v>4277</v>
          </cell>
        </row>
        <row r="144">
          <cell r="E144">
            <v>0</v>
          </cell>
          <cell r="G144">
            <v>20528</v>
          </cell>
          <cell r="H144">
            <v>74702</v>
          </cell>
        </row>
        <row r="145">
          <cell r="E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Н центр.исслед.Пр.19-21"/>
      <sheetName val="Измен.Прот.3-22"/>
      <sheetName val="ДВН центр.исслед.Пр.3-22"/>
    </sheetNames>
    <sheetDataSet>
      <sheetData sheetId="0">
        <row r="10">
          <cell r="D10">
            <v>15142</v>
          </cell>
        </row>
        <row r="11">
          <cell r="D11">
            <v>47735</v>
          </cell>
        </row>
        <row r="12">
          <cell r="D12">
            <v>21443</v>
          </cell>
        </row>
        <row r="13">
          <cell r="D13">
            <v>67705</v>
          </cell>
        </row>
        <row r="14">
          <cell r="D14">
            <v>59626</v>
          </cell>
        </row>
      </sheetData>
      <sheetData sheetId="1">
        <row r="11">
          <cell r="D11">
            <v>-4693</v>
          </cell>
        </row>
        <row r="13">
          <cell r="D13">
            <v>-2099</v>
          </cell>
        </row>
        <row r="15">
          <cell r="D15">
            <v>2099</v>
          </cell>
        </row>
        <row r="16">
          <cell r="D16">
            <v>4693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A08AC-17B7-447B-9441-F50AD4985ABB}">
  <sheetPr>
    <tabColor theme="9" tint="0.59999389629810485"/>
  </sheetPr>
  <dimension ref="A1:L137"/>
  <sheetViews>
    <sheetView zoomScale="90" zoomScaleNormal="90" workbookViewId="0">
      <pane xSplit="4" ySplit="4" topLeftCell="F102" activePane="bottomRight" state="frozen"/>
      <selection activeCell="L62" sqref="L62"/>
      <selection pane="topRight" activeCell="L62" sqref="L62"/>
      <selection pane="bottomLeft" activeCell="L62" sqref="L62"/>
      <selection pane="bottomRight" activeCell="I136" sqref="I136"/>
    </sheetView>
  </sheetViews>
  <sheetFormatPr defaultRowHeight="12.75" x14ac:dyDescent="0.2"/>
  <cols>
    <col min="1" max="1" width="8.42578125" style="747" customWidth="1"/>
    <col min="2" max="2" width="11.5703125" style="747" customWidth="1"/>
    <col min="3" max="3" width="35.7109375" style="747" customWidth="1"/>
    <col min="4" max="4" width="9.140625" style="747" customWidth="1"/>
    <col min="5" max="5" width="11.5703125" style="747" customWidth="1"/>
    <col min="6" max="6" width="11.85546875" style="747" customWidth="1"/>
    <col min="7" max="7" width="13.42578125" style="747" customWidth="1"/>
    <col min="8" max="8" width="11.7109375" style="747" customWidth="1"/>
    <col min="9" max="9" width="19.140625" style="747" customWidth="1"/>
    <col min="10" max="10" width="8.140625" style="747" customWidth="1"/>
    <col min="11" max="11" width="12.140625" style="747" customWidth="1"/>
    <col min="12" max="12" width="11.140625" style="747" customWidth="1"/>
    <col min="13" max="16384" width="9.140625" style="747"/>
  </cols>
  <sheetData>
    <row r="1" spans="1:12" ht="20.25" customHeight="1" x14ac:dyDescent="0.2">
      <c r="A1" s="831" t="s">
        <v>448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</row>
    <row r="2" spans="1:12" ht="20.25" customHeight="1" x14ac:dyDescent="0.2">
      <c r="A2" s="832" t="s">
        <v>449</v>
      </c>
      <c r="B2" s="833" t="s">
        <v>106</v>
      </c>
      <c r="C2" s="833" t="s">
        <v>450</v>
      </c>
      <c r="D2" s="834" t="s">
        <v>451</v>
      </c>
      <c r="E2" s="835" t="s">
        <v>452</v>
      </c>
      <c r="F2" s="835" t="s">
        <v>164</v>
      </c>
      <c r="G2" s="835"/>
      <c r="H2" s="835"/>
      <c r="I2" s="835"/>
      <c r="J2" s="835" t="s">
        <v>453</v>
      </c>
      <c r="K2" s="750" t="s">
        <v>164</v>
      </c>
      <c r="L2" s="835" t="s">
        <v>454</v>
      </c>
    </row>
    <row r="3" spans="1:12" ht="22.5" customHeight="1" x14ac:dyDescent="0.2">
      <c r="A3" s="832"/>
      <c r="B3" s="833"/>
      <c r="C3" s="833"/>
      <c r="D3" s="834"/>
      <c r="E3" s="835"/>
      <c r="F3" s="835" t="s">
        <v>455</v>
      </c>
      <c r="G3" s="835" t="s">
        <v>456</v>
      </c>
      <c r="H3" s="836" t="s">
        <v>2337</v>
      </c>
      <c r="I3" s="835" t="s">
        <v>457</v>
      </c>
      <c r="J3" s="835"/>
      <c r="K3" s="835" t="s">
        <v>458</v>
      </c>
      <c r="L3" s="835"/>
    </row>
    <row r="4" spans="1:12" ht="48.75" customHeight="1" x14ac:dyDescent="0.2">
      <c r="A4" s="832"/>
      <c r="B4" s="833"/>
      <c r="C4" s="833"/>
      <c r="D4" s="834"/>
      <c r="E4" s="835"/>
      <c r="F4" s="835"/>
      <c r="G4" s="835"/>
      <c r="H4" s="837"/>
      <c r="I4" s="835"/>
      <c r="J4" s="835"/>
      <c r="K4" s="835"/>
      <c r="L4" s="835"/>
    </row>
    <row r="5" spans="1:12" x14ac:dyDescent="0.2">
      <c r="A5" s="752">
        <v>1</v>
      </c>
      <c r="B5" s="753" t="s">
        <v>115</v>
      </c>
      <c r="C5" s="754" t="s">
        <v>26</v>
      </c>
      <c r="D5" s="755" t="s">
        <v>459</v>
      </c>
      <c r="E5" s="759">
        <v>2801</v>
      </c>
      <c r="F5" s="759">
        <v>0</v>
      </c>
      <c r="G5" s="759">
        <v>0</v>
      </c>
      <c r="H5" s="759">
        <v>0</v>
      </c>
      <c r="I5" s="759">
        <v>2801</v>
      </c>
      <c r="J5" s="763"/>
      <c r="K5" s="763"/>
      <c r="L5" s="759">
        <v>2801</v>
      </c>
    </row>
    <row r="6" spans="1:12" ht="11.25" customHeight="1" x14ac:dyDescent="0.2">
      <c r="A6" s="752">
        <v>2</v>
      </c>
      <c r="B6" s="757" t="s">
        <v>95</v>
      </c>
      <c r="C6" s="754" t="s">
        <v>27</v>
      </c>
      <c r="D6" s="755" t="s">
        <v>459</v>
      </c>
      <c r="E6" s="759">
        <v>1859</v>
      </c>
      <c r="F6" s="759">
        <v>0</v>
      </c>
      <c r="G6" s="759">
        <v>0</v>
      </c>
      <c r="H6" s="759">
        <v>0</v>
      </c>
      <c r="I6" s="759">
        <v>1859</v>
      </c>
      <c r="J6" s="763"/>
      <c r="K6" s="763"/>
      <c r="L6" s="759">
        <v>1859</v>
      </c>
    </row>
    <row r="7" spans="1:12" x14ac:dyDescent="0.2">
      <c r="A7" s="752">
        <v>3</v>
      </c>
      <c r="B7" s="753" t="s">
        <v>116</v>
      </c>
      <c r="C7" s="754" t="s">
        <v>28</v>
      </c>
      <c r="D7" s="755" t="s">
        <v>459</v>
      </c>
      <c r="E7" s="759">
        <v>3983</v>
      </c>
      <c r="F7" s="759">
        <v>0</v>
      </c>
      <c r="G7" s="759">
        <v>0</v>
      </c>
      <c r="H7" s="759">
        <v>0</v>
      </c>
      <c r="I7" s="759">
        <v>3983</v>
      </c>
      <c r="J7" s="763"/>
      <c r="K7" s="763"/>
      <c r="L7" s="759">
        <v>3983</v>
      </c>
    </row>
    <row r="8" spans="1:12" x14ac:dyDescent="0.2">
      <c r="A8" s="752">
        <v>4</v>
      </c>
      <c r="B8" s="758" t="s">
        <v>69</v>
      </c>
      <c r="C8" s="754" t="s">
        <v>29</v>
      </c>
      <c r="D8" s="755" t="s">
        <v>459</v>
      </c>
      <c r="E8" s="759">
        <v>2184</v>
      </c>
      <c r="F8" s="759">
        <v>0</v>
      </c>
      <c r="G8" s="759">
        <v>0</v>
      </c>
      <c r="H8" s="759">
        <v>0</v>
      </c>
      <c r="I8" s="759">
        <v>2184</v>
      </c>
      <c r="J8" s="763"/>
      <c r="K8" s="763"/>
      <c r="L8" s="759">
        <v>2184</v>
      </c>
    </row>
    <row r="9" spans="1:12" x14ac:dyDescent="0.2">
      <c r="A9" s="752">
        <v>5</v>
      </c>
      <c r="B9" s="753" t="s">
        <v>117</v>
      </c>
      <c r="C9" s="754" t="s">
        <v>24</v>
      </c>
      <c r="D9" s="755" t="s">
        <v>459</v>
      </c>
      <c r="E9" s="759">
        <v>6158</v>
      </c>
      <c r="F9" s="759">
        <v>0</v>
      </c>
      <c r="G9" s="759">
        <v>0</v>
      </c>
      <c r="H9" s="759">
        <v>0</v>
      </c>
      <c r="I9" s="759">
        <v>6158</v>
      </c>
      <c r="J9" s="763"/>
      <c r="K9" s="763"/>
      <c r="L9" s="759">
        <v>6158</v>
      </c>
    </row>
    <row r="10" spans="1:12" x14ac:dyDescent="0.2">
      <c r="A10" s="752">
        <v>6</v>
      </c>
      <c r="B10" s="758" t="s">
        <v>132</v>
      </c>
      <c r="C10" s="754" t="s">
        <v>30</v>
      </c>
      <c r="D10" s="755" t="s">
        <v>459</v>
      </c>
      <c r="E10" s="759">
        <v>2726</v>
      </c>
      <c r="F10" s="759">
        <v>1</v>
      </c>
      <c r="G10" s="759">
        <v>0</v>
      </c>
      <c r="H10" s="759">
        <v>0</v>
      </c>
      <c r="I10" s="759">
        <v>2725</v>
      </c>
      <c r="J10" s="763"/>
      <c r="K10" s="763"/>
      <c r="L10" s="759">
        <v>2726</v>
      </c>
    </row>
    <row r="11" spans="1:12" s="749" customFormat="1" x14ac:dyDescent="0.2">
      <c r="A11" s="760">
        <v>7</v>
      </c>
      <c r="B11" s="144" t="s">
        <v>70</v>
      </c>
      <c r="C11" s="761" t="s">
        <v>31</v>
      </c>
      <c r="D11" s="762" t="s">
        <v>459</v>
      </c>
      <c r="E11" s="759">
        <v>1780</v>
      </c>
      <c r="F11" s="759">
        <v>6</v>
      </c>
      <c r="G11" s="759">
        <v>0</v>
      </c>
      <c r="H11" s="759">
        <v>0</v>
      </c>
      <c r="I11" s="759">
        <v>1774</v>
      </c>
      <c r="J11" s="763"/>
      <c r="K11" s="763"/>
      <c r="L11" s="759">
        <v>1780</v>
      </c>
    </row>
    <row r="12" spans="1:12" x14ac:dyDescent="0.2">
      <c r="A12" s="752">
        <v>8</v>
      </c>
      <c r="B12" s="753" t="s">
        <v>138</v>
      </c>
      <c r="C12" s="754" t="s">
        <v>32</v>
      </c>
      <c r="D12" s="755" t="s">
        <v>459</v>
      </c>
      <c r="E12" s="759">
        <v>2100</v>
      </c>
      <c r="F12" s="759">
        <v>0</v>
      </c>
      <c r="G12" s="759">
        <v>0</v>
      </c>
      <c r="H12" s="759">
        <v>0</v>
      </c>
      <c r="I12" s="759">
        <v>2100</v>
      </c>
      <c r="J12" s="763"/>
      <c r="K12" s="763"/>
      <c r="L12" s="759">
        <v>2100</v>
      </c>
    </row>
    <row r="13" spans="1:12" ht="12" customHeight="1" x14ac:dyDescent="0.2">
      <c r="A13" s="752">
        <v>9</v>
      </c>
      <c r="B13" s="764" t="s">
        <v>134</v>
      </c>
      <c r="C13" s="754" t="s">
        <v>33</v>
      </c>
      <c r="D13" s="755" t="s">
        <v>459</v>
      </c>
      <c r="E13" s="759">
        <v>2078</v>
      </c>
      <c r="F13" s="759">
        <v>0</v>
      </c>
      <c r="G13" s="759">
        <v>0</v>
      </c>
      <c r="H13" s="759">
        <v>0</v>
      </c>
      <c r="I13" s="759">
        <v>2078</v>
      </c>
      <c r="J13" s="763"/>
      <c r="K13" s="763"/>
      <c r="L13" s="759">
        <v>2078</v>
      </c>
    </row>
    <row r="14" spans="1:12" x14ac:dyDescent="0.2">
      <c r="A14" s="752">
        <v>10</v>
      </c>
      <c r="B14" s="753" t="s">
        <v>96</v>
      </c>
      <c r="C14" s="754" t="s">
        <v>18</v>
      </c>
      <c r="D14" s="755" t="s">
        <v>459</v>
      </c>
      <c r="E14" s="759">
        <v>5032</v>
      </c>
      <c r="F14" s="759">
        <v>0</v>
      </c>
      <c r="G14" s="759">
        <v>0</v>
      </c>
      <c r="H14" s="759">
        <v>0</v>
      </c>
      <c r="I14" s="759">
        <v>5032</v>
      </c>
      <c r="J14" s="763"/>
      <c r="K14" s="763"/>
      <c r="L14" s="759">
        <v>5032</v>
      </c>
    </row>
    <row r="15" spans="1:12" x14ac:dyDescent="0.2">
      <c r="A15" s="752">
        <v>11</v>
      </c>
      <c r="B15" s="757" t="s">
        <v>139</v>
      </c>
      <c r="C15" s="754" t="s">
        <v>19</v>
      </c>
      <c r="D15" s="755" t="s">
        <v>459</v>
      </c>
      <c r="E15" s="759">
        <v>2491</v>
      </c>
      <c r="F15" s="759">
        <v>0</v>
      </c>
      <c r="G15" s="759">
        <v>0</v>
      </c>
      <c r="H15" s="759">
        <v>0</v>
      </c>
      <c r="I15" s="759">
        <v>2491</v>
      </c>
      <c r="J15" s="763"/>
      <c r="K15" s="763"/>
      <c r="L15" s="759">
        <v>2491</v>
      </c>
    </row>
    <row r="16" spans="1:12" x14ac:dyDescent="0.2">
      <c r="A16" s="752">
        <v>12</v>
      </c>
      <c r="B16" s="757" t="s">
        <v>97</v>
      </c>
      <c r="C16" s="754" t="s">
        <v>34</v>
      </c>
      <c r="D16" s="755" t="s">
        <v>459</v>
      </c>
      <c r="E16" s="759">
        <v>3312</v>
      </c>
      <c r="F16" s="759">
        <v>1</v>
      </c>
      <c r="G16" s="759">
        <v>0</v>
      </c>
      <c r="H16" s="759">
        <v>0</v>
      </c>
      <c r="I16" s="759">
        <v>3311</v>
      </c>
      <c r="J16" s="763"/>
      <c r="K16" s="763"/>
      <c r="L16" s="759">
        <v>3312</v>
      </c>
    </row>
    <row r="17" spans="1:12" x14ac:dyDescent="0.2">
      <c r="A17" s="752">
        <v>13</v>
      </c>
      <c r="B17" s="758" t="s">
        <v>72</v>
      </c>
      <c r="C17" s="754" t="s">
        <v>35</v>
      </c>
      <c r="D17" s="755" t="s">
        <v>459</v>
      </c>
      <c r="E17" s="759">
        <v>1969</v>
      </c>
      <c r="F17" s="759">
        <v>0</v>
      </c>
      <c r="G17" s="759">
        <v>0</v>
      </c>
      <c r="H17" s="759">
        <v>0</v>
      </c>
      <c r="I17" s="759">
        <v>1969</v>
      </c>
      <c r="J17" s="763"/>
      <c r="K17" s="763"/>
      <c r="L17" s="759">
        <v>1969</v>
      </c>
    </row>
    <row r="18" spans="1:12" x14ac:dyDescent="0.2">
      <c r="A18" s="752">
        <v>14</v>
      </c>
      <c r="B18" s="758" t="s">
        <v>118</v>
      </c>
      <c r="C18" s="754" t="s">
        <v>36</v>
      </c>
      <c r="D18" s="755" t="s">
        <v>459</v>
      </c>
      <c r="E18" s="759">
        <v>1601</v>
      </c>
      <c r="F18" s="759">
        <v>0</v>
      </c>
      <c r="G18" s="759">
        <v>0</v>
      </c>
      <c r="H18" s="759">
        <v>0</v>
      </c>
      <c r="I18" s="759">
        <v>1601</v>
      </c>
      <c r="J18" s="763"/>
      <c r="K18" s="763"/>
      <c r="L18" s="759">
        <v>1601</v>
      </c>
    </row>
    <row r="19" spans="1:12" x14ac:dyDescent="0.2">
      <c r="A19" s="752">
        <v>15</v>
      </c>
      <c r="B19" s="758" t="s">
        <v>108</v>
      </c>
      <c r="C19" s="754" t="s">
        <v>37</v>
      </c>
      <c r="D19" s="755" t="s">
        <v>459</v>
      </c>
      <c r="E19" s="759">
        <v>2373</v>
      </c>
      <c r="F19" s="759">
        <v>0</v>
      </c>
      <c r="G19" s="759">
        <v>0</v>
      </c>
      <c r="H19" s="759">
        <v>0</v>
      </c>
      <c r="I19" s="759">
        <v>2373</v>
      </c>
      <c r="J19" s="763"/>
      <c r="K19" s="763"/>
      <c r="L19" s="759">
        <v>2373</v>
      </c>
    </row>
    <row r="20" spans="1:12" x14ac:dyDescent="0.2">
      <c r="A20" s="752">
        <v>16</v>
      </c>
      <c r="B20" s="753" t="s">
        <v>89</v>
      </c>
      <c r="C20" s="754" t="s">
        <v>38</v>
      </c>
      <c r="D20" s="755" t="s">
        <v>459</v>
      </c>
      <c r="E20" s="759">
        <v>3370</v>
      </c>
      <c r="F20" s="759">
        <v>1</v>
      </c>
      <c r="G20" s="759">
        <v>0</v>
      </c>
      <c r="H20" s="759">
        <v>0</v>
      </c>
      <c r="I20" s="759">
        <v>3369</v>
      </c>
      <c r="J20" s="763"/>
      <c r="K20" s="763"/>
      <c r="L20" s="759">
        <v>3370</v>
      </c>
    </row>
    <row r="21" spans="1:12" x14ac:dyDescent="0.2">
      <c r="A21" s="752">
        <v>17</v>
      </c>
      <c r="B21" s="757" t="s">
        <v>90</v>
      </c>
      <c r="C21" s="754" t="s">
        <v>39</v>
      </c>
      <c r="D21" s="755" t="s">
        <v>459</v>
      </c>
      <c r="E21" s="759">
        <v>4143</v>
      </c>
      <c r="F21" s="759">
        <v>0</v>
      </c>
      <c r="G21" s="759">
        <v>0</v>
      </c>
      <c r="H21" s="759">
        <v>0</v>
      </c>
      <c r="I21" s="759">
        <v>4143</v>
      </c>
      <c r="J21" s="763"/>
      <c r="K21" s="763"/>
      <c r="L21" s="759">
        <v>4143</v>
      </c>
    </row>
    <row r="22" spans="1:12" x14ac:dyDescent="0.2">
      <c r="A22" s="752">
        <v>18</v>
      </c>
      <c r="B22" s="753" t="s">
        <v>135</v>
      </c>
      <c r="C22" s="754" t="s">
        <v>40</v>
      </c>
      <c r="D22" s="755" t="s">
        <v>459</v>
      </c>
      <c r="E22" s="759">
        <v>1367</v>
      </c>
      <c r="F22" s="759">
        <v>0</v>
      </c>
      <c r="G22" s="759">
        <v>0</v>
      </c>
      <c r="H22" s="759">
        <v>0</v>
      </c>
      <c r="I22" s="759">
        <v>1367</v>
      </c>
      <c r="J22" s="763"/>
      <c r="K22" s="763"/>
      <c r="L22" s="759">
        <v>1367</v>
      </c>
    </row>
    <row r="23" spans="1:12" x14ac:dyDescent="0.2">
      <c r="A23" s="752">
        <v>19</v>
      </c>
      <c r="B23" s="758" t="s">
        <v>119</v>
      </c>
      <c r="C23" s="754" t="s">
        <v>41</v>
      </c>
      <c r="D23" s="755" t="s">
        <v>459</v>
      </c>
      <c r="E23" s="759">
        <v>1503</v>
      </c>
      <c r="F23" s="759">
        <v>0</v>
      </c>
      <c r="G23" s="759">
        <v>0</v>
      </c>
      <c r="H23" s="759">
        <v>0</v>
      </c>
      <c r="I23" s="759">
        <v>1503</v>
      </c>
      <c r="J23" s="763"/>
      <c r="K23" s="763"/>
      <c r="L23" s="759">
        <v>1503</v>
      </c>
    </row>
    <row r="24" spans="1:12" x14ac:dyDescent="0.2">
      <c r="A24" s="752">
        <v>20</v>
      </c>
      <c r="B24" s="758" t="s">
        <v>98</v>
      </c>
      <c r="C24" s="754" t="s">
        <v>42</v>
      </c>
      <c r="D24" s="755" t="s">
        <v>459</v>
      </c>
      <c r="E24" s="759">
        <v>3483</v>
      </c>
      <c r="F24" s="759">
        <v>0</v>
      </c>
      <c r="G24" s="759">
        <v>0</v>
      </c>
      <c r="H24" s="759">
        <v>0</v>
      </c>
      <c r="I24" s="759">
        <v>3483</v>
      </c>
      <c r="J24" s="763"/>
      <c r="K24" s="763"/>
      <c r="L24" s="759">
        <v>3483</v>
      </c>
    </row>
    <row r="25" spans="1:12" x14ac:dyDescent="0.2">
      <c r="A25" s="752">
        <v>21</v>
      </c>
      <c r="B25" s="757" t="s">
        <v>125</v>
      </c>
      <c r="C25" s="754" t="s">
        <v>43</v>
      </c>
      <c r="D25" s="755" t="s">
        <v>459</v>
      </c>
      <c r="E25" s="759">
        <v>2814</v>
      </c>
      <c r="F25" s="759">
        <v>0</v>
      </c>
      <c r="G25" s="759">
        <v>0</v>
      </c>
      <c r="H25" s="759">
        <v>0</v>
      </c>
      <c r="I25" s="759">
        <v>2814</v>
      </c>
      <c r="J25" s="763"/>
      <c r="K25" s="763"/>
      <c r="L25" s="759">
        <v>2814</v>
      </c>
    </row>
    <row r="26" spans="1:12" x14ac:dyDescent="0.2">
      <c r="A26" s="752">
        <v>22</v>
      </c>
      <c r="B26" s="753" t="s">
        <v>110</v>
      </c>
      <c r="C26" s="754" t="s">
        <v>44</v>
      </c>
      <c r="D26" s="755" t="s">
        <v>459</v>
      </c>
      <c r="E26" s="759">
        <v>1950</v>
      </c>
      <c r="F26" s="759">
        <v>0</v>
      </c>
      <c r="G26" s="759">
        <v>0</v>
      </c>
      <c r="H26" s="759">
        <v>0</v>
      </c>
      <c r="I26" s="759">
        <v>1950</v>
      </c>
      <c r="J26" s="763"/>
      <c r="K26" s="763"/>
      <c r="L26" s="759">
        <v>1950</v>
      </c>
    </row>
    <row r="27" spans="1:12" x14ac:dyDescent="0.2">
      <c r="A27" s="752">
        <v>23</v>
      </c>
      <c r="B27" s="753" t="s">
        <v>74</v>
      </c>
      <c r="C27" s="754" t="s">
        <v>45</v>
      </c>
      <c r="D27" s="755" t="s">
        <v>459</v>
      </c>
      <c r="E27" s="759">
        <v>2882</v>
      </c>
      <c r="F27" s="759">
        <v>0</v>
      </c>
      <c r="G27" s="759">
        <v>0</v>
      </c>
      <c r="H27" s="759">
        <v>0</v>
      </c>
      <c r="I27" s="759">
        <v>2882</v>
      </c>
      <c r="J27" s="763"/>
      <c r="K27" s="763"/>
      <c r="L27" s="759">
        <v>2882</v>
      </c>
    </row>
    <row r="28" spans="1:12" x14ac:dyDescent="0.2">
      <c r="A28" s="752">
        <v>24</v>
      </c>
      <c r="B28" s="758" t="s">
        <v>99</v>
      </c>
      <c r="C28" s="754" t="s">
        <v>46</v>
      </c>
      <c r="D28" s="755" t="s">
        <v>459</v>
      </c>
      <c r="E28" s="759">
        <v>4506</v>
      </c>
      <c r="F28" s="759">
        <v>2</v>
      </c>
      <c r="G28" s="759">
        <v>0</v>
      </c>
      <c r="H28" s="759">
        <v>0</v>
      </c>
      <c r="I28" s="759">
        <v>4504</v>
      </c>
      <c r="J28" s="763"/>
      <c r="K28" s="763"/>
      <c r="L28" s="759">
        <v>4506</v>
      </c>
    </row>
    <row r="29" spans="1:12" x14ac:dyDescent="0.2">
      <c r="A29" s="752">
        <v>25</v>
      </c>
      <c r="B29" s="753" t="s">
        <v>149</v>
      </c>
      <c r="C29" s="754" t="s">
        <v>47</v>
      </c>
      <c r="D29" s="755" t="s">
        <v>459</v>
      </c>
      <c r="E29" s="759">
        <v>1637</v>
      </c>
      <c r="F29" s="759">
        <v>0</v>
      </c>
      <c r="G29" s="759">
        <v>0</v>
      </c>
      <c r="H29" s="759">
        <v>0</v>
      </c>
      <c r="I29" s="759">
        <v>1637</v>
      </c>
      <c r="J29" s="763"/>
      <c r="K29" s="763"/>
      <c r="L29" s="759">
        <v>1637</v>
      </c>
    </row>
    <row r="30" spans="1:12" x14ac:dyDescent="0.2">
      <c r="A30" s="752">
        <v>26</v>
      </c>
      <c r="B30" s="753" t="s">
        <v>111</v>
      </c>
      <c r="C30" s="754" t="s">
        <v>48</v>
      </c>
      <c r="D30" s="755" t="s">
        <v>459</v>
      </c>
      <c r="E30" s="759">
        <v>2065</v>
      </c>
      <c r="F30" s="759">
        <v>0</v>
      </c>
      <c r="G30" s="759">
        <v>0</v>
      </c>
      <c r="H30" s="759">
        <v>0</v>
      </c>
      <c r="I30" s="759">
        <v>2065</v>
      </c>
      <c r="J30" s="763"/>
      <c r="K30" s="763"/>
      <c r="L30" s="759">
        <v>2065</v>
      </c>
    </row>
    <row r="31" spans="1:12" x14ac:dyDescent="0.2">
      <c r="A31" s="752">
        <v>27</v>
      </c>
      <c r="B31" s="757" t="s">
        <v>85</v>
      </c>
      <c r="C31" s="754" t="s">
        <v>49</v>
      </c>
      <c r="D31" s="755" t="s">
        <v>459</v>
      </c>
      <c r="E31" s="759">
        <v>3151</v>
      </c>
      <c r="F31" s="759">
        <v>0</v>
      </c>
      <c r="G31" s="759">
        <v>0</v>
      </c>
      <c r="H31" s="759">
        <v>0</v>
      </c>
      <c r="I31" s="759">
        <v>3151</v>
      </c>
      <c r="J31" s="763"/>
      <c r="K31" s="763"/>
      <c r="L31" s="759">
        <v>3151</v>
      </c>
    </row>
    <row r="32" spans="1:12" x14ac:dyDescent="0.2">
      <c r="A32" s="752">
        <v>28</v>
      </c>
      <c r="B32" s="758" t="s">
        <v>100</v>
      </c>
      <c r="C32" s="754" t="s">
        <v>50</v>
      </c>
      <c r="D32" s="755" t="s">
        <v>459</v>
      </c>
      <c r="E32" s="759">
        <v>2485</v>
      </c>
      <c r="F32" s="759">
        <v>0</v>
      </c>
      <c r="G32" s="759">
        <v>0</v>
      </c>
      <c r="H32" s="759">
        <v>0</v>
      </c>
      <c r="I32" s="759">
        <v>2485</v>
      </c>
      <c r="J32" s="763"/>
      <c r="K32" s="763"/>
      <c r="L32" s="759">
        <v>2485</v>
      </c>
    </row>
    <row r="33" spans="1:12" x14ac:dyDescent="0.2">
      <c r="A33" s="752">
        <v>29</v>
      </c>
      <c r="B33" s="758" t="s">
        <v>150</v>
      </c>
      <c r="C33" s="754" t="s">
        <v>51</v>
      </c>
      <c r="D33" s="755" t="s">
        <v>459</v>
      </c>
      <c r="E33" s="759">
        <v>3330</v>
      </c>
      <c r="F33" s="759">
        <v>3</v>
      </c>
      <c r="G33" s="759">
        <v>0</v>
      </c>
      <c r="H33" s="759">
        <v>0</v>
      </c>
      <c r="I33" s="759">
        <v>3327</v>
      </c>
      <c r="J33" s="763"/>
      <c r="K33" s="763"/>
      <c r="L33" s="759">
        <v>3330</v>
      </c>
    </row>
    <row r="34" spans="1:12" x14ac:dyDescent="0.2">
      <c r="A34" s="752">
        <v>30</v>
      </c>
      <c r="B34" s="753" t="s">
        <v>75</v>
      </c>
      <c r="C34" s="754" t="s">
        <v>52</v>
      </c>
      <c r="D34" s="755" t="s">
        <v>459</v>
      </c>
      <c r="E34" s="759">
        <v>2610</v>
      </c>
      <c r="F34" s="759">
        <v>0</v>
      </c>
      <c r="G34" s="759">
        <v>0</v>
      </c>
      <c r="H34" s="759">
        <v>0</v>
      </c>
      <c r="I34" s="759">
        <v>2610</v>
      </c>
      <c r="J34" s="763"/>
      <c r="K34" s="763"/>
      <c r="L34" s="759">
        <v>2610</v>
      </c>
    </row>
    <row r="35" spans="1:12" x14ac:dyDescent="0.2">
      <c r="A35" s="752">
        <v>31</v>
      </c>
      <c r="B35" s="757" t="s">
        <v>91</v>
      </c>
      <c r="C35" s="754" t="s">
        <v>53</v>
      </c>
      <c r="D35" s="755" t="s">
        <v>459</v>
      </c>
      <c r="E35" s="759">
        <v>2983</v>
      </c>
      <c r="F35" s="759">
        <v>3</v>
      </c>
      <c r="G35" s="759">
        <v>0</v>
      </c>
      <c r="H35" s="759">
        <v>0</v>
      </c>
      <c r="I35" s="759">
        <v>2980</v>
      </c>
      <c r="J35" s="763"/>
      <c r="K35" s="763"/>
      <c r="L35" s="759">
        <v>2983</v>
      </c>
    </row>
    <row r="36" spans="1:12" x14ac:dyDescent="0.2">
      <c r="A36" s="752">
        <v>32</v>
      </c>
      <c r="B36" s="765" t="s">
        <v>127</v>
      </c>
      <c r="C36" s="754" t="s">
        <v>54</v>
      </c>
      <c r="D36" s="755" t="s">
        <v>459</v>
      </c>
      <c r="E36" s="759">
        <v>3248</v>
      </c>
      <c r="F36" s="759">
        <v>0</v>
      </c>
      <c r="G36" s="759">
        <v>0</v>
      </c>
      <c r="H36" s="759">
        <v>0</v>
      </c>
      <c r="I36" s="759">
        <v>3248</v>
      </c>
      <c r="J36" s="763"/>
      <c r="K36" s="763"/>
      <c r="L36" s="759">
        <v>3248</v>
      </c>
    </row>
    <row r="37" spans="1:12" x14ac:dyDescent="0.2">
      <c r="A37" s="752">
        <v>33</v>
      </c>
      <c r="B37" s="753" t="s">
        <v>102</v>
      </c>
      <c r="C37" s="754" t="s">
        <v>55</v>
      </c>
      <c r="D37" s="755" t="s">
        <v>459</v>
      </c>
      <c r="E37" s="759">
        <v>1934</v>
      </c>
      <c r="F37" s="759">
        <v>0</v>
      </c>
      <c r="G37" s="759">
        <v>0</v>
      </c>
      <c r="H37" s="759">
        <v>0</v>
      </c>
      <c r="I37" s="759">
        <v>1934</v>
      </c>
      <c r="J37" s="763"/>
      <c r="K37" s="763"/>
      <c r="L37" s="759">
        <v>1934</v>
      </c>
    </row>
    <row r="38" spans="1:12" x14ac:dyDescent="0.2">
      <c r="A38" s="752">
        <v>34</v>
      </c>
      <c r="B38" s="753" t="s">
        <v>92</v>
      </c>
      <c r="C38" s="754" t="s">
        <v>56</v>
      </c>
      <c r="D38" s="755" t="s">
        <v>459</v>
      </c>
      <c r="E38" s="759">
        <v>4229</v>
      </c>
      <c r="F38" s="759">
        <v>0</v>
      </c>
      <c r="G38" s="759">
        <v>0</v>
      </c>
      <c r="H38" s="759">
        <v>0</v>
      </c>
      <c r="I38" s="759">
        <v>4229</v>
      </c>
      <c r="J38" s="763"/>
      <c r="K38" s="763"/>
      <c r="L38" s="759">
        <v>4229</v>
      </c>
    </row>
    <row r="39" spans="1:12" x14ac:dyDescent="0.2">
      <c r="A39" s="752">
        <v>35</v>
      </c>
      <c r="B39" s="758" t="s">
        <v>86</v>
      </c>
      <c r="C39" s="754" t="s">
        <v>57</v>
      </c>
      <c r="D39" s="755" t="s">
        <v>459</v>
      </c>
      <c r="E39" s="759">
        <v>1971</v>
      </c>
      <c r="F39" s="759">
        <v>0</v>
      </c>
      <c r="G39" s="759">
        <v>0</v>
      </c>
      <c r="H39" s="759">
        <v>0</v>
      </c>
      <c r="I39" s="759">
        <v>1971</v>
      </c>
      <c r="J39" s="763"/>
      <c r="K39" s="763"/>
      <c r="L39" s="759">
        <v>1971</v>
      </c>
    </row>
    <row r="40" spans="1:12" x14ac:dyDescent="0.2">
      <c r="A40" s="752">
        <v>36</v>
      </c>
      <c r="B40" s="758" t="s">
        <v>87</v>
      </c>
      <c r="C40" s="754" t="s">
        <v>58</v>
      </c>
      <c r="D40" s="755" t="s">
        <v>459</v>
      </c>
      <c r="E40" s="759">
        <v>2741</v>
      </c>
      <c r="F40" s="759">
        <v>0</v>
      </c>
      <c r="G40" s="759">
        <v>0</v>
      </c>
      <c r="H40" s="759">
        <v>0</v>
      </c>
      <c r="I40" s="759">
        <v>2741</v>
      </c>
      <c r="J40" s="763"/>
      <c r="K40" s="763"/>
      <c r="L40" s="759">
        <v>2741</v>
      </c>
    </row>
    <row r="41" spans="1:12" x14ac:dyDescent="0.2">
      <c r="A41" s="752">
        <v>37</v>
      </c>
      <c r="B41" s="753" t="s">
        <v>128</v>
      </c>
      <c r="C41" s="754" t="s">
        <v>59</v>
      </c>
      <c r="D41" s="755" t="s">
        <v>459</v>
      </c>
      <c r="E41" s="759">
        <v>1551</v>
      </c>
      <c r="F41" s="759">
        <v>0</v>
      </c>
      <c r="G41" s="759">
        <v>0</v>
      </c>
      <c r="H41" s="759">
        <v>0</v>
      </c>
      <c r="I41" s="759">
        <v>1551</v>
      </c>
      <c r="J41" s="763"/>
      <c r="K41" s="763"/>
      <c r="L41" s="759">
        <v>1551</v>
      </c>
    </row>
    <row r="42" spans="1:12" x14ac:dyDescent="0.2">
      <c r="A42" s="752">
        <v>38</v>
      </c>
      <c r="B42" s="753" t="s">
        <v>103</v>
      </c>
      <c r="C42" s="754" t="s">
        <v>60</v>
      </c>
      <c r="D42" s="755" t="s">
        <v>459</v>
      </c>
      <c r="E42" s="759">
        <v>2751</v>
      </c>
      <c r="F42" s="759">
        <v>0</v>
      </c>
      <c r="G42" s="759">
        <v>0</v>
      </c>
      <c r="H42" s="759">
        <v>0</v>
      </c>
      <c r="I42" s="759">
        <v>2751</v>
      </c>
      <c r="J42" s="763"/>
      <c r="K42" s="763"/>
      <c r="L42" s="759">
        <v>2751</v>
      </c>
    </row>
    <row r="43" spans="1:12" x14ac:dyDescent="0.2">
      <c r="A43" s="752">
        <v>39</v>
      </c>
      <c r="B43" s="758" t="s">
        <v>104</v>
      </c>
      <c r="C43" s="754" t="s">
        <v>21</v>
      </c>
      <c r="D43" s="755" t="s">
        <v>459</v>
      </c>
      <c r="E43" s="759">
        <v>4091</v>
      </c>
      <c r="F43" s="759">
        <v>0</v>
      </c>
      <c r="G43" s="759">
        <v>0</v>
      </c>
      <c r="H43" s="759">
        <v>0</v>
      </c>
      <c r="I43" s="759">
        <v>4091</v>
      </c>
      <c r="J43" s="763"/>
      <c r="K43" s="763"/>
      <c r="L43" s="759">
        <v>4091</v>
      </c>
    </row>
    <row r="44" spans="1:12" x14ac:dyDescent="0.2">
      <c r="A44" s="752">
        <v>40</v>
      </c>
      <c r="B44" s="753" t="s">
        <v>137</v>
      </c>
      <c r="C44" s="754" t="s">
        <v>61</v>
      </c>
      <c r="D44" s="755" t="s">
        <v>459</v>
      </c>
      <c r="E44" s="759">
        <v>2345</v>
      </c>
      <c r="F44" s="759">
        <v>2</v>
      </c>
      <c r="G44" s="759">
        <v>0</v>
      </c>
      <c r="H44" s="759">
        <v>0</v>
      </c>
      <c r="I44" s="759">
        <v>2343</v>
      </c>
      <c r="J44" s="763"/>
      <c r="K44" s="763"/>
      <c r="L44" s="759">
        <v>2345</v>
      </c>
    </row>
    <row r="45" spans="1:12" x14ac:dyDescent="0.2">
      <c r="A45" s="752">
        <v>41</v>
      </c>
      <c r="B45" s="757" t="s">
        <v>105</v>
      </c>
      <c r="C45" s="754" t="s">
        <v>62</v>
      </c>
      <c r="D45" s="755" t="s">
        <v>459</v>
      </c>
      <c r="E45" s="759">
        <v>2060</v>
      </c>
      <c r="F45" s="759">
        <v>1</v>
      </c>
      <c r="G45" s="759">
        <v>0</v>
      </c>
      <c r="H45" s="759">
        <v>0</v>
      </c>
      <c r="I45" s="759">
        <v>2059</v>
      </c>
      <c r="J45" s="763"/>
      <c r="K45" s="763"/>
      <c r="L45" s="759">
        <v>2060</v>
      </c>
    </row>
    <row r="46" spans="1:12" x14ac:dyDescent="0.2">
      <c r="A46" s="752">
        <v>42</v>
      </c>
      <c r="B46" s="753" t="s">
        <v>112</v>
      </c>
      <c r="C46" s="754" t="s">
        <v>63</v>
      </c>
      <c r="D46" s="755" t="s">
        <v>459</v>
      </c>
      <c r="E46" s="759">
        <v>5155</v>
      </c>
      <c r="F46" s="759">
        <v>2</v>
      </c>
      <c r="G46" s="759">
        <v>0</v>
      </c>
      <c r="H46" s="759">
        <v>0</v>
      </c>
      <c r="I46" s="759">
        <v>5153</v>
      </c>
      <c r="J46" s="763"/>
      <c r="K46" s="763"/>
      <c r="L46" s="759">
        <v>5155</v>
      </c>
    </row>
    <row r="47" spans="1:12" x14ac:dyDescent="0.2">
      <c r="A47" s="752">
        <v>43</v>
      </c>
      <c r="B47" s="758" t="s">
        <v>140</v>
      </c>
      <c r="C47" s="754" t="s">
        <v>460</v>
      </c>
      <c r="D47" s="755" t="s">
        <v>459</v>
      </c>
      <c r="E47" s="759">
        <v>875</v>
      </c>
      <c r="F47" s="759">
        <v>0</v>
      </c>
      <c r="G47" s="759">
        <v>0</v>
      </c>
      <c r="H47" s="759">
        <v>0</v>
      </c>
      <c r="I47" s="759">
        <v>875</v>
      </c>
      <c r="J47" s="763"/>
      <c r="K47" s="763"/>
      <c r="L47" s="759">
        <v>875</v>
      </c>
    </row>
    <row r="48" spans="1:12" x14ac:dyDescent="0.2">
      <c r="A48" s="752">
        <v>44</v>
      </c>
      <c r="B48" s="758" t="s">
        <v>145</v>
      </c>
      <c r="C48" s="754" t="s">
        <v>461</v>
      </c>
      <c r="D48" s="755" t="s">
        <v>462</v>
      </c>
      <c r="E48" s="759">
        <v>3617</v>
      </c>
      <c r="F48" s="759">
        <v>0</v>
      </c>
      <c r="G48" s="759">
        <v>794</v>
      </c>
      <c r="H48" s="759">
        <v>0</v>
      </c>
      <c r="I48" s="759">
        <v>2823</v>
      </c>
      <c r="J48" s="763"/>
      <c r="K48" s="763"/>
      <c r="L48" s="759">
        <v>3617</v>
      </c>
    </row>
    <row r="49" spans="1:12" x14ac:dyDescent="0.2">
      <c r="A49" s="752">
        <v>45</v>
      </c>
      <c r="B49" s="753" t="s">
        <v>182</v>
      </c>
      <c r="C49" s="754" t="s">
        <v>463</v>
      </c>
      <c r="D49" s="755" t="s">
        <v>462</v>
      </c>
      <c r="E49" s="759">
        <v>5542</v>
      </c>
      <c r="F49" s="759">
        <v>0</v>
      </c>
      <c r="G49" s="759">
        <v>0</v>
      </c>
      <c r="H49" s="759">
        <v>0</v>
      </c>
      <c r="I49" s="759">
        <v>5542</v>
      </c>
      <c r="J49" s="763"/>
      <c r="K49" s="763"/>
      <c r="L49" s="759">
        <v>5542</v>
      </c>
    </row>
    <row r="50" spans="1:12" x14ac:dyDescent="0.2">
      <c r="A50" s="752">
        <v>46</v>
      </c>
      <c r="B50" s="753" t="s">
        <v>287</v>
      </c>
      <c r="C50" s="754" t="s">
        <v>288</v>
      </c>
      <c r="D50" s="755" t="s">
        <v>462</v>
      </c>
      <c r="E50" s="759">
        <v>21976</v>
      </c>
      <c r="F50" s="759">
        <v>0</v>
      </c>
      <c r="G50" s="759">
        <v>0</v>
      </c>
      <c r="H50" s="759">
        <v>7999</v>
      </c>
      <c r="I50" s="759">
        <v>13977</v>
      </c>
      <c r="J50" s="763"/>
      <c r="K50" s="763"/>
      <c r="L50" s="759">
        <v>21976</v>
      </c>
    </row>
    <row r="51" spans="1:12" x14ac:dyDescent="0.2">
      <c r="A51" s="752">
        <v>47</v>
      </c>
      <c r="B51" s="758" t="s">
        <v>133</v>
      </c>
      <c r="C51" s="754" t="s">
        <v>14</v>
      </c>
      <c r="D51" s="755" t="s">
        <v>464</v>
      </c>
      <c r="E51" s="759">
        <v>12254</v>
      </c>
      <c r="F51" s="759">
        <v>9</v>
      </c>
      <c r="G51" s="759">
        <v>0</v>
      </c>
      <c r="H51" s="759">
        <v>450</v>
      </c>
      <c r="I51" s="759">
        <v>11795</v>
      </c>
      <c r="J51" s="763"/>
      <c r="K51" s="763"/>
      <c r="L51" s="759">
        <v>12254</v>
      </c>
    </row>
    <row r="52" spans="1:12" x14ac:dyDescent="0.2">
      <c r="A52" s="752">
        <v>48</v>
      </c>
      <c r="B52" s="753" t="s">
        <v>71</v>
      </c>
      <c r="C52" s="754" t="s">
        <v>5</v>
      </c>
      <c r="D52" s="755" t="s">
        <v>464</v>
      </c>
      <c r="E52" s="759">
        <v>8803</v>
      </c>
      <c r="F52" s="759">
        <v>0</v>
      </c>
      <c r="G52" s="759">
        <v>0</v>
      </c>
      <c r="H52" s="759">
        <v>40</v>
      </c>
      <c r="I52" s="759">
        <v>8763</v>
      </c>
      <c r="J52" s="763"/>
      <c r="K52" s="763"/>
      <c r="L52" s="759">
        <v>8803</v>
      </c>
    </row>
    <row r="53" spans="1:12" x14ac:dyDescent="0.2">
      <c r="A53" s="752">
        <v>49</v>
      </c>
      <c r="B53" s="753" t="s">
        <v>148</v>
      </c>
      <c r="C53" s="754" t="s">
        <v>465</v>
      </c>
      <c r="D53" s="755" t="s">
        <v>464</v>
      </c>
      <c r="E53" s="759">
        <v>10318</v>
      </c>
      <c r="F53" s="759">
        <v>6</v>
      </c>
      <c r="G53" s="759">
        <v>0</v>
      </c>
      <c r="H53" s="759">
        <v>2600</v>
      </c>
      <c r="I53" s="759">
        <v>7712</v>
      </c>
      <c r="J53" s="759">
        <v>0</v>
      </c>
      <c r="K53" s="763"/>
      <c r="L53" s="759">
        <v>10318</v>
      </c>
    </row>
    <row r="54" spans="1:12" x14ac:dyDescent="0.2">
      <c r="A54" s="752">
        <v>50</v>
      </c>
      <c r="B54" s="758" t="s">
        <v>109</v>
      </c>
      <c r="C54" s="754" t="s">
        <v>23</v>
      </c>
      <c r="D54" s="755" t="s">
        <v>464</v>
      </c>
      <c r="E54" s="759">
        <v>7948</v>
      </c>
      <c r="F54" s="759">
        <v>4</v>
      </c>
      <c r="G54" s="759">
        <v>0</v>
      </c>
      <c r="H54" s="759">
        <v>0</v>
      </c>
      <c r="I54" s="759">
        <v>7944</v>
      </c>
      <c r="J54" s="763"/>
      <c r="K54" s="763"/>
      <c r="L54" s="759">
        <v>7948</v>
      </c>
    </row>
    <row r="55" spans="1:12" x14ac:dyDescent="0.2">
      <c r="A55" s="752">
        <v>51</v>
      </c>
      <c r="B55" s="753" t="s">
        <v>84</v>
      </c>
      <c r="C55" s="754" t="s">
        <v>12</v>
      </c>
      <c r="D55" s="755" t="s">
        <v>464</v>
      </c>
      <c r="E55" s="759">
        <v>11185</v>
      </c>
      <c r="F55" s="759">
        <v>41</v>
      </c>
      <c r="G55" s="759">
        <v>0</v>
      </c>
      <c r="H55" s="759">
        <v>0</v>
      </c>
      <c r="I55" s="759">
        <v>11144</v>
      </c>
      <c r="J55" s="763"/>
      <c r="K55" s="763"/>
      <c r="L55" s="759">
        <v>11185</v>
      </c>
    </row>
    <row r="56" spans="1:12" x14ac:dyDescent="0.2">
      <c r="A56" s="752">
        <v>52</v>
      </c>
      <c r="B56" s="758" t="s">
        <v>126</v>
      </c>
      <c r="C56" s="754" t="s">
        <v>25</v>
      </c>
      <c r="D56" s="755" t="s">
        <v>464</v>
      </c>
      <c r="E56" s="759">
        <v>9881</v>
      </c>
      <c r="F56" s="759">
        <v>4</v>
      </c>
      <c r="G56" s="759">
        <v>0</v>
      </c>
      <c r="H56" s="759">
        <v>0</v>
      </c>
      <c r="I56" s="759">
        <v>9877</v>
      </c>
      <c r="J56" s="763"/>
      <c r="K56" s="763"/>
      <c r="L56" s="759">
        <v>9881</v>
      </c>
    </row>
    <row r="57" spans="1:12" s="749" customFormat="1" x14ac:dyDescent="0.2">
      <c r="A57" s="752">
        <v>53</v>
      </c>
      <c r="B57" s="145" t="s">
        <v>129</v>
      </c>
      <c r="C57" s="761" t="s">
        <v>466</v>
      </c>
      <c r="D57" s="762" t="s">
        <v>464</v>
      </c>
      <c r="E57" s="759">
        <v>555</v>
      </c>
      <c r="F57" s="759">
        <v>5</v>
      </c>
      <c r="G57" s="759">
        <v>0</v>
      </c>
      <c r="H57" s="759">
        <v>0</v>
      </c>
      <c r="I57" s="759">
        <v>550</v>
      </c>
      <c r="J57" s="759"/>
      <c r="K57" s="766"/>
      <c r="L57" s="759">
        <v>555</v>
      </c>
    </row>
    <row r="58" spans="1:12" x14ac:dyDescent="0.2">
      <c r="A58" s="752">
        <v>54</v>
      </c>
      <c r="B58" s="753" t="s">
        <v>121</v>
      </c>
      <c r="C58" s="754" t="s">
        <v>467</v>
      </c>
      <c r="D58" s="755" t="s">
        <v>464</v>
      </c>
      <c r="E58" s="759">
        <v>14991</v>
      </c>
      <c r="F58" s="759">
        <v>47</v>
      </c>
      <c r="G58" s="759">
        <v>0</v>
      </c>
      <c r="H58" s="759">
        <v>0</v>
      </c>
      <c r="I58" s="759">
        <v>14944</v>
      </c>
      <c r="J58" s="759"/>
      <c r="K58" s="759"/>
      <c r="L58" s="759">
        <v>14991</v>
      </c>
    </row>
    <row r="59" spans="1:12" x14ac:dyDescent="0.2">
      <c r="A59" s="752">
        <v>55</v>
      </c>
      <c r="B59" s="753" t="s">
        <v>136</v>
      </c>
      <c r="C59" s="754" t="s">
        <v>15</v>
      </c>
      <c r="D59" s="755" t="s">
        <v>464</v>
      </c>
      <c r="E59" s="759">
        <v>16937</v>
      </c>
      <c r="F59" s="759">
        <v>47</v>
      </c>
      <c r="G59" s="759">
        <v>0</v>
      </c>
      <c r="H59" s="759">
        <v>901</v>
      </c>
      <c r="I59" s="759">
        <v>15989</v>
      </c>
      <c r="J59" s="763"/>
      <c r="K59" s="763"/>
      <c r="L59" s="759">
        <v>16937</v>
      </c>
    </row>
    <row r="60" spans="1:12" x14ac:dyDescent="0.2">
      <c r="A60" s="752">
        <v>56</v>
      </c>
      <c r="B60" s="758" t="s">
        <v>120</v>
      </c>
      <c r="C60" s="767" t="s">
        <v>8</v>
      </c>
      <c r="D60" s="755" t="s">
        <v>464</v>
      </c>
      <c r="E60" s="759">
        <v>9177</v>
      </c>
      <c r="F60" s="759">
        <v>23</v>
      </c>
      <c r="G60" s="759">
        <v>233</v>
      </c>
      <c r="H60" s="759">
        <v>0</v>
      </c>
      <c r="I60" s="759">
        <v>8921</v>
      </c>
      <c r="J60" s="763"/>
      <c r="K60" s="763"/>
      <c r="L60" s="759">
        <v>9177</v>
      </c>
    </row>
    <row r="61" spans="1:12" x14ac:dyDescent="0.2">
      <c r="A61" s="752">
        <v>57</v>
      </c>
      <c r="B61" s="753" t="s">
        <v>158</v>
      </c>
      <c r="C61" s="754" t="s">
        <v>468</v>
      </c>
      <c r="D61" s="755" t="s">
        <v>464</v>
      </c>
      <c r="E61" s="759">
        <v>7026</v>
      </c>
      <c r="F61" s="759">
        <v>1</v>
      </c>
      <c r="G61" s="759">
        <v>533</v>
      </c>
      <c r="H61" s="759">
        <v>0</v>
      </c>
      <c r="I61" s="759">
        <v>6492</v>
      </c>
      <c r="J61" s="763"/>
      <c r="K61" s="763"/>
      <c r="L61" s="759">
        <v>7026</v>
      </c>
    </row>
    <row r="62" spans="1:12" x14ac:dyDescent="0.2">
      <c r="A62" s="752">
        <v>58</v>
      </c>
      <c r="B62" s="753" t="s">
        <v>188</v>
      </c>
      <c r="C62" s="754" t="s">
        <v>469</v>
      </c>
      <c r="D62" s="755" t="s">
        <v>470</v>
      </c>
      <c r="E62" s="759">
        <v>530</v>
      </c>
      <c r="F62" s="759">
        <v>0</v>
      </c>
      <c r="G62" s="759">
        <v>0</v>
      </c>
      <c r="H62" s="759">
        <v>0</v>
      </c>
      <c r="I62" s="759">
        <v>530</v>
      </c>
      <c r="J62" s="759">
        <v>450</v>
      </c>
      <c r="K62" s="759">
        <v>0</v>
      </c>
      <c r="L62" s="759">
        <v>980</v>
      </c>
    </row>
    <row r="63" spans="1:12" s="773" customFormat="1" x14ac:dyDescent="0.2">
      <c r="A63" s="838">
        <v>59</v>
      </c>
      <c r="B63" s="768" t="s">
        <v>82</v>
      </c>
      <c r="C63" s="769" t="s">
        <v>471</v>
      </c>
      <c r="D63" s="770" t="s">
        <v>472</v>
      </c>
      <c r="E63" s="772">
        <v>11315</v>
      </c>
      <c r="F63" s="772">
        <v>265</v>
      </c>
      <c r="G63" s="772">
        <v>325</v>
      </c>
      <c r="H63" s="772">
        <v>267</v>
      </c>
      <c r="I63" s="772">
        <v>10458</v>
      </c>
      <c r="J63" s="772">
        <v>121</v>
      </c>
      <c r="K63" s="772"/>
      <c r="L63" s="772">
        <v>11436</v>
      </c>
    </row>
    <row r="64" spans="1:12" x14ac:dyDescent="0.2">
      <c r="A64" s="839"/>
      <c r="B64" s="752"/>
      <c r="C64" s="775" t="s">
        <v>473</v>
      </c>
      <c r="D64" s="755" t="s">
        <v>462</v>
      </c>
      <c r="E64" s="759">
        <v>10282</v>
      </c>
      <c r="F64" s="759">
        <v>265</v>
      </c>
      <c r="G64" s="759">
        <v>325</v>
      </c>
      <c r="H64" s="759">
        <v>267</v>
      </c>
      <c r="I64" s="759">
        <v>9425</v>
      </c>
      <c r="J64" s="763"/>
      <c r="K64" s="763"/>
      <c r="L64" s="759">
        <v>10282</v>
      </c>
    </row>
    <row r="65" spans="1:12" x14ac:dyDescent="0.2">
      <c r="A65" s="840"/>
      <c r="B65" s="752"/>
      <c r="C65" s="775" t="s">
        <v>473</v>
      </c>
      <c r="D65" s="755" t="s">
        <v>472</v>
      </c>
      <c r="E65" s="759">
        <v>1033</v>
      </c>
      <c r="F65" s="759">
        <v>0</v>
      </c>
      <c r="G65" s="759">
        <v>0</v>
      </c>
      <c r="H65" s="759">
        <v>0</v>
      </c>
      <c r="I65" s="759">
        <v>1033</v>
      </c>
      <c r="J65" s="759">
        <v>121</v>
      </c>
      <c r="K65" s="759">
        <v>0</v>
      </c>
      <c r="L65" s="759">
        <v>1154</v>
      </c>
    </row>
    <row r="66" spans="1:12" s="773" customFormat="1" x14ac:dyDescent="0.2">
      <c r="A66" s="838">
        <v>60</v>
      </c>
      <c r="B66" s="768" t="s">
        <v>101</v>
      </c>
      <c r="C66" s="769" t="s">
        <v>20</v>
      </c>
      <c r="D66" s="770" t="s">
        <v>472</v>
      </c>
      <c r="E66" s="772">
        <v>5044</v>
      </c>
      <c r="F66" s="772">
        <v>138</v>
      </c>
      <c r="G66" s="772">
        <v>386</v>
      </c>
      <c r="H66" s="772">
        <v>336</v>
      </c>
      <c r="I66" s="772">
        <v>4184</v>
      </c>
      <c r="J66" s="772">
        <v>253</v>
      </c>
      <c r="K66" s="772"/>
      <c r="L66" s="772">
        <v>5297</v>
      </c>
    </row>
    <row r="67" spans="1:12" x14ac:dyDescent="0.2">
      <c r="A67" s="839"/>
      <c r="B67" s="752"/>
      <c r="C67" s="775" t="s">
        <v>473</v>
      </c>
      <c r="D67" s="755" t="s">
        <v>462</v>
      </c>
      <c r="E67" s="759">
        <v>4059</v>
      </c>
      <c r="F67" s="759">
        <v>138</v>
      </c>
      <c r="G67" s="759">
        <v>386</v>
      </c>
      <c r="H67" s="759">
        <v>336</v>
      </c>
      <c r="I67" s="759">
        <v>3199</v>
      </c>
      <c r="J67" s="763"/>
      <c r="K67" s="763"/>
      <c r="L67" s="759">
        <v>4059</v>
      </c>
    </row>
    <row r="68" spans="1:12" x14ac:dyDescent="0.2">
      <c r="A68" s="840"/>
      <c r="B68" s="752"/>
      <c r="C68" s="775" t="s">
        <v>473</v>
      </c>
      <c r="D68" s="776" t="s">
        <v>472</v>
      </c>
      <c r="E68" s="778">
        <v>985</v>
      </c>
      <c r="F68" s="777">
        <v>0</v>
      </c>
      <c r="G68" s="778">
        <v>0</v>
      </c>
      <c r="H68" s="778">
        <v>0</v>
      </c>
      <c r="I68" s="759">
        <v>985</v>
      </c>
      <c r="J68" s="786">
        <v>253</v>
      </c>
      <c r="K68" s="786">
        <v>0</v>
      </c>
      <c r="L68" s="759">
        <v>1238</v>
      </c>
    </row>
    <row r="69" spans="1:12" s="773" customFormat="1" x14ac:dyDescent="0.2">
      <c r="A69" s="838">
        <v>61</v>
      </c>
      <c r="B69" s="780" t="s">
        <v>76</v>
      </c>
      <c r="C69" s="769" t="s">
        <v>7</v>
      </c>
      <c r="D69" s="770" t="s">
        <v>472</v>
      </c>
      <c r="E69" s="772">
        <v>17771</v>
      </c>
      <c r="F69" s="772">
        <v>150</v>
      </c>
      <c r="G69" s="772">
        <v>395</v>
      </c>
      <c r="H69" s="772">
        <v>1050</v>
      </c>
      <c r="I69" s="772">
        <v>16176</v>
      </c>
      <c r="J69" s="772">
        <v>223</v>
      </c>
      <c r="K69" s="772"/>
      <c r="L69" s="772">
        <v>17994</v>
      </c>
    </row>
    <row r="70" spans="1:12" x14ac:dyDescent="0.2">
      <c r="A70" s="839"/>
      <c r="B70" s="752"/>
      <c r="C70" s="775" t="s">
        <v>473</v>
      </c>
      <c r="D70" s="755" t="s">
        <v>462</v>
      </c>
      <c r="E70" s="759">
        <v>16766</v>
      </c>
      <c r="F70" s="759">
        <v>150</v>
      </c>
      <c r="G70" s="759">
        <v>395</v>
      </c>
      <c r="H70" s="759">
        <v>1050</v>
      </c>
      <c r="I70" s="759">
        <v>15171</v>
      </c>
      <c r="J70" s="762"/>
      <c r="K70" s="762"/>
      <c r="L70" s="759">
        <v>16766</v>
      </c>
    </row>
    <row r="71" spans="1:12" x14ac:dyDescent="0.2">
      <c r="A71" s="840"/>
      <c r="B71" s="752"/>
      <c r="C71" s="775" t="s">
        <v>473</v>
      </c>
      <c r="D71" s="779" t="s">
        <v>474</v>
      </c>
      <c r="E71" s="778">
        <v>1005</v>
      </c>
      <c r="F71" s="777">
        <v>0</v>
      </c>
      <c r="G71" s="778">
        <v>0</v>
      </c>
      <c r="H71" s="778">
        <v>0</v>
      </c>
      <c r="I71" s="759">
        <v>1005</v>
      </c>
      <c r="J71" s="786">
        <v>223</v>
      </c>
      <c r="K71" s="786">
        <v>0</v>
      </c>
      <c r="L71" s="759">
        <v>1228</v>
      </c>
    </row>
    <row r="72" spans="1:12" s="773" customFormat="1" x14ac:dyDescent="0.2">
      <c r="A72" s="838">
        <v>62</v>
      </c>
      <c r="B72" s="780" t="s">
        <v>88</v>
      </c>
      <c r="C72" s="769" t="s">
        <v>475</v>
      </c>
      <c r="D72" s="770" t="s">
        <v>472</v>
      </c>
      <c r="E72" s="772">
        <v>15718</v>
      </c>
      <c r="F72" s="772">
        <v>381</v>
      </c>
      <c r="G72" s="772">
        <v>661</v>
      </c>
      <c r="H72" s="772">
        <v>12</v>
      </c>
      <c r="I72" s="772">
        <v>14664</v>
      </c>
      <c r="J72" s="772">
        <v>30</v>
      </c>
      <c r="K72" s="772">
        <v>10</v>
      </c>
      <c r="L72" s="772">
        <v>15748</v>
      </c>
    </row>
    <row r="73" spans="1:12" x14ac:dyDescent="0.2">
      <c r="A73" s="839"/>
      <c r="B73" s="752"/>
      <c r="C73" s="775" t="s">
        <v>473</v>
      </c>
      <c r="D73" s="755" t="s">
        <v>464</v>
      </c>
      <c r="E73" s="759">
        <v>13968</v>
      </c>
      <c r="F73" s="759">
        <v>27</v>
      </c>
      <c r="G73" s="759">
        <v>661</v>
      </c>
      <c r="H73" s="759">
        <v>12</v>
      </c>
      <c r="I73" s="759">
        <v>13268</v>
      </c>
      <c r="J73" s="763"/>
      <c r="K73" s="763"/>
      <c r="L73" s="759">
        <v>13968</v>
      </c>
    </row>
    <row r="74" spans="1:12" x14ac:dyDescent="0.2">
      <c r="A74" s="840"/>
      <c r="B74" s="752"/>
      <c r="C74" s="775" t="s">
        <v>473</v>
      </c>
      <c r="D74" s="755" t="s">
        <v>472</v>
      </c>
      <c r="E74" s="778">
        <v>1750</v>
      </c>
      <c r="F74" s="778">
        <v>354</v>
      </c>
      <c r="G74" s="778">
        <v>0</v>
      </c>
      <c r="H74" s="778">
        <v>0</v>
      </c>
      <c r="I74" s="759">
        <v>1396</v>
      </c>
      <c r="J74" s="786">
        <v>30</v>
      </c>
      <c r="K74" s="786">
        <v>10</v>
      </c>
      <c r="L74" s="759">
        <v>1780</v>
      </c>
    </row>
    <row r="75" spans="1:12" s="773" customFormat="1" x14ac:dyDescent="0.2">
      <c r="A75" s="838">
        <v>63</v>
      </c>
      <c r="B75" s="780" t="s">
        <v>73</v>
      </c>
      <c r="C75" s="769" t="s">
        <v>476</v>
      </c>
      <c r="D75" s="770" t="s">
        <v>472</v>
      </c>
      <c r="E75" s="772">
        <v>21811</v>
      </c>
      <c r="F75" s="772">
        <v>178</v>
      </c>
      <c r="G75" s="772">
        <v>675</v>
      </c>
      <c r="H75" s="772">
        <v>1564</v>
      </c>
      <c r="I75" s="772">
        <v>19394</v>
      </c>
      <c r="J75" s="772">
        <v>265</v>
      </c>
      <c r="K75" s="772"/>
      <c r="L75" s="772">
        <v>22076</v>
      </c>
    </row>
    <row r="76" spans="1:12" x14ac:dyDescent="0.2">
      <c r="A76" s="839"/>
      <c r="B76" s="752"/>
      <c r="C76" s="781" t="s">
        <v>473</v>
      </c>
      <c r="D76" s="755" t="s">
        <v>464</v>
      </c>
      <c r="E76" s="759">
        <v>21656</v>
      </c>
      <c r="F76" s="759">
        <v>178</v>
      </c>
      <c r="G76" s="759">
        <v>675</v>
      </c>
      <c r="H76" s="759">
        <v>1564</v>
      </c>
      <c r="I76" s="759">
        <v>19239</v>
      </c>
      <c r="J76" s="763"/>
      <c r="K76" s="763"/>
      <c r="L76" s="759">
        <v>21656</v>
      </c>
    </row>
    <row r="77" spans="1:12" x14ac:dyDescent="0.2">
      <c r="A77" s="840"/>
      <c r="B77" s="752"/>
      <c r="C77" s="781" t="s">
        <v>473</v>
      </c>
      <c r="D77" s="755" t="s">
        <v>472</v>
      </c>
      <c r="E77" s="759">
        <v>155</v>
      </c>
      <c r="F77" s="759">
        <v>0</v>
      </c>
      <c r="G77" s="759">
        <v>0</v>
      </c>
      <c r="H77" s="759">
        <v>0</v>
      </c>
      <c r="I77" s="759">
        <v>155</v>
      </c>
      <c r="J77" s="799">
        <v>265</v>
      </c>
      <c r="K77" s="799">
        <v>0</v>
      </c>
      <c r="L77" s="759">
        <v>420</v>
      </c>
    </row>
    <row r="78" spans="1:12" s="773" customFormat="1" x14ac:dyDescent="0.2">
      <c r="A78" s="838">
        <v>64</v>
      </c>
      <c r="B78" s="782" t="s">
        <v>83</v>
      </c>
      <c r="C78" s="783" t="s">
        <v>477</v>
      </c>
      <c r="D78" s="770" t="s">
        <v>472</v>
      </c>
      <c r="E78" s="772">
        <v>17919</v>
      </c>
      <c r="F78" s="772">
        <v>116</v>
      </c>
      <c r="G78" s="772">
        <v>0</v>
      </c>
      <c r="H78" s="772">
        <v>200</v>
      </c>
      <c r="I78" s="772">
        <v>17603</v>
      </c>
      <c r="J78" s="772">
        <v>367</v>
      </c>
      <c r="K78" s="772"/>
      <c r="L78" s="772">
        <v>18286</v>
      </c>
    </row>
    <row r="79" spans="1:12" x14ac:dyDescent="0.2">
      <c r="A79" s="839"/>
      <c r="B79" s="752"/>
      <c r="C79" s="781" t="s">
        <v>473</v>
      </c>
      <c r="D79" s="755" t="s">
        <v>462</v>
      </c>
      <c r="E79" s="759">
        <v>16577</v>
      </c>
      <c r="F79" s="759">
        <v>116</v>
      </c>
      <c r="G79" s="759">
        <v>0</v>
      </c>
      <c r="H79" s="759">
        <v>200</v>
      </c>
      <c r="I79" s="759">
        <v>16261</v>
      </c>
      <c r="J79" s="763"/>
      <c r="K79" s="763"/>
      <c r="L79" s="759">
        <v>16577</v>
      </c>
    </row>
    <row r="80" spans="1:12" x14ac:dyDescent="0.2">
      <c r="A80" s="840"/>
      <c r="B80" s="752"/>
      <c r="C80" s="781" t="s">
        <v>473</v>
      </c>
      <c r="D80" s="776" t="s">
        <v>472</v>
      </c>
      <c r="E80" s="778">
        <v>1342</v>
      </c>
      <c r="F80" s="778">
        <v>0</v>
      </c>
      <c r="G80" s="778">
        <v>0</v>
      </c>
      <c r="H80" s="778">
        <v>0</v>
      </c>
      <c r="I80" s="759">
        <v>1342</v>
      </c>
      <c r="J80" s="799">
        <v>367</v>
      </c>
      <c r="K80" s="786">
        <v>0</v>
      </c>
      <c r="L80" s="759">
        <v>1709</v>
      </c>
    </row>
    <row r="81" spans="1:12" s="773" customFormat="1" x14ac:dyDescent="0.2">
      <c r="A81" s="838">
        <v>65</v>
      </c>
      <c r="B81" s="782" t="s">
        <v>123</v>
      </c>
      <c r="C81" s="783" t="s">
        <v>478</v>
      </c>
      <c r="D81" s="770" t="s">
        <v>472</v>
      </c>
      <c r="E81" s="772">
        <v>25812</v>
      </c>
      <c r="F81" s="772">
        <v>543</v>
      </c>
      <c r="G81" s="772">
        <v>757</v>
      </c>
      <c r="H81" s="772">
        <v>0</v>
      </c>
      <c r="I81" s="772">
        <v>24512</v>
      </c>
      <c r="J81" s="772">
        <v>943</v>
      </c>
      <c r="K81" s="772">
        <v>145</v>
      </c>
      <c r="L81" s="772">
        <v>26755</v>
      </c>
    </row>
    <row r="82" spans="1:12" x14ac:dyDescent="0.2">
      <c r="A82" s="839"/>
      <c r="B82" s="752"/>
      <c r="C82" s="781" t="s">
        <v>473</v>
      </c>
      <c r="D82" s="755" t="s">
        <v>462</v>
      </c>
      <c r="E82" s="759">
        <v>17525</v>
      </c>
      <c r="F82" s="759">
        <v>162</v>
      </c>
      <c r="G82" s="759">
        <v>757</v>
      </c>
      <c r="H82" s="759">
        <v>0</v>
      </c>
      <c r="I82" s="759">
        <v>16606</v>
      </c>
      <c r="J82" s="763"/>
      <c r="K82" s="763"/>
      <c r="L82" s="759">
        <v>17525</v>
      </c>
    </row>
    <row r="83" spans="1:12" x14ac:dyDescent="0.2">
      <c r="A83" s="840"/>
      <c r="B83" s="752"/>
      <c r="C83" s="781" t="s">
        <v>473</v>
      </c>
      <c r="D83" s="776" t="s">
        <v>472</v>
      </c>
      <c r="E83" s="778">
        <v>8287</v>
      </c>
      <c r="F83" s="778">
        <v>381</v>
      </c>
      <c r="G83" s="778">
        <v>0</v>
      </c>
      <c r="H83" s="778">
        <v>0</v>
      </c>
      <c r="I83" s="759">
        <v>7906</v>
      </c>
      <c r="J83" s="786">
        <v>943</v>
      </c>
      <c r="K83" s="786">
        <v>145</v>
      </c>
      <c r="L83" s="759">
        <v>9230</v>
      </c>
    </row>
    <row r="84" spans="1:12" s="773" customFormat="1" x14ac:dyDescent="0.2">
      <c r="A84" s="838">
        <v>66</v>
      </c>
      <c r="B84" s="782" t="s">
        <v>142</v>
      </c>
      <c r="C84" s="769" t="s">
        <v>430</v>
      </c>
      <c r="D84" s="770" t="s">
        <v>472</v>
      </c>
      <c r="E84" s="772">
        <v>12306</v>
      </c>
      <c r="F84" s="772">
        <v>774</v>
      </c>
      <c r="G84" s="772">
        <v>655</v>
      </c>
      <c r="H84" s="772">
        <v>267</v>
      </c>
      <c r="I84" s="772">
        <v>10610</v>
      </c>
      <c r="J84" s="772">
        <v>369</v>
      </c>
      <c r="K84" s="772"/>
      <c r="L84" s="772">
        <v>12675</v>
      </c>
    </row>
    <row r="85" spans="1:12" x14ac:dyDescent="0.2">
      <c r="A85" s="839"/>
      <c r="B85" s="752"/>
      <c r="C85" s="781" t="s">
        <v>473</v>
      </c>
      <c r="D85" s="755" t="s">
        <v>464</v>
      </c>
      <c r="E85" s="759">
        <v>7172</v>
      </c>
      <c r="F85" s="759">
        <v>90</v>
      </c>
      <c r="G85" s="759">
        <v>655</v>
      </c>
      <c r="H85" s="759">
        <v>267</v>
      </c>
      <c r="I85" s="759">
        <v>6160</v>
      </c>
      <c r="J85" s="763"/>
      <c r="K85" s="763"/>
      <c r="L85" s="759">
        <v>7172</v>
      </c>
    </row>
    <row r="86" spans="1:12" x14ac:dyDescent="0.2">
      <c r="A86" s="840"/>
      <c r="B86" s="752"/>
      <c r="C86" s="781" t="s">
        <v>473</v>
      </c>
      <c r="D86" s="776" t="s">
        <v>472</v>
      </c>
      <c r="E86" s="778">
        <v>5134</v>
      </c>
      <c r="F86" s="778">
        <v>684</v>
      </c>
      <c r="G86" s="778">
        <v>0</v>
      </c>
      <c r="H86" s="778">
        <v>0</v>
      </c>
      <c r="I86" s="759">
        <v>4450</v>
      </c>
      <c r="J86" s="786">
        <v>369</v>
      </c>
      <c r="K86" s="786">
        <v>0</v>
      </c>
      <c r="L86" s="759">
        <v>5503</v>
      </c>
    </row>
    <row r="87" spans="1:12" s="773" customFormat="1" x14ac:dyDescent="0.2">
      <c r="A87" s="838">
        <v>67</v>
      </c>
      <c r="B87" s="780" t="s">
        <v>146</v>
      </c>
      <c r="C87" s="783" t="s">
        <v>479</v>
      </c>
      <c r="D87" s="770" t="s">
        <v>472</v>
      </c>
      <c r="E87" s="772">
        <v>23541</v>
      </c>
      <c r="F87" s="772">
        <v>0</v>
      </c>
      <c r="G87" s="772">
        <v>996</v>
      </c>
      <c r="H87" s="772">
        <v>1032</v>
      </c>
      <c r="I87" s="772">
        <v>21513</v>
      </c>
      <c r="J87" s="772">
        <v>206</v>
      </c>
      <c r="K87" s="772"/>
      <c r="L87" s="772">
        <v>23747</v>
      </c>
    </row>
    <row r="88" spans="1:12" x14ac:dyDescent="0.2">
      <c r="A88" s="839"/>
      <c r="B88" s="752"/>
      <c r="C88" s="781" t="s">
        <v>473</v>
      </c>
      <c r="D88" s="755" t="s">
        <v>464</v>
      </c>
      <c r="E88" s="759">
        <v>18712</v>
      </c>
      <c r="F88" s="759">
        <v>0</v>
      </c>
      <c r="G88" s="759">
        <v>996</v>
      </c>
      <c r="H88" s="759">
        <v>1032</v>
      </c>
      <c r="I88" s="759">
        <v>16684</v>
      </c>
      <c r="J88" s="763"/>
      <c r="K88" s="763"/>
      <c r="L88" s="759">
        <v>18712</v>
      </c>
    </row>
    <row r="89" spans="1:12" x14ac:dyDescent="0.2">
      <c r="A89" s="840"/>
      <c r="B89" s="752"/>
      <c r="C89" s="781" t="s">
        <v>473</v>
      </c>
      <c r="D89" s="755" t="s">
        <v>472</v>
      </c>
      <c r="E89" s="759">
        <v>4829</v>
      </c>
      <c r="F89" s="759">
        <v>0</v>
      </c>
      <c r="G89" s="759">
        <v>0</v>
      </c>
      <c r="H89" s="759">
        <v>0</v>
      </c>
      <c r="I89" s="759">
        <v>4829</v>
      </c>
      <c r="J89" s="799">
        <v>206</v>
      </c>
      <c r="K89" s="799">
        <v>0</v>
      </c>
      <c r="L89" s="759">
        <v>5035</v>
      </c>
    </row>
    <row r="90" spans="1:12" s="773" customFormat="1" x14ac:dyDescent="0.2">
      <c r="A90" s="838">
        <v>68</v>
      </c>
      <c r="B90" s="782" t="s">
        <v>224</v>
      </c>
      <c r="C90" s="783" t="s">
        <v>480</v>
      </c>
      <c r="D90" s="770" t="s">
        <v>472</v>
      </c>
      <c r="E90" s="772">
        <v>9444</v>
      </c>
      <c r="F90" s="772">
        <v>0</v>
      </c>
      <c r="G90" s="772">
        <v>0</v>
      </c>
      <c r="H90" s="772">
        <v>0</v>
      </c>
      <c r="I90" s="772">
        <v>9444</v>
      </c>
      <c r="J90" s="772">
        <v>120</v>
      </c>
      <c r="K90" s="772">
        <v>0</v>
      </c>
      <c r="L90" s="772">
        <v>9564</v>
      </c>
    </row>
    <row r="91" spans="1:12" x14ac:dyDescent="0.2">
      <c r="A91" s="839"/>
      <c r="B91" s="752"/>
      <c r="C91" s="781" t="s">
        <v>473</v>
      </c>
      <c r="D91" s="755" t="s">
        <v>462</v>
      </c>
      <c r="E91" s="759">
        <v>3110</v>
      </c>
      <c r="F91" s="759">
        <v>0</v>
      </c>
      <c r="G91" s="759">
        <v>0</v>
      </c>
      <c r="H91" s="759">
        <v>0</v>
      </c>
      <c r="I91" s="759">
        <v>3110</v>
      </c>
      <c r="J91" s="763"/>
      <c r="K91" s="763"/>
      <c r="L91" s="759">
        <v>3110</v>
      </c>
    </row>
    <row r="92" spans="1:12" ht="15.75" customHeight="1" x14ac:dyDescent="0.2">
      <c r="A92" s="840"/>
      <c r="B92" s="752"/>
      <c r="C92" s="781" t="s">
        <v>473</v>
      </c>
      <c r="D92" s="776" t="s">
        <v>472</v>
      </c>
      <c r="E92" s="778">
        <v>6334</v>
      </c>
      <c r="F92" s="778">
        <v>0</v>
      </c>
      <c r="G92" s="778">
        <v>0</v>
      </c>
      <c r="H92" s="778">
        <v>0</v>
      </c>
      <c r="I92" s="759">
        <v>6334</v>
      </c>
      <c r="J92" s="778">
        <v>120</v>
      </c>
      <c r="K92" s="800">
        <v>0</v>
      </c>
      <c r="L92" s="801">
        <v>6454</v>
      </c>
    </row>
    <row r="93" spans="1:12" s="774" customFormat="1" x14ac:dyDescent="0.2">
      <c r="A93" s="841">
        <v>69</v>
      </c>
      <c r="B93" s="146" t="s">
        <v>77</v>
      </c>
      <c r="C93" s="769" t="s">
        <v>481</v>
      </c>
      <c r="D93" s="784" t="s">
        <v>472</v>
      </c>
      <c r="E93" s="772">
        <v>10401</v>
      </c>
      <c r="F93" s="772">
        <v>14</v>
      </c>
      <c r="G93" s="772">
        <v>198</v>
      </c>
      <c r="H93" s="772">
        <v>610</v>
      </c>
      <c r="I93" s="772">
        <v>9579</v>
      </c>
      <c r="J93" s="772">
        <v>57</v>
      </c>
      <c r="K93" s="772">
        <v>0</v>
      </c>
      <c r="L93" s="772">
        <v>10458</v>
      </c>
    </row>
    <row r="94" spans="1:12" s="749" customFormat="1" x14ac:dyDescent="0.2">
      <c r="A94" s="842"/>
      <c r="B94" s="760"/>
      <c r="C94" s="775" t="s">
        <v>473</v>
      </c>
      <c r="D94" s="762" t="s">
        <v>464</v>
      </c>
      <c r="E94" s="759">
        <v>10246</v>
      </c>
      <c r="F94" s="759">
        <v>14</v>
      </c>
      <c r="G94" s="759">
        <v>198</v>
      </c>
      <c r="H94" s="759">
        <v>610</v>
      </c>
      <c r="I94" s="759">
        <v>9424</v>
      </c>
      <c r="J94" s="763"/>
      <c r="K94" s="763"/>
      <c r="L94" s="759">
        <v>10246</v>
      </c>
    </row>
    <row r="95" spans="1:12" s="749" customFormat="1" x14ac:dyDescent="0.2">
      <c r="A95" s="843"/>
      <c r="B95" s="760"/>
      <c r="C95" s="775" t="s">
        <v>473</v>
      </c>
      <c r="D95" s="785" t="s">
        <v>472</v>
      </c>
      <c r="E95" s="778">
        <v>155</v>
      </c>
      <c r="F95" s="778">
        <v>0</v>
      </c>
      <c r="G95" s="778">
        <v>0</v>
      </c>
      <c r="H95" s="778">
        <v>0</v>
      </c>
      <c r="I95" s="759">
        <v>155</v>
      </c>
      <c r="J95" s="786">
        <v>57</v>
      </c>
      <c r="K95" s="786"/>
      <c r="L95" s="786">
        <v>212</v>
      </c>
    </row>
    <row r="96" spans="1:12" s="774" customFormat="1" x14ac:dyDescent="0.2">
      <c r="A96" s="841">
        <v>70</v>
      </c>
      <c r="B96" s="147" t="s">
        <v>161</v>
      </c>
      <c r="C96" s="769" t="s">
        <v>482</v>
      </c>
      <c r="D96" s="784" t="s">
        <v>483</v>
      </c>
      <c r="E96" s="772">
        <v>28491</v>
      </c>
      <c r="F96" s="772">
        <v>27402</v>
      </c>
      <c r="G96" s="772">
        <v>0</v>
      </c>
      <c r="H96" s="772">
        <v>0</v>
      </c>
      <c r="I96" s="772">
        <v>1089</v>
      </c>
      <c r="J96" s="772">
        <v>1687</v>
      </c>
      <c r="K96" s="772">
        <v>1687</v>
      </c>
      <c r="L96" s="772">
        <v>30178</v>
      </c>
    </row>
    <row r="97" spans="1:12" s="749" customFormat="1" x14ac:dyDescent="0.2">
      <c r="A97" s="842"/>
      <c r="B97" s="760"/>
      <c r="C97" s="775" t="s">
        <v>473</v>
      </c>
      <c r="D97" s="762" t="s">
        <v>462</v>
      </c>
      <c r="E97" s="759">
        <v>13708</v>
      </c>
      <c r="F97" s="759">
        <v>13708</v>
      </c>
      <c r="G97" s="759">
        <v>0</v>
      </c>
      <c r="H97" s="759">
        <v>0</v>
      </c>
      <c r="I97" s="759">
        <v>0</v>
      </c>
      <c r="J97" s="763"/>
      <c r="K97" s="763"/>
      <c r="L97" s="759">
        <v>13708</v>
      </c>
    </row>
    <row r="98" spans="1:12" s="749" customFormat="1" x14ac:dyDescent="0.2">
      <c r="A98" s="843"/>
      <c r="B98" s="760"/>
      <c r="C98" s="775" t="s">
        <v>473</v>
      </c>
      <c r="D98" s="785" t="s">
        <v>483</v>
      </c>
      <c r="E98" s="778">
        <v>14783</v>
      </c>
      <c r="F98" s="778">
        <v>13694</v>
      </c>
      <c r="G98" s="778">
        <v>0</v>
      </c>
      <c r="H98" s="778">
        <v>0</v>
      </c>
      <c r="I98" s="759">
        <v>1089</v>
      </c>
      <c r="J98" s="759">
        <v>1687</v>
      </c>
      <c r="K98" s="778">
        <v>1687</v>
      </c>
      <c r="L98" s="759">
        <v>16470</v>
      </c>
    </row>
    <row r="99" spans="1:12" s="773" customFormat="1" x14ac:dyDescent="0.2">
      <c r="A99" s="838">
        <v>71</v>
      </c>
      <c r="B99" s="780" t="s">
        <v>275</v>
      </c>
      <c r="C99" s="783" t="s">
        <v>484</v>
      </c>
      <c r="D99" s="770" t="s">
        <v>483</v>
      </c>
      <c r="E99" s="772">
        <v>7990</v>
      </c>
      <c r="F99" s="772">
        <v>0</v>
      </c>
      <c r="G99" s="772">
        <v>701</v>
      </c>
      <c r="H99" s="772">
        <v>0</v>
      </c>
      <c r="I99" s="772">
        <v>7289</v>
      </c>
      <c r="J99" s="772">
        <v>3650</v>
      </c>
      <c r="K99" s="772"/>
      <c r="L99" s="772">
        <v>11640</v>
      </c>
    </row>
    <row r="100" spans="1:12" x14ac:dyDescent="0.2">
      <c r="A100" s="839"/>
      <c r="B100" s="752"/>
      <c r="C100" s="781" t="s">
        <v>473</v>
      </c>
      <c r="D100" s="755" t="s">
        <v>462</v>
      </c>
      <c r="E100" s="759">
        <v>784</v>
      </c>
      <c r="F100" s="759">
        <v>0</v>
      </c>
      <c r="G100" s="759">
        <v>701</v>
      </c>
      <c r="H100" s="759">
        <v>0</v>
      </c>
      <c r="I100" s="759">
        <v>83</v>
      </c>
      <c r="J100" s="763"/>
      <c r="K100" s="763"/>
      <c r="L100" s="759">
        <v>784</v>
      </c>
    </row>
    <row r="101" spans="1:12" x14ac:dyDescent="0.2">
      <c r="A101" s="840"/>
      <c r="B101" s="752"/>
      <c r="C101" s="781" t="s">
        <v>473</v>
      </c>
      <c r="D101" s="779" t="s">
        <v>483</v>
      </c>
      <c r="E101" s="778">
        <v>7206</v>
      </c>
      <c r="F101" s="778">
        <v>0</v>
      </c>
      <c r="G101" s="778">
        <v>0</v>
      </c>
      <c r="H101" s="778">
        <v>0</v>
      </c>
      <c r="I101" s="759">
        <v>7206</v>
      </c>
      <c r="J101" s="759">
        <v>3650</v>
      </c>
      <c r="K101" s="778">
        <v>0</v>
      </c>
      <c r="L101" s="759">
        <v>10856</v>
      </c>
    </row>
    <row r="102" spans="1:12" s="773" customFormat="1" x14ac:dyDescent="0.2">
      <c r="A102" s="838">
        <v>72</v>
      </c>
      <c r="B102" s="782" t="s">
        <v>280</v>
      </c>
      <c r="C102" s="783" t="s">
        <v>64</v>
      </c>
      <c r="D102" s="770" t="s">
        <v>485</v>
      </c>
      <c r="E102" s="772">
        <v>6541</v>
      </c>
      <c r="F102" s="772">
        <v>0</v>
      </c>
      <c r="G102" s="772">
        <v>0</v>
      </c>
      <c r="H102" s="772">
        <v>0</v>
      </c>
      <c r="I102" s="772">
        <v>6541</v>
      </c>
      <c r="J102" s="772">
        <v>48</v>
      </c>
      <c r="K102" s="772"/>
      <c r="L102" s="772">
        <v>6589</v>
      </c>
    </row>
    <row r="103" spans="1:12" x14ac:dyDescent="0.2">
      <c r="A103" s="839"/>
      <c r="B103" s="752"/>
      <c r="C103" s="781" t="s">
        <v>473</v>
      </c>
      <c r="D103" s="755" t="s">
        <v>462</v>
      </c>
      <c r="E103" s="759">
        <v>3733</v>
      </c>
      <c r="F103" s="759">
        <v>0</v>
      </c>
      <c r="G103" s="759">
        <v>0</v>
      </c>
      <c r="H103" s="759">
        <v>0</v>
      </c>
      <c r="I103" s="759">
        <v>3733</v>
      </c>
      <c r="J103" s="763"/>
      <c r="K103" s="763"/>
      <c r="L103" s="759">
        <v>3733</v>
      </c>
    </row>
    <row r="104" spans="1:12" x14ac:dyDescent="0.2">
      <c r="A104" s="840"/>
      <c r="B104" s="752"/>
      <c r="C104" s="781" t="s">
        <v>473</v>
      </c>
      <c r="D104" s="779" t="s">
        <v>483</v>
      </c>
      <c r="E104" s="778">
        <v>2808</v>
      </c>
      <c r="F104" s="778">
        <v>0</v>
      </c>
      <c r="G104" s="778">
        <v>0</v>
      </c>
      <c r="H104" s="778">
        <v>0</v>
      </c>
      <c r="I104" s="759">
        <v>2808</v>
      </c>
      <c r="J104" s="759">
        <v>48</v>
      </c>
      <c r="K104" s="778">
        <v>0</v>
      </c>
      <c r="L104" s="759">
        <v>2856</v>
      </c>
    </row>
    <row r="105" spans="1:12" s="773" customFormat="1" x14ac:dyDescent="0.2">
      <c r="A105" s="838">
        <v>73</v>
      </c>
      <c r="B105" s="782" t="s">
        <v>281</v>
      </c>
      <c r="C105" s="783" t="s">
        <v>486</v>
      </c>
      <c r="D105" s="770" t="s">
        <v>483</v>
      </c>
      <c r="E105" s="772">
        <v>23370</v>
      </c>
      <c r="F105" s="772">
        <v>0</v>
      </c>
      <c r="G105" s="772">
        <v>0</v>
      </c>
      <c r="H105" s="772">
        <v>0</v>
      </c>
      <c r="I105" s="772">
        <v>23370</v>
      </c>
      <c r="J105" s="772">
        <v>871</v>
      </c>
      <c r="K105" s="772"/>
      <c r="L105" s="772">
        <v>24241</v>
      </c>
    </row>
    <row r="106" spans="1:12" ht="15" customHeight="1" x14ac:dyDescent="0.2">
      <c r="A106" s="839"/>
      <c r="B106" s="752"/>
      <c r="C106" s="781" t="s">
        <v>473</v>
      </c>
      <c r="D106" s="755" t="s">
        <v>462</v>
      </c>
      <c r="E106" s="759">
        <v>9698</v>
      </c>
      <c r="F106" s="759">
        <v>0</v>
      </c>
      <c r="G106" s="759">
        <v>0</v>
      </c>
      <c r="H106" s="759">
        <v>0</v>
      </c>
      <c r="I106" s="759">
        <v>9698</v>
      </c>
      <c r="J106" s="763"/>
      <c r="K106" s="763"/>
      <c r="L106" s="759">
        <v>9698</v>
      </c>
    </row>
    <row r="107" spans="1:12" ht="15" customHeight="1" x14ac:dyDescent="0.2">
      <c r="A107" s="840"/>
      <c r="B107" s="752"/>
      <c r="C107" s="781" t="s">
        <v>473</v>
      </c>
      <c r="D107" s="776" t="s">
        <v>483</v>
      </c>
      <c r="E107" s="778">
        <v>13672</v>
      </c>
      <c r="F107" s="778">
        <v>0</v>
      </c>
      <c r="G107" s="778">
        <v>0</v>
      </c>
      <c r="H107" s="778">
        <v>0</v>
      </c>
      <c r="I107" s="759">
        <v>13672</v>
      </c>
      <c r="J107" s="786">
        <v>871</v>
      </c>
      <c r="K107" s="786">
        <v>0</v>
      </c>
      <c r="L107" s="759">
        <v>14543</v>
      </c>
    </row>
    <row r="108" spans="1:12" s="773" customFormat="1" x14ac:dyDescent="0.2">
      <c r="A108" s="838">
        <v>74</v>
      </c>
      <c r="B108" s="782" t="s">
        <v>159</v>
      </c>
      <c r="C108" s="783" t="s">
        <v>487</v>
      </c>
      <c r="D108" s="770" t="s">
        <v>483</v>
      </c>
      <c r="E108" s="772">
        <v>23109</v>
      </c>
      <c r="F108" s="772">
        <v>98</v>
      </c>
      <c r="G108" s="772">
        <v>1326</v>
      </c>
      <c r="H108" s="772">
        <v>0</v>
      </c>
      <c r="I108" s="772">
        <v>21685</v>
      </c>
      <c r="J108" s="772">
        <v>1145</v>
      </c>
      <c r="K108" s="772"/>
      <c r="L108" s="772">
        <v>24254</v>
      </c>
    </row>
    <row r="109" spans="1:12" x14ac:dyDescent="0.2">
      <c r="A109" s="839"/>
      <c r="B109" s="752"/>
      <c r="C109" s="781" t="s">
        <v>473</v>
      </c>
      <c r="D109" s="755" t="s">
        <v>462</v>
      </c>
      <c r="E109" s="759">
        <v>14131</v>
      </c>
      <c r="F109" s="759">
        <v>98</v>
      </c>
      <c r="G109" s="759">
        <v>1326</v>
      </c>
      <c r="H109" s="759">
        <v>0</v>
      </c>
      <c r="I109" s="759">
        <v>12707</v>
      </c>
      <c r="J109" s="763"/>
      <c r="K109" s="763"/>
      <c r="L109" s="759">
        <v>14131</v>
      </c>
    </row>
    <row r="110" spans="1:12" ht="15.75" customHeight="1" x14ac:dyDescent="0.2">
      <c r="A110" s="840"/>
      <c r="B110" s="752"/>
      <c r="C110" s="781" t="s">
        <v>473</v>
      </c>
      <c r="D110" s="779" t="s">
        <v>483</v>
      </c>
      <c r="E110" s="778">
        <v>8978</v>
      </c>
      <c r="F110" s="778">
        <v>0</v>
      </c>
      <c r="G110" s="778">
        <v>0</v>
      </c>
      <c r="H110" s="778">
        <v>0</v>
      </c>
      <c r="I110" s="759">
        <v>8978</v>
      </c>
      <c r="J110" s="786">
        <v>1145</v>
      </c>
      <c r="K110" s="786">
        <v>0</v>
      </c>
      <c r="L110" s="759">
        <v>10123</v>
      </c>
    </row>
    <row r="111" spans="1:12" s="773" customFormat="1" x14ac:dyDescent="0.2">
      <c r="A111" s="838">
        <v>75</v>
      </c>
      <c r="B111" s="782" t="s">
        <v>221</v>
      </c>
      <c r="C111" s="783" t="s">
        <v>488</v>
      </c>
      <c r="D111" s="770" t="s">
        <v>483</v>
      </c>
      <c r="E111" s="772">
        <v>14435</v>
      </c>
      <c r="F111" s="772">
        <v>1</v>
      </c>
      <c r="G111" s="772">
        <v>3270</v>
      </c>
      <c r="H111" s="772">
        <v>102</v>
      </c>
      <c r="I111" s="772">
        <v>11062</v>
      </c>
      <c r="J111" s="772">
        <v>401</v>
      </c>
      <c r="K111" s="772"/>
      <c r="L111" s="772">
        <v>14836</v>
      </c>
    </row>
    <row r="112" spans="1:12" x14ac:dyDescent="0.2">
      <c r="A112" s="839"/>
      <c r="B112" s="752"/>
      <c r="C112" s="781" t="s">
        <v>473</v>
      </c>
      <c r="D112" s="755" t="s">
        <v>462</v>
      </c>
      <c r="E112" s="759">
        <v>8958</v>
      </c>
      <c r="F112" s="759">
        <v>1</v>
      </c>
      <c r="G112" s="759">
        <v>3270</v>
      </c>
      <c r="H112" s="759">
        <v>0</v>
      </c>
      <c r="I112" s="759">
        <v>5687</v>
      </c>
      <c r="J112" s="763"/>
      <c r="K112" s="763"/>
      <c r="L112" s="759">
        <v>8958</v>
      </c>
    </row>
    <row r="113" spans="1:12" x14ac:dyDescent="0.2">
      <c r="A113" s="840"/>
      <c r="B113" s="752"/>
      <c r="C113" s="781" t="s">
        <v>473</v>
      </c>
      <c r="D113" s="776" t="s">
        <v>483</v>
      </c>
      <c r="E113" s="778">
        <v>5477</v>
      </c>
      <c r="F113" s="778">
        <v>0</v>
      </c>
      <c r="G113" s="778">
        <v>0</v>
      </c>
      <c r="H113" s="778">
        <v>102</v>
      </c>
      <c r="I113" s="759">
        <v>5375</v>
      </c>
      <c r="J113" s="786">
        <v>401</v>
      </c>
      <c r="K113" s="786">
        <v>0</v>
      </c>
      <c r="L113" s="759">
        <v>5878</v>
      </c>
    </row>
    <row r="114" spans="1:12" s="773" customFormat="1" x14ac:dyDescent="0.2">
      <c r="A114" s="838">
        <v>76</v>
      </c>
      <c r="B114" s="782" t="s">
        <v>144</v>
      </c>
      <c r="C114" s="783" t="s">
        <v>432</v>
      </c>
      <c r="D114" s="770" t="s">
        <v>483</v>
      </c>
      <c r="E114" s="772">
        <v>12197</v>
      </c>
      <c r="F114" s="772">
        <v>0</v>
      </c>
      <c r="G114" s="772">
        <v>1305</v>
      </c>
      <c r="H114" s="772">
        <v>5100</v>
      </c>
      <c r="I114" s="772">
        <v>5792</v>
      </c>
      <c r="J114" s="772">
        <v>885</v>
      </c>
      <c r="K114" s="772"/>
      <c r="L114" s="772">
        <v>13082</v>
      </c>
    </row>
    <row r="115" spans="1:12" x14ac:dyDescent="0.2">
      <c r="A115" s="839"/>
      <c r="B115" s="752"/>
      <c r="C115" s="781" t="s">
        <v>473</v>
      </c>
      <c r="D115" s="755" t="s">
        <v>462</v>
      </c>
      <c r="E115" s="759">
        <v>7824</v>
      </c>
      <c r="F115" s="759">
        <v>0</v>
      </c>
      <c r="G115" s="759">
        <v>1305</v>
      </c>
      <c r="H115" s="759">
        <v>5100</v>
      </c>
      <c r="I115" s="759">
        <v>1419</v>
      </c>
      <c r="J115" s="766"/>
      <c r="K115" s="766"/>
      <c r="L115" s="759">
        <v>7824</v>
      </c>
    </row>
    <row r="116" spans="1:12" x14ac:dyDescent="0.2">
      <c r="A116" s="840"/>
      <c r="B116" s="752"/>
      <c r="C116" s="781" t="s">
        <v>473</v>
      </c>
      <c r="D116" s="755" t="s">
        <v>483</v>
      </c>
      <c r="E116" s="759">
        <v>4373</v>
      </c>
      <c r="F116" s="759">
        <v>0</v>
      </c>
      <c r="G116" s="759">
        <v>0</v>
      </c>
      <c r="H116" s="759">
        <v>0</v>
      </c>
      <c r="I116" s="759">
        <v>4373</v>
      </c>
      <c r="J116" s="759">
        <v>885</v>
      </c>
      <c r="K116" s="759">
        <v>0</v>
      </c>
      <c r="L116" s="759">
        <v>5258</v>
      </c>
    </row>
    <row r="117" spans="1:12" s="773" customFormat="1" x14ac:dyDescent="0.2">
      <c r="A117" s="838">
        <v>77</v>
      </c>
      <c r="B117" s="768" t="s">
        <v>113</v>
      </c>
      <c r="C117" s="769" t="s">
        <v>489</v>
      </c>
      <c r="D117" s="770" t="s">
        <v>483</v>
      </c>
      <c r="E117" s="772">
        <v>20710</v>
      </c>
      <c r="F117" s="772">
        <v>211</v>
      </c>
      <c r="G117" s="772">
        <v>898</v>
      </c>
      <c r="H117" s="772">
        <v>0</v>
      </c>
      <c r="I117" s="772">
        <v>19601</v>
      </c>
      <c r="J117" s="772">
        <v>1180</v>
      </c>
      <c r="K117" s="772">
        <v>0</v>
      </c>
      <c r="L117" s="772">
        <v>21890</v>
      </c>
    </row>
    <row r="118" spans="1:12" x14ac:dyDescent="0.2">
      <c r="A118" s="839"/>
      <c r="B118" s="752"/>
      <c r="C118" s="781" t="s">
        <v>473</v>
      </c>
      <c r="D118" s="755" t="s">
        <v>462</v>
      </c>
      <c r="E118" s="759">
        <v>4752</v>
      </c>
      <c r="F118" s="759">
        <v>30</v>
      </c>
      <c r="G118" s="759">
        <v>898</v>
      </c>
      <c r="H118" s="759">
        <v>0</v>
      </c>
      <c r="I118" s="759">
        <v>3824</v>
      </c>
      <c r="J118" s="766"/>
      <c r="K118" s="766"/>
      <c r="L118" s="759">
        <v>4752</v>
      </c>
    </row>
    <row r="119" spans="1:12" x14ac:dyDescent="0.2">
      <c r="A119" s="840"/>
      <c r="B119" s="752"/>
      <c r="C119" s="781" t="s">
        <v>473</v>
      </c>
      <c r="D119" s="756" t="s">
        <v>483</v>
      </c>
      <c r="E119" s="759">
        <v>15958</v>
      </c>
      <c r="F119" s="759">
        <v>181</v>
      </c>
      <c r="G119" s="759">
        <v>0</v>
      </c>
      <c r="H119" s="759">
        <v>0</v>
      </c>
      <c r="I119" s="759">
        <v>15777</v>
      </c>
      <c r="J119" s="759">
        <v>1180</v>
      </c>
      <c r="K119" s="759">
        <v>0</v>
      </c>
      <c r="L119" s="759">
        <v>17138</v>
      </c>
    </row>
    <row r="120" spans="1:12" s="773" customFormat="1" x14ac:dyDescent="0.2">
      <c r="A120" s="787">
        <v>78</v>
      </c>
      <c r="B120" s="780" t="s">
        <v>278</v>
      </c>
      <c r="C120" s="783" t="s">
        <v>490</v>
      </c>
      <c r="D120" s="770" t="s">
        <v>483</v>
      </c>
      <c r="E120" s="772">
        <v>8177</v>
      </c>
      <c r="F120" s="772">
        <v>0</v>
      </c>
      <c r="G120" s="772">
        <v>0</v>
      </c>
      <c r="H120" s="772">
        <v>0</v>
      </c>
      <c r="I120" s="772">
        <v>8177</v>
      </c>
      <c r="J120" s="772">
        <v>2000</v>
      </c>
      <c r="K120" s="772">
        <v>0</v>
      </c>
      <c r="L120" s="772">
        <v>10177</v>
      </c>
    </row>
    <row r="121" spans="1:12" s="773" customFormat="1" x14ac:dyDescent="0.2">
      <c r="A121" s="844">
        <v>79</v>
      </c>
      <c r="B121" s="780" t="s">
        <v>272</v>
      </c>
      <c r="C121" s="783" t="s">
        <v>273</v>
      </c>
      <c r="D121" s="770" t="s">
        <v>491</v>
      </c>
      <c r="E121" s="772">
        <v>24648</v>
      </c>
      <c r="F121" s="772">
        <v>2267</v>
      </c>
      <c r="G121" s="772">
        <v>932</v>
      </c>
      <c r="H121" s="772">
        <v>0</v>
      </c>
      <c r="I121" s="772">
        <v>21449</v>
      </c>
      <c r="J121" s="772">
        <v>2873</v>
      </c>
      <c r="K121" s="772">
        <v>270</v>
      </c>
      <c r="L121" s="772">
        <v>27521</v>
      </c>
    </row>
    <row r="122" spans="1:12" x14ac:dyDescent="0.2">
      <c r="A122" s="845"/>
      <c r="B122" s="788"/>
      <c r="C122" s="781" t="s">
        <v>473</v>
      </c>
      <c r="D122" s="755" t="s">
        <v>462</v>
      </c>
      <c r="E122" s="759">
        <v>3913</v>
      </c>
      <c r="F122" s="759">
        <v>0</v>
      </c>
      <c r="G122" s="759">
        <v>932</v>
      </c>
      <c r="H122" s="759">
        <v>0</v>
      </c>
      <c r="I122" s="759">
        <v>2981</v>
      </c>
      <c r="J122" s="763"/>
      <c r="K122" s="763"/>
      <c r="L122" s="759">
        <v>3913</v>
      </c>
    </row>
    <row r="123" spans="1:12" ht="15" customHeight="1" x14ac:dyDescent="0.2">
      <c r="A123" s="846"/>
      <c r="B123" s="788"/>
      <c r="C123" s="781" t="s">
        <v>473</v>
      </c>
      <c r="D123" s="756" t="s">
        <v>491</v>
      </c>
      <c r="E123" s="759">
        <v>20735</v>
      </c>
      <c r="F123" s="759">
        <v>2267</v>
      </c>
      <c r="G123" s="759">
        <v>0</v>
      </c>
      <c r="H123" s="759">
        <v>0</v>
      </c>
      <c r="I123" s="759">
        <v>18468</v>
      </c>
      <c r="J123" s="759">
        <v>2873</v>
      </c>
      <c r="K123" s="759">
        <v>270</v>
      </c>
      <c r="L123" s="759">
        <v>23608</v>
      </c>
    </row>
    <row r="124" spans="1:12" s="773" customFormat="1" ht="19.5" customHeight="1" x14ac:dyDescent="0.2">
      <c r="A124" s="838">
        <v>80</v>
      </c>
      <c r="B124" s="782" t="s">
        <v>277</v>
      </c>
      <c r="C124" s="783" t="s">
        <v>2</v>
      </c>
      <c r="D124" s="770" t="s">
        <v>491</v>
      </c>
      <c r="E124" s="772">
        <v>16758</v>
      </c>
      <c r="F124" s="772">
        <v>836</v>
      </c>
      <c r="G124" s="772">
        <v>296</v>
      </c>
      <c r="H124" s="772">
        <v>0</v>
      </c>
      <c r="I124" s="772">
        <v>15626</v>
      </c>
      <c r="J124" s="772">
        <v>1060</v>
      </c>
      <c r="K124" s="772">
        <v>99</v>
      </c>
      <c r="L124" s="772">
        <v>17818</v>
      </c>
    </row>
    <row r="125" spans="1:12" x14ac:dyDescent="0.2">
      <c r="A125" s="839"/>
      <c r="B125" s="752"/>
      <c r="C125" s="781" t="s">
        <v>473</v>
      </c>
      <c r="D125" s="755" t="s">
        <v>462</v>
      </c>
      <c r="E125" s="759">
        <v>2759</v>
      </c>
      <c r="F125" s="759">
        <v>0</v>
      </c>
      <c r="G125" s="759">
        <v>296</v>
      </c>
      <c r="H125" s="759">
        <v>0</v>
      </c>
      <c r="I125" s="759">
        <v>2463</v>
      </c>
      <c r="J125" s="763"/>
      <c r="K125" s="763"/>
      <c r="L125" s="759">
        <v>2759</v>
      </c>
    </row>
    <row r="126" spans="1:12" x14ac:dyDescent="0.2">
      <c r="A126" s="840"/>
      <c r="B126" s="752"/>
      <c r="C126" s="781" t="s">
        <v>473</v>
      </c>
      <c r="D126" s="755" t="s">
        <v>491</v>
      </c>
      <c r="E126" s="778">
        <v>13999</v>
      </c>
      <c r="F126" s="778">
        <v>836</v>
      </c>
      <c r="G126" s="778">
        <v>0</v>
      </c>
      <c r="H126" s="778">
        <v>0</v>
      </c>
      <c r="I126" s="759">
        <v>13163</v>
      </c>
      <c r="J126" s="759">
        <v>1060</v>
      </c>
      <c r="K126" s="759">
        <v>99</v>
      </c>
      <c r="L126" s="759">
        <v>15059</v>
      </c>
    </row>
    <row r="127" spans="1:12" s="773" customFormat="1" x14ac:dyDescent="0.2">
      <c r="A127" s="787">
        <v>81</v>
      </c>
      <c r="B127" s="768" t="s">
        <v>248</v>
      </c>
      <c r="C127" s="783" t="s">
        <v>492</v>
      </c>
      <c r="D127" s="770" t="s">
        <v>491</v>
      </c>
      <c r="E127" s="772">
        <v>1086</v>
      </c>
      <c r="F127" s="772">
        <v>1000</v>
      </c>
      <c r="G127" s="772">
        <v>0</v>
      </c>
      <c r="H127" s="772">
        <v>0</v>
      </c>
      <c r="I127" s="772">
        <v>86</v>
      </c>
      <c r="J127" s="772">
        <v>265</v>
      </c>
      <c r="K127" s="772">
        <v>0</v>
      </c>
      <c r="L127" s="772">
        <v>1351</v>
      </c>
    </row>
    <row r="128" spans="1:12" s="773" customFormat="1" x14ac:dyDescent="0.2">
      <c r="A128" s="787">
        <v>82</v>
      </c>
      <c r="B128" s="780" t="s">
        <v>285</v>
      </c>
      <c r="C128" s="783" t="s">
        <v>286</v>
      </c>
      <c r="D128" s="770" t="s">
        <v>491</v>
      </c>
      <c r="E128" s="772">
        <v>5949</v>
      </c>
      <c r="F128" s="772">
        <v>0</v>
      </c>
      <c r="G128" s="772">
        <v>1472</v>
      </c>
      <c r="H128" s="772">
        <v>374</v>
      </c>
      <c r="I128" s="772">
        <v>4103</v>
      </c>
      <c r="J128" s="772">
        <v>210</v>
      </c>
      <c r="K128" s="772">
        <v>0</v>
      </c>
      <c r="L128" s="772">
        <v>6159</v>
      </c>
    </row>
    <row r="129" spans="1:12" s="773" customFormat="1" x14ac:dyDescent="0.2">
      <c r="A129" s="789"/>
      <c r="B129" s="790"/>
      <c r="C129" s="791"/>
      <c r="D129" s="792"/>
      <c r="E129" s="793">
        <f>'[13]Свод КСГ по МО объемы'!DW450</f>
        <v>0</v>
      </c>
      <c r="F129" s="793"/>
      <c r="G129" s="793"/>
      <c r="H129" s="793"/>
      <c r="I129" s="793"/>
      <c r="J129" s="793"/>
      <c r="K129" s="793"/>
      <c r="L129" s="793"/>
    </row>
    <row r="130" spans="1:12" s="773" customFormat="1" x14ac:dyDescent="0.2">
      <c r="A130" s="787"/>
      <c r="B130" s="794"/>
      <c r="C130" s="795" t="s">
        <v>4</v>
      </c>
      <c r="D130" s="770"/>
      <c r="E130" s="771">
        <f t="shared" ref="E130:K130" si="0">SUM(E5:E63)+E66+E69+E72+E75+E78+E81+E84+E87+E90+E93+E96+E99+E102+E105+E108+E111+E114+E117+E120+E121+E124+E127+E128+E129</f>
        <v>624960</v>
      </c>
      <c r="F130" s="771">
        <f t="shared" si="0"/>
        <v>34583</v>
      </c>
      <c r="G130" s="771">
        <f t="shared" si="0"/>
        <v>16808</v>
      </c>
      <c r="H130" s="771">
        <f t="shared" si="0"/>
        <v>22904</v>
      </c>
      <c r="I130" s="771">
        <f t="shared" si="0"/>
        <v>550665</v>
      </c>
      <c r="J130" s="771">
        <f t="shared" si="0"/>
        <v>19679</v>
      </c>
      <c r="K130" s="771">
        <f t="shared" si="0"/>
        <v>2211</v>
      </c>
      <c r="L130" s="771">
        <f>SUM(L5:L63)+L66+L69+L72+L75+L78+L81+L84+L87+L90+L93+L96+L99+L102+L105+L108+L111+L114+L117+L120+L121+L124+L127+L128+L129</f>
        <v>644639</v>
      </c>
    </row>
    <row r="131" spans="1:12" ht="25.5" x14ac:dyDescent="0.2">
      <c r="A131" s="752"/>
      <c r="B131" s="752"/>
      <c r="C131" s="754" t="s">
        <v>493</v>
      </c>
      <c r="D131" s="755"/>
      <c r="E131" s="771">
        <f>'[13]на 2022 год'!Y147</f>
        <v>14307</v>
      </c>
      <c r="F131" s="771">
        <v>804</v>
      </c>
      <c r="G131" s="771"/>
      <c r="H131" s="771"/>
      <c r="I131" s="771">
        <f>E131-F131-G131-H131</f>
        <v>13503</v>
      </c>
      <c r="J131" s="771">
        <v>38</v>
      </c>
      <c r="K131" s="771"/>
      <c r="L131" s="771">
        <f>E131+J131</f>
        <v>14345</v>
      </c>
    </row>
    <row r="132" spans="1:12" ht="19.5" customHeight="1" x14ac:dyDescent="0.2">
      <c r="A132" s="796" t="s">
        <v>329</v>
      </c>
      <c r="B132" s="797"/>
      <c r="C132" s="797"/>
      <c r="D132" s="798"/>
      <c r="E132" s="771">
        <f>E130+E131</f>
        <v>639267</v>
      </c>
      <c r="F132" s="771">
        <f>F130+F131</f>
        <v>35387</v>
      </c>
      <c r="G132" s="771">
        <f t="shared" ref="G132:K132" si="1">G130+G131</f>
        <v>16808</v>
      </c>
      <c r="H132" s="771">
        <f t="shared" si="1"/>
        <v>22904</v>
      </c>
      <c r="I132" s="771">
        <f t="shared" si="1"/>
        <v>564168</v>
      </c>
      <c r="J132" s="771">
        <f t="shared" si="1"/>
        <v>19717</v>
      </c>
      <c r="K132" s="771">
        <f t="shared" si="1"/>
        <v>2211</v>
      </c>
      <c r="L132" s="771">
        <f>L130+L131</f>
        <v>658984</v>
      </c>
    </row>
    <row r="133" spans="1:12" x14ac:dyDescent="0.2">
      <c r="E133" s="751"/>
      <c r="F133" s="751"/>
      <c r="G133" s="751"/>
      <c r="H133" s="751"/>
      <c r="I133" s="751"/>
      <c r="J133" s="751"/>
      <c r="K133" s="751"/>
      <c r="L133" s="751"/>
    </row>
    <row r="134" spans="1:12" x14ac:dyDescent="0.2">
      <c r="E134" s="748"/>
      <c r="F134" s="748"/>
      <c r="G134" s="748"/>
      <c r="H134" s="748"/>
      <c r="I134" s="748"/>
      <c r="J134" s="748"/>
      <c r="K134" s="748"/>
      <c r="L134" s="748"/>
    </row>
    <row r="135" spans="1:12" x14ac:dyDescent="0.2">
      <c r="E135" s="748"/>
      <c r="F135" s="748"/>
      <c r="G135" s="748"/>
      <c r="H135" s="748"/>
      <c r="I135" s="748"/>
      <c r="J135" s="748"/>
      <c r="K135" s="748"/>
      <c r="L135" s="748"/>
    </row>
    <row r="136" spans="1:12" x14ac:dyDescent="0.2">
      <c r="E136" s="748"/>
      <c r="F136" s="748"/>
      <c r="G136" s="748"/>
      <c r="H136" s="748"/>
      <c r="I136" s="748"/>
      <c r="J136" s="748"/>
      <c r="K136" s="748"/>
      <c r="L136" s="748"/>
    </row>
    <row r="137" spans="1:12" x14ac:dyDescent="0.2">
      <c r="E137" s="748"/>
      <c r="F137" s="748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.70866141732283472" right="0.70866141732283472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160"/>
  <sheetViews>
    <sheetView workbookViewId="0">
      <pane xSplit="3" ySplit="10" topLeftCell="J136" activePane="bottomRight" state="frozen"/>
      <selection activeCell="S14" sqref="S14"/>
      <selection pane="topRight" activeCell="S14" sqref="S14"/>
      <selection pane="bottomLeft" activeCell="S14" sqref="S14"/>
      <selection pane="bottomRight" activeCell="L168" sqref="L168"/>
    </sheetView>
  </sheetViews>
  <sheetFormatPr defaultRowHeight="12" x14ac:dyDescent="0.2"/>
  <cols>
    <col min="1" max="1" width="5" style="563" customWidth="1"/>
    <col min="2" max="2" width="7.140625" style="563" customWidth="1"/>
    <col min="3" max="3" width="35.140625" style="563" customWidth="1"/>
    <col min="4" max="4" width="11.140625" style="563" customWidth="1"/>
    <col min="5" max="5" width="8.85546875" style="563" customWidth="1"/>
    <col min="6" max="6" width="20" style="563" customWidth="1"/>
    <col min="7" max="10" width="12.7109375" style="563" customWidth="1"/>
    <col min="11" max="11" width="10.7109375" style="563" customWidth="1"/>
    <col min="12" max="13" width="12.7109375" style="563" customWidth="1"/>
    <col min="14" max="14" width="17.7109375" style="563" customWidth="1"/>
    <col min="15" max="15" width="14" style="563" customWidth="1"/>
    <col min="16" max="16" width="13.5703125" style="563" customWidth="1"/>
    <col min="17" max="17" width="14.28515625" style="563" customWidth="1"/>
    <col min="18" max="16384" width="9.140625" style="563"/>
  </cols>
  <sheetData>
    <row r="1" spans="1:18" ht="22.5" customHeight="1" x14ac:dyDescent="0.2">
      <c r="A1" s="918" t="s">
        <v>306</v>
      </c>
      <c r="B1" s="918"/>
      <c r="C1" s="918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571"/>
    </row>
    <row r="2" spans="1:18" ht="12" customHeight="1" x14ac:dyDescent="0.2">
      <c r="A2" s="919" t="s">
        <v>0</v>
      </c>
      <c r="B2" s="920" t="s">
        <v>106</v>
      </c>
      <c r="C2" s="919" t="s">
        <v>107</v>
      </c>
      <c r="D2" s="931" t="s">
        <v>307</v>
      </c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1"/>
      <c r="Q2" s="931"/>
    </row>
    <row r="3" spans="1:18" ht="18" customHeight="1" x14ac:dyDescent="0.2">
      <c r="A3" s="919"/>
      <c r="B3" s="921"/>
      <c r="C3" s="919"/>
      <c r="D3" s="925" t="s">
        <v>163</v>
      </c>
      <c r="E3" s="931" t="s">
        <v>164</v>
      </c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18" ht="47.25" customHeight="1" x14ac:dyDescent="0.2">
      <c r="A4" s="919"/>
      <c r="B4" s="921"/>
      <c r="C4" s="919"/>
      <c r="D4" s="925"/>
      <c r="E4" s="928" t="s">
        <v>308</v>
      </c>
      <c r="F4" s="928"/>
      <c r="G4" s="933" t="s">
        <v>309</v>
      </c>
      <c r="H4" s="934"/>
      <c r="I4" s="928" t="s">
        <v>310</v>
      </c>
      <c r="J4" s="928"/>
      <c r="K4" s="936" t="s">
        <v>311</v>
      </c>
      <c r="L4" s="933"/>
      <c r="M4" s="933"/>
      <c r="N4" s="934"/>
      <c r="O4" s="935" t="s">
        <v>312</v>
      </c>
      <c r="P4" s="935"/>
      <c r="Q4" s="935"/>
    </row>
    <row r="5" spans="1:18" ht="22.5" customHeight="1" x14ac:dyDescent="0.2">
      <c r="A5" s="919"/>
      <c r="B5" s="921"/>
      <c r="C5" s="919"/>
      <c r="D5" s="925"/>
      <c r="E5" s="926" t="s">
        <v>313</v>
      </c>
      <c r="F5" s="926" t="s">
        <v>320</v>
      </c>
      <c r="G5" s="938" t="s">
        <v>314</v>
      </c>
      <c r="H5" s="926" t="s">
        <v>315</v>
      </c>
      <c r="I5" s="919" t="s">
        <v>318</v>
      </c>
      <c r="J5" s="928" t="s">
        <v>319</v>
      </c>
      <c r="K5" s="928" t="s">
        <v>313</v>
      </c>
      <c r="L5" s="919" t="s">
        <v>316</v>
      </c>
      <c r="M5" s="938" t="s">
        <v>317</v>
      </c>
      <c r="N5" s="938" t="s">
        <v>321</v>
      </c>
      <c r="O5" s="935" t="s">
        <v>308</v>
      </c>
      <c r="P5" s="935" t="s">
        <v>309</v>
      </c>
      <c r="Q5" s="935"/>
    </row>
    <row r="6" spans="1:18" ht="51" customHeight="1" x14ac:dyDescent="0.2">
      <c r="A6" s="919"/>
      <c r="B6" s="930"/>
      <c r="C6" s="919"/>
      <c r="D6" s="932"/>
      <c r="E6" s="937"/>
      <c r="F6" s="937"/>
      <c r="G6" s="932"/>
      <c r="H6" s="937"/>
      <c r="I6" s="919"/>
      <c r="J6" s="928"/>
      <c r="K6" s="928"/>
      <c r="L6" s="919"/>
      <c r="M6" s="932"/>
      <c r="N6" s="932"/>
      <c r="O6" s="935"/>
      <c r="P6" s="572" t="s">
        <v>314</v>
      </c>
      <c r="Q6" s="572" t="s">
        <v>315</v>
      </c>
    </row>
    <row r="7" spans="1:18" s="569" customFormat="1" ht="11.25" x14ac:dyDescent="0.2">
      <c r="A7" s="567">
        <v>1</v>
      </c>
      <c r="B7" s="567">
        <v>2</v>
      </c>
      <c r="C7" s="567">
        <v>3</v>
      </c>
      <c r="D7" s="568">
        <v>4</v>
      </c>
      <c r="E7" s="549">
        <v>5</v>
      </c>
      <c r="F7" s="549">
        <v>6</v>
      </c>
      <c r="G7" s="549">
        <v>8</v>
      </c>
      <c r="H7" s="549">
        <v>9</v>
      </c>
      <c r="I7" s="549">
        <v>11</v>
      </c>
      <c r="J7" s="549">
        <v>12</v>
      </c>
      <c r="K7" s="549">
        <v>13</v>
      </c>
      <c r="L7" s="549">
        <v>14</v>
      </c>
      <c r="M7" s="549">
        <v>15</v>
      </c>
      <c r="N7" s="549">
        <v>16</v>
      </c>
      <c r="O7" s="573">
        <v>17</v>
      </c>
      <c r="P7" s="573">
        <v>18</v>
      </c>
      <c r="Q7" s="573">
        <v>19</v>
      </c>
    </row>
    <row r="8" spans="1:18" s="569" customFormat="1" x14ac:dyDescent="0.2">
      <c r="A8" s="907" t="s">
        <v>1</v>
      </c>
      <c r="B8" s="907"/>
      <c r="C8" s="907"/>
      <c r="D8" s="553">
        <f>D9+D10</f>
        <v>4705224</v>
      </c>
      <c r="E8" s="553">
        <f>E9+E10</f>
        <v>177403</v>
      </c>
      <c r="F8" s="553">
        <f t="shared" ref="F8:Q8" si="0">F9+F10</f>
        <v>100</v>
      </c>
      <c r="G8" s="553">
        <f t="shared" si="0"/>
        <v>855247</v>
      </c>
      <c r="H8" s="553">
        <f t="shared" si="0"/>
        <v>2463886</v>
      </c>
      <c r="I8" s="553">
        <f t="shared" si="0"/>
        <v>37926</v>
      </c>
      <c r="J8" s="553">
        <f t="shared" si="0"/>
        <v>16243</v>
      </c>
      <c r="K8" s="553">
        <f t="shared" si="0"/>
        <v>877443</v>
      </c>
      <c r="L8" s="553">
        <f t="shared" si="0"/>
        <v>47990</v>
      </c>
      <c r="M8" s="553">
        <f t="shared" si="0"/>
        <v>829453</v>
      </c>
      <c r="N8" s="553">
        <f t="shared" si="0"/>
        <v>520</v>
      </c>
      <c r="O8" s="553">
        <f t="shared" si="0"/>
        <v>32735</v>
      </c>
      <c r="P8" s="553">
        <f t="shared" si="0"/>
        <v>69101</v>
      </c>
      <c r="Q8" s="553">
        <f t="shared" si="0"/>
        <v>175240</v>
      </c>
    </row>
    <row r="9" spans="1:18" s="569" customFormat="1" x14ac:dyDescent="0.2">
      <c r="A9" s="911" t="s">
        <v>3</v>
      </c>
      <c r="B9" s="912"/>
      <c r="C9" s="913"/>
      <c r="D9" s="553">
        <f>E9+G9+H9+I9+J9+K9+O9+P9+Q9</f>
        <v>319005</v>
      </c>
      <c r="E9" s="553">
        <v>4284</v>
      </c>
      <c r="F9" s="553">
        <f>'[18]Прот.3-22'!F9+[18]Откл.Пр!F9</f>
        <v>0</v>
      </c>
      <c r="G9" s="553">
        <f>'[18]Прот.3-22'!H9+[18]Откл.Пр!H9</f>
        <v>314721</v>
      </c>
      <c r="H9" s="553">
        <f>'[18]Прот.3-22'!I9+[18]Откл.Пр!I9</f>
        <v>0</v>
      </c>
      <c r="I9" s="553">
        <f>'[18]Разовое пос. по заб. Пр.19-21 '!K9+'[18]Откл.Пр3-22-Пр.19-21'!K9</f>
        <v>0</v>
      </c>
      <c r="J9" s="553">
        <f>'[18]Разовое пос. по заб. Пр.19-21 '!L9+'[18]Откл.Пр3-22-Пр.19-21'!L9</f>
        <v>0</v>
      </c>
      <c r="K9" s="553">
        <v>0</v>
      </c>
      <c r="L9" s="553">
        <f>'[18]Разовое пос. по заб. Пр.19-21 '!N9+'[18]Откл.Пр3-22-Пр.19-21'!N9</f>
        <v>0</v>
      </c>
      <c r="M9" s="553">
        <f>'[18]Разовое пос. по заб. Пр.19-21 '!O9+'[18]Откл.Пр3-22-Пр.19-21'!O9</f>
        <v>0</v>
      </c>
      <c r="N9" s="553">
        <v>0</v>
      </c>
      <c r="O9" s="550">
        <v>0</v>
      </c>
      <c r="P9" s="573">
        <v>0</v>
      </c>
      <c r="Q9" s="573">
        <v>0</v>
      </c>
    </row>
    <row r="10" spans="1:18" s="569" customFormat="1" x14ac:dyDescent="0.2">
      <c r="A10" s="911" t="s">
        <v>4</v>
      </c>
      <c r="B10" s="912"/>
      <c r="C10" s="913"/>
      <c r="D10" s="574">
        <f>E10+G10+H10+I10+J10+K10+O10+P10+Q10</f>
        <v>4386219</v>
      </c>
      <c r="E10" s="553">
        <f t="shared" ref="E10:J10" si="1">SUM(E11:E148)</f>
        <v>173119</v>
      </c>
      <c r="F10" s="553">
        <f t="shared" si="1"/>
        <v>100</v>
      </c>
      <c r="G10" s="553">
        <f t="shared" si="1"/>
        <v>540526</v>
      </c>
      <c r="H10" s="553">
        <f t="shared" si="1"/>
        <v>2463886</v>
      </c>
      <c r="I10" s="553">
        <f t="shared" si="1"/>
        <v>37926</v>
      </c>
      <c r="J10" s="553">
        <f t="shared" si="1"/>
        <v>16243</v>
      </c>
      <c r="K10" s="553">
        <f>L10+M10</f>
        <v>877443</v>
      </c>
      <c r="L10" s="553">
        <f t="shared" ref="L10:Q10" si="2">SUM(L11:L148)</f>
        <v>47990</v>
      </c>
      <c r="M10" s="553">
        <f t="shared" si="2"/>
        <v>829453</v>
      </c>
      <c r="N10" s="553">
        <f t="shared" si="2"/>
        <v>520</v>
      </c>
      <c r="O10" s="553">
        <f t="shared" si="2"/>
        <v>32735</v>
      </c>
      <c r="P10" s="553">
        <f t="shared" si="2"/>
        <v>69101</v>
      </c>
      <c r="Q10" s="553">
        <f t="shared" si="2"/>
        <v>175240</v>
      </c>
    </row>
    <row r="11" spans="1:18" x14ac:dyDescent="0.2">
      <c r="A11" s="35">
        <v>1</v>
      </c>
      <c r="B11" s="36" t="s">
        <v>69</v>
      </c>
      <c r="C11" s="37" t="s">
        <v>29</v>
      </c>
      <c r="D11" s="553">
        <f>E11+G11+H11+I11+J11+K11+O11+P11+Q11</f>
        <v>14777</v>
      </c>
      <c r="E11" s="557">
        <f>'[18]Прот.3-22'!E11+[18]Откл.Пр!E11</f>
        <v>0</v>
      </c>
      <c r="F11" s="557">
        <f>'[18]Прот.3-22'!F11+[18]Откл.Пр!F11</f>
        <v>0</v>
      </c>
      <c r="G11" s="557">
        <f>'[18]Прот.3-22'!H11+[18]Откл.Пр!H11</f>
        <v>5500</v>
      </c>
      <c r="H11" s="557">
        <f>'[18]Прот.3-22'!I11+[18]Откл.Пр!I11</f>
        <v>9277</v>
      </c>
      <c r="I11" s="557">
        <f>'[18]Прот.3-22'!K11+[18]Откл.Пр!K11</f>
        <v>0</v>
      </c>
      <c r="J11" s="557">
        <f>'[18]Прот.3-22'!L11+[18]Откл.Пр!L11</f>
        <v>0</v>
      </c>
      <c r="K11" s="549">
        <f>L11+M11</f>
        <v>0</v>
      </c>
      <c r="L11" s="557">
        <f>'[18]Прот.3-22'!N11+[18]Откл.Пр!N11</f>
        <v>0</v>
      </c>
      <c r="M11" s="557">
        <f>'[18]Прот.3-22'!O11+[18]Откл.Пр!O11</f>
        <v>0</v>
      </c>
      <c r="N11" s="557"/>
      <c r="O11" s="550">
        <v>0</v>
      </c>
      <c r="P11" s="558">
        <v>0</v>
      </c>
      <c r="Q11" s="558">
        <v>0</v>
      </c>
      <c r="R11" s="544"/>
    </row>
    <row r="12" spans="1:18" x14ac:dyDescent="0.2">
      <c r="A12" s="35">
        <v>2</v>
      </c>
      <c r="B12" s="38" t="s">
        <v>70</v>
      </c>
      <c r="C12" s="37" t="s">
        <v>31</v>
      </c>
      <c r="D12" s="553">
        <f t="shared" ref="D12:D75" si="3">E12+G12+H12+I12+J12+K12+O12+P12+Q12</f>
        <v>21696</v>
      </c>
      <c r="E12" s="557">
        <f>'[18]Прот.3-22'!E12+[18]Откл.Пр!E12</f>
        <v>0</v>
      </c>
      <c r="F12" s="557">
        <f>'[18]Прот.3-22'!F12+[18]Откл.Пр!F12</f>
        <v>0</v>
      </c>
      <c r="G12" s="557">
        <f>'[18]Прот.3-22'!H12+[18]Откл.Пр!H12</f>
        <v>6878</v>
      </c>
      <c r="H12" s="557">
        <f>'[18]Прот.3-22'!I12+[18]Откл.Пр!I12</f>
        <v>11150</v>
      </c>
      <c r="I12" s="557">
        <f>'[18]Прот.3-22'!K12+[18]Откл.Пр!K12</f>
        <v>1025</v>
      </c>
      <c r="J12" s="557">
        <f>'[18]Прот.3-22'!L12+[18]Откл.Пр!L12</f>
        <v>439</v>
      </c>
      <c r="K12" s="549">
        <f t="shared" ref="K12:K76" si="4">L12+M12</f>
        <v>0</v>
      </c>
      <c r="L12" s="557">
        <f>'[18]Прот.3-22'!N12+[18]Откл.Пр!N12</f>
        <v>0</v>
      </c>
      <c r="M12" s="557">
        <f>'[18]Прот.3-22'!O12+[18]Откл.Пр!O12</f>
        <v>0</v>
      </c>
      <c r="N12" s="557"/>
      <c r="O12" s="550">
        <v>0</v>
      </c>
      <c r="P12" s="558">
        <v>0</v>
      </c>
      <c r="Q12" s="558">
        <v>2204</v>
      </c>
      <c r="R12" s="544"/>
    </row>
    <row r="13" spans="1:18" x14ac:dyDescent="0.2">
      <c r="A13" s="35">
        <v>3</v>
      </c>
      <c r="B13" s="12" t="s">
        <v>71</v>
      </c>
      <c r="C13" s="9" t="s">
        <v>5</v>
      </c>
      <c r="D13" s="553">
        <f t="shared" si="3"/>
        <v>50000</v>
      </c>
      <c r="E13" s="557">
        <f>'[18]Прот.3-22'!E13+[18]Откл.Пр!E13</f>
        <v>0</v>
      </c>
      <c r="F13" s="557">
        <f>'[18]Прот.3-22'!F13+[18]Откл.Пр!F13</f>
        <v>0</v>
      </c>
      <c r="G13" s="557">
        <f>'[18]Прот.3-22'!H13+[18]Откл.Пр!H13</f>
        <v>4580</v>
      </c>
      <c r="H13" s="557">
        <f>'[18]Прот.3-22'!I13+[18]Откл.Пр!I13</f>
        <v>25314</v>
      </c>
      <c r="I13" s="557">
        <f>'[18]Прот.3-22'!K13+[18]Откл.Пр!K13</f>
        <v>1025</v>
      </c>
      <c r="J13" s="557">
        <f>'[18]Прот.3-22'!L13+[18]Откл.Пр!L13</f>
        <v>439</v>
      </c>
      <c r="K13" s="549">
        <f t="shared" si="4"/>
        <v>7142</v>
      </c>
      <c r="L13" s="557">
        <f>'[18]Прот.3-22'!N13+[18]Откл.Пр!N13</f>
        <v>6962</v>
      </c>
      <c r="M13" s="557">
        <f>'[18]Прот.3-22'!O13+[18]Откл.Пр!O13</f>
        <v>180</v>
      </c>
      <c r="N13" s="557"/>
      <c r="O13" s="550">
        <v>0</v>
      </c>
      <c r="P13" s="558">
        <v>500</v>
      </c>
      <c r="Q13" s="558">
        <v>11000</v>
      </c>
      <c r="R13" s="544"/>
    </row>
    <row r="14" spans="1:18" x14ac:dyDescent="0.2">
      <c r="A14" s="35">
        <v>4</v>
      </c>
      <c r="B14" s="36" t="s">
        <v>72</v>
      </c>
      <c r="C14" s="37" t="s">
        <v>35</v>
      </c>
      <c r="D14" s="553">
        <f t="shared" si="3"/>
        <v>22887</v>
      </c>
      <c r="E14" s="557">
        <f>'[18]Прот.3-22'!E14+[18]Откл.Пр!E14</f>
        <v>0</v>
      </c>
      <c r="F14" s="557">
        <f>'[18]Прот.3-22'!F14+[18]Откл.Пр!F14</f>
        <v>0</v>
      </c>
      <c r="G14" s="557">
        <f>'[18]Прот.3-22'!H14+[18]Откл.Пр!H14</f>
        <v>2479</v>
      </c>
      <c r="H14" s="557">
        <f>'[18]Прот.3-22'!I14+[18]Откл.Пр!I14</f>
        <v>15408</v>
      </c>
      <c r="I14" s="557">
        <f>'[18]Прот.3-22'!K14+[18]Откл.Пр!K14</f>
        <v>0</v>
      </c>
      <c r="J14" s="557">
        <f>'[18]Прот.3-22'!L14+[18]Откл.Пр!L14</f>
        <v>0</v>
      </c>
      <c r="K14" s="549">
        <f t="shared" si="4"/>
        <v>0</v>
      </c>
      <c r="L14" s="557">
        <f>'[18]Прот.3-22'!N14+[18]Откл.Пр!N14</f>
        <v>0</v>
      </c>
      <c r="M14" s="557">
        <f>'[18]Прот.3-22'!O14+[18]Откл.Пр!O14</f>
        <v>0</v>
      </c>
      <c r="N14" s="557"/>
      <c r="O14" s="550">
        <v>0</v>
      </c>
      <c r="P14" s="558">
        <v>2500</v>
      </c>
      <c r="Q14" s="558">
        <v>2500</v>
      </c>
      <c r="R14" s="544"/>
    </row>
    <row r="15" spans="1:18" x14ac:dyDescent="0.2">
      <c r="A15" s="35">
        <v>5</v>
      </c>
      <c r="B15" s="36" t="s">
        <v>108</v>
      </c>
      <c r="C15" s="37" t="s">
        <v>37</v>
      </c>
      <c r="D15" s="553">
        <f t="shared" si="3"/>
        <v>19745</v>
      </c>
      <c r="E15" s="557">
        <f>'[18]Прот.3-22'!E15+[18]Откл.Пр!E15</f>
        <v>0</v>
      </c>
      <c r="F15" s="557">
        <f>'[18]Прот.3-22'!F15+[18]Откл.Пр!F15</f>
        <v>0</v>
      </c>
      <c r="G15" s="557">
        <f>'[18]Прот.3-22'!H15+[18]Откл.Пр!H15</f>
        <v>6229</v>
      </c>
      <c r="H15" s="557">
        <f>'[18]Прот.3-22'!I15+[18]Откл.Пр!I15</f>
        <v>10181</v>
      </c>
      <c r="I15" s="557">
        <f>'[18]Прот.3-22'!K15+[18]Откл.Пр!K15</f>
        <v>0</v>
      </c>
      <c r="J15" s="557">
        <f>'[18]Прот.3-22'!L15+[18]Откл.Пр!L15</f>
        <v>0</v>
      </c>
      <c r="K15" s="549">
        <f t="shared" si="4"/>
        <v>0</v>
      </c>
      <c r="L15" s="557">
        <f>'[18]Прот.3-22'!N15+[18]Откл.Пр!N15</f>
        <v>0</v>
      </c>
      <c r="M15" s="557">
        <f>'[18]Прот.3-22'!O15+[18]Откл.Пр!O15</f>
        <v>0</v>
      </c>
      <c r="N15" s="557"/>
      <c r="O15" s="550">
        <v>0</v>
      </c>
      <c r="P15" s="558">
        <v>1200</v>
      </c>
      <c r="Q15" s="558">
        <v>2135</v>
      </c>
      <c r="R15" s="544"/>
    </row>
    <row r="16" spans="1:18" x14ac:dyDescent="0.2">
      <c r="A16" s="35">
        <v>6</v>
      </c>
      <c r="B16" s="12" t="s">
        <v>73</v>
      </c>
      <c r="C16" s="9" t="s">
        <v>6</v>
      </c>
      <c r="D16" s="553">
        <f t="shared" si="3"/>
        <v>129609</v>
      </c>
      <c r="E16" s="557">
        <f>'[18]Прот.3-22'!E16+[18]Откл.Пр!E16</f>
        <v>0</v>
      </c>
      <c r="F16" s="557">
        <f>'[18]Прот.3-22'!F16+[18]Откл.Пр!F16</f>
        <v>0</v>
      </c>
      <c r="G16" s="557">
        <f>'[18]Прот.3-22'!H16+[18]Откл.Пр!H16</f>
        <v>28617</v>
      </c>
      <c r="H16" s="557">
        <f>'[18]Прот.3-22'!I16+[18]Откл.Пр!I16</f>
        <v>94692</v>
      </c>
      <c r="I16" s="557">
        <f>'[18]Прот.3-22'!K16+[18]Откл.Пр!K16</f>
        <v>1025</v>
      </c>
      <c r="J16" s="557">
        <f>'[18]Прот.3-22'!L16+[18]Откл.Пр!L16</f>
        <v>439</v>
      </c>
      <c r="K16" s="549">
        <f t="shared" si="4"/>
        <v>196</v>
      </c>
      <c r="L16" s="557">
        <f>'[18]Прот.3-22'!N16+[18]Откл.Пр!N16</f>
        <v>0</v>
      </c>
      <c r="M16" s="557">
        <f>'[18]Прот.3-22'!O16+[18]Откл.Пр!O16</f>
        <v>196</v>
      </c>
      <c r="N16" s="557"/>
      <c r="O16" s="550">
        <v>0</v>
      </c>
      <c r="P16" s="558">
        <v>3300</v>
      </c>
      <c r="Q16" s="558">
        <v>1340</v>
      </c>
      <c r="R16" s="544"/>
    </row>
    <row r="17" spans="1:18" x14ac:dyDescent="0.2">
      <c r="A17" s="35">
        <v>7</v>
      </c>
      <c r="B17" s="39" t="s">
        <v>109</v>
      </c>
      <c r="C17" s="40" t="s">
        <v>23</v>
      </c>
      <c r="D17" s="553">
        <f t="shared" si="3"/>
        <v>56010</v>
      </c>
      <c r="E17" s="557">
        <f>'[18]Прот.3-22'!E17+[18]Откл.Пр!E17</f>
        <v>0</v>
      </c>
      <c r="F17" s="557">
        <f>'[18]Прот.3-22'!F17+[18]Откл.Пр!F17</f>
        <v>0</v>
      </c>
      <c r="G17" s="557">
        <f>'[18]Прот.3-22'!H17+[18]Откл.Пр!H17</f>
        <v>7044</v>
      </c>
      <c r="H17" s="557">
        <f>'[18]Прот.3-22'!I17+[18]Откл.Пр!I17</f>
        <v>39979</v>
      </c>
      <c r="I17" s="557">
        <f>'[18]Прот.3-22'!K17+[18]Откл.Пр!K17</f>
        <v>1025</v>
      </c>
      <c r="J17" s="557">
        <f>'[18]Прот.3-22'!L17+[18]Откл.Пр!L17</f>
        <v>439</v>
      </c>
      <c r="K17" s="549">
        <f t="shared" si="4"/>
        <v>6291</v>
      </c>
      <c r="L17" s="557">
        <f>'[18]Прот.3-22'!N17+[18]Откл.Пр!N17</f>
        <v>6002</v>
      </c>
      <c r="M17" s="557">
        <f>'[18]Прот.3-22'!O17+[18]Откл.Пр!O17</f>
        <v>289</v>
      </c>
      <c r="N17" s="557"/>
      <c r="O17" s="550">
        <v>0</v>
      </c>
      <c r="P17" s="558">
        <v>481</v>
      </c>
      <c r="Q17" s="558">
        <v>751</v>
      </c>
      <c r="R17" s="544"/>
    </row>
    <row r="18" spans="1:18" x14ac:dyDescent="0.2">
      <c r="A18" s="35">
        <v>8</v>
      </c>
      <c r="B18" s="12" t="s">
        <v>110</v>
      </c>
      <c r="C18" s="9" t="s">
        <v>44</v>
      </c>
      <c r="D18" s="553">
        <f t="shared" si="3"/>
        <v>19134</v>
      </c>
      <c r="E18" s="557">
        <f>'[18]Прот.3-22'!E18+[18]Откл.Пр!E18</f>
        <v>0</v>
      </c>
      <c r="F18" s="557">
        <f>'[18]Прот.3-22'!F18+[18]Откл.Пр!F18</f>
        <v>0</v>
      </c>
      <c r="G18" s="557">
        <f>'[18]Прот.3-22'!H18+[18]Откл.Пр!H18</f>
        <v>2618</v>
      </c>
      <c r="H18" s="557">
        <f>'[18]Прот.3-22'!I18+[18]Откл.Пр!I18</f>
        <v>15776</v>
      </c>
      <c r="I18" s="557">
        <f>'[18]Прот.3-22'!K18+[18]Откл.Пр!K18</f>
        <v>0</v>
      </c>
      <c r="J18" s="557">
        <f>'[18]Прот.3-22'!L18+[18]Откл.Пр!L18</f>
        <v>0</v>
      </c>
      <c r="K18" s="549">
        <f t="shared" si="4"/>
        <v>0</v>
      </c>
      <c r="L18" s="557">
        <f>'[18]Прот.3-22'!N18+[18]Откл.Пр!N18</f>
        <v>0</v>
      </c>
      <c r="M18" s="557">
        <f>'[18]Прот.3-22'!O18+[18]Откл.Пр!O18</f>
        <v>0</v>
      </c>
      <c r="N18" s="557"/>
      <c r="O18" s="550">
        <v>0</v>
      </c>
      <c r="P18" s="558">
        <v>580</v>
      </c>
      <c r="Q18" s="558">
        <v>160</v>
      </c>
      <c r="R18" s="544"/>
    </row>
    <row r="19" spans="1:18" x14ac:dyDescent="0.2">
      <c r="A19" s="35">
        <v>9</v>
      </c>
      <c r="B19" s="12" t="s">
        <v>74</v>
      </c>
      <c r="C19" s="9" t="s">
        <v>45</v>
      </c>
      <c r="D19" s="553">
        <f t="shared" si="3"/>
        <v>22401</v>
      </c>
      <c r="E19" s="557">
        <f>'[18]Прот.3-22'!E19+[18]Откл.Пр!E19</f>
        <v>0</v>
      </c>
      <c r="F19" s="557">
        <f>'[18]Прот.3-22'!F19+[18]Откл.Пр!F19</f>
        <v>0</v>
      </c>
      <c r="G19" s="557">
        <f>'[18]Прот.3-22'!H19+[18]Откл.Пр!H19</f>
        <v>4316</v>
      </c>
      <c r="H19" s="557">
        <f>'[18]Прот.3-22'!I19+[18]Откл.Пр!I19</f>
        <v>16621</v>
      </c>
      <c r="I19" s="557">
        <f>'[18]Прот.3-22'!K19+[18]Откл.Пр!K19</f>
        <v>1025</v>
      </c>
      <c r="J19" s="557">
        <f>'[18]Прот.3-22'!L19+[18]Откл.Пр!L19</f>
        <v>439</v>
      </c>
      <c r="K19" s="549">
        <f t="shared" si="4"/>
        <v>0</v>
      </c>
      <c r="L19" s="557">
        <f>'[18]Прот.3-22'!N19+[18]Откл.Пр!N19</f>
        <v>0</v>
      </c>
      <c r="M19" s="557">
        <f>'[18]Прот.3-22'!O19+[18]Откл.Пр!O19</f>
        <v>0</v>
      </c>
      <c r="N19" s="557"/>
      <c r="O19" s="550">
        <v>0</v>
      </c>
      <c r="P19" s="558">
        <v>0</v>
      </c>
      <c r="Q19" s="558">
        <v>0</v>
      </c>
      <c r="R19" s="544"/>
    </row>
    <row r="20" spans="1:18" x14ac:dyDescent="0.2">
      <c r="A20" s="35">
        <v>10</v>
      </c>
      <c r="B20" s="12" t="s">
        <v>111</v>
      </c>
      <c r="C20" s="9" t="s">
        <v>48</v>
      </c>
      <c r="D20" s="553">
        <f t="shared" si="3"/>
        <v>25798</v>
      </c>
      <c r="E20" s="557">
        <f>'[18]Прот.3-22'!E20+[18]Откл.Пр!E20</f>
        <v>0</v>
      </c>
      <c r="F20" s="557">
        <f>'[18]Прот.3-22'!F20+[18]Откл.Пр!F20</f>
        <v>0</v>
      </c>
      <c r="G20" s="557">
        <f>'[18]Прот.3-22'!H20+[18]Откл.Пр!H20</f>
        <v>8354</v>
      </c>
      <c r="H20" s="557">
        <f>'[18]Прот.3-22'!I20+[18]Откл.Пр!I20</f>
        <v>17444</v>
      </c>
      <c r="I20" s="557">
        <f>'[18]Прот.3-22'!K20+[18]Откл.Пр!K20</f>
        <v>0</v>
      </c>
      <c r="J20" s="557">
        <f>'[18]Прот.3-22'!L20+[18]Откл.Пр!L20</f>
        <v>0</v>
      </c>
      <c r="K20" s="549">
        <f t="shared" si="4"/>
        <v>0</v>
      </c>
      <c r="L20" s="557">
        <f>'[18]Прот.3-22'!N20+[18]Откл.Пр!N20</f>
        <v>0</v>
      </c>
      <c r="M20" s="557">
        <f>'[18]Прот.3-22'!O20+[18]Откл.Пр!O20</f>
        <v>0</v>
      </c>
      <c r="N20" s="557"/>
      <c r="O20" s="550">
        <v>0</v>
      </c>
      <c r="P20" s="558"/>
      <c r="Q20" s="558"/>
      <c r="R20" s="544"/>
    </row>
    <row r="21" spans="1:18" x14ac:dyDescent="0.2">
      <c r="A21" s="35">
        <v>11</v>
      </c>
      <c r="B21" s="12" t="s">
        <v>75</v>
      </c>
      <c r="C21" s="9" t="s">
        <v>52</v>
      </c>
      <c r="D21" s="553">
        <f t="shared" si="3"/>
        <v>19466</v>
      </c>
      <c r="E21" s="557">
        <f>'[18]Прот.3-22'!E21+[18]Откл.Пр!E21</f>
        <v>0</v>
      </c>
      <c r="F21" s="557">
        <f>'[18]Прот.3-22'!F21+[18]Откл.Пр!F21</f>
        <v>0</v>
      </c>
      <c r="G21" s="557">
        <f>'[18]Прот.3-22'!H21+[18]Откл.Пр!H21</f>
        <v>1926</v>
      </c>
      <c r="H21" s="557">
        <f>'[18]Прот.3-22'!I21+[18]Откл.Пр!I21</f>
        <v>12740</v>
      </c>
      <c r="I21" s="557">
        <f>'[18]Прот.3-22'!K21+[18]Откл.Пр!K21</f>
        <v>0</v>
      </c>
      <c r="J21" s="557">
        <f>'[18]Прот.3-22'!L21+[18]Откл.Пр!L21</f>
        <v>0</v>
      </c>
      <c r="K21" s="549">
        <f t="shared" si="4"/>
        <v>0</v>
      </c>
      <c r="L21" s="557">
        <f>'[18]Прот.3-22'!N21+[18]Откл.Пр!N21</f>
        <v>0</v>
      </c>
      <c r="M21" s="557">
        <f>'[18]Прот.3-22'!O21+[18]Откл.Пр!O21</f>
        <v>0</v>
      </c>
      <c r="N21" s="557"/>
      <c r="O21" s="550">
        <v>0</v>
      </c>
      <c r="P21" s="558">
        <v>0</v>
      </c>
      <c r="Q21" s="558">
        <v>4800</v>
      </c>
      <c r="R21" s="544"/>
    </row>
    <row r="22" spans="1:18" x14ac:dyDescent="0.2">
      <c r="A22" s="35">
        <v>12</v>
      </c>
      <c r="B22" s="12" t="s">
        <v>112</v>
      </c>
      <c r="C22" s="9" t="s">
        <v>63</v>
      </c>
      <c r="D22" s="553">
        <f t="shared" si="3"/>
        <v>39045</v>
      </c>
      <c r="E22" s="557">
        <f>'[18]Прот.3-22'!E22+[18]Откл.Пр!E22</f>
        <v>0</v>
      </c>
      <c r="F22" s="557">
        <f>'[18]Прот.3-22'!F22+[18]Откл.Пр!F22</f>
        <v>0</v>
      </c>
      <c r="G22" s="557">
        <f>'[18]Прот.3-22'!H22+[18]Откл.Пр!H22</f>
        <v>9000</v>
      </c>
      <c r="H22" s="557">
        <f>'[18]Прот.3-22'!I22+[18]Откл.Пр!I22</f>
        <v>28581</v>
      </c>
      <c r="I22" s="557">
        <f>'[18]Прот.3-22'!K22+[18]Откл.Пр!K22</f>
        <v>1025</v>
      </c>
      <c r="J22" s="557">
        <f>'[18]Прот.3-22'!L22+[18]Откл.Пр!L22</f>
        <v>439</v>
      </c>
      <c r="K22" s="549">
        <f t="shared" si="4"/>
        <v>0</v>
      </c>
      <c r="L22" s="557">
        <f>'[18]Прот.3-22'!N22+[18]Откл.Пр!N22</f>
        <v>0</v>
      </c>
      <c r="M22" s="557">
        <f>'[18]Прот.3-22'!O22+[18]Откл.Пр!O22</f>
        <v>0</v>
      </c>
      <c r="N22" s="557"/>
      <c r="O22" s="550">
        <v>0</v>
      </c>
      <c r="P22" s="558"/>
      <c r="Q22" s="558"/>
      <c r="R22" s="544"/>
    </row>
    <row r="23" spans="1:18" x14ac:dyDescent="0.2">
      <c r="A23" s="13">
        <v>13</v>
      </c>
      <c r="B23" s="12" t="s">
        <v>2271</v>
      </c>
      <c r="C23" s="9" t="s">
        <v>293</v>
      </c>
      <c r="D23" s="553">
        <f t="shared" si="3"/>
        <v>0</v>
      </c>
      <c r="E23" s="557">
        <f>'[18]Прот.3-22'!E23+[18]Откл.Пр!E23</f>
        <v>0</v>
      </c>
      <c r="F23" s="557">
        <f>'[18]Прот.3-22'!F23+[18]Откл.Пр!F23</f>
        <v>0</v>
      </c>
      <c r="G23" s="557">
        <f>'[18]Прот.3-22'!H23+[18]Откл.Пр!H23</f>
        <v>0</v>
      </c>
      <c r="H23" s="557">
        <f>'[18]Прот.3-22'!I23+[18]Откл.Пр!I23</f>
        <v>0</v>
      </c>
      <c r="I23" s="557">
        <f>'[18]Прот.3-22'!K23+[18]Откл.Пр!K23</f>
        <v>0</v>
      </c>
      <c r="J23" s="557">
        <f>'[18]Прот.3-22'!L23+[18]Откл.Пр!L23</f>
        <v>0</v>
      </c>
      <c r="K23" s="549">
        <f t="shared" si="4"/>
        <v>0</v>
      </c>
      <c r="L23" s="557">
        <f>'[18]Прот.3-22'!N23+[18]Откл.Пр!N23</f>
        <v>0</v>
      </c>
      <c r="M23" s="557">
        <f>'[18]Прот.3-22'!O23+[18]Откл.Пр!O23</f>
        <v>0</v>
      </c>
      <c r="N23" s="557"/>
      <c r="O23" s="550">
        <v>0</v>
      </c>
      <c r="P23" s="558"/>
      <c r="Q23" s="558"/>
      <c r="R23" s="544"/>
    </row>
    <row r="24" spans="1:18" x14ac:dyDescent="0.2">
      <c r="A24" s="35">
        <v>14</v>
      </c>
      <c r="B24" s="36" t="s">
        <v>176</v>
      </c>
      <c r="C24" s="9" t="s">
        <v>177</v>
      </c>
      <c r="D24" s="553">
        <f t="shared" si="3"/>
        <v>0</v>
      </c>
      <c r="E24" s="557">
        <f>'[18]Прот.3-22'!E24+[18]Откл.Пр!E24</f>
        <v>0</v>
      </c>
      <c r="F24" s="557">
        <f>'[18]Прот.3-22'!F24+[18]Откл.Пр!F24</f>
        <v>0</v>
      </c>
      <c r="G24" s="557">
        <f>'[18]Прот.3-22'!H24+[18]Откл.Пр!H24</f>
        <v>0</v>
      </c>
      <c r="H24" s="557">
        <f>'[18]Прот.3-22'!I24+[18]Откл.Пр!I24</f>
        <v>0</v>
      </c>
      <c r="I24" s="557">
        <f>'[18]Прот.3-22'!K24+[18]Откл.Пр!K24</f>
        <v>0</v>
      </c>
      <c r="J24" s="557">
        <f>'[18]Прот.3-22'!L24+[18]Откл.Пр!L24</f>
        <v>0</v>
      </c>
      <c r="K24" s="549">
        <f t="shared" si="4"/>
        <v>0</v>
      </c>
      <c r="L24" s="557">
        <f>'[18]Прот.3-22'!N24+[18]Откл.Пр!N24</f>
        <v>0</v>
      </c>
      <c r="M24" s="557">
        <f>'[18]Прот.3-22'!O24+[18]Откл.Пр!O24</f>
        <v>0</v>
      </c>
      <c r="N24" s="557"/>
      <c r="O24" s="550">
        <v>0</v>
      </c>
      <c r="P24" s="558"/>
      <c r="Q24" s="558"/>
      <c r="R24" s="544"/>
    </row>
    <row r="25" spans="1:18" x14ac:dyDescent="0.2">
      <c r="A25" s="13">
        <v>15</v>
      </c>
      <c r="B25" s="12" t="s">
        <v>115</v>
      </c>
      <c r="C25" s="9" t="s">
        <v>26</v>
      </c>
      <c r="D25" s="553">
        <f t="shared" si="3"/>
        <v>17841</v>
      </c>
      <c r="E25" s="557">
        <f>'[18]Прот.3-22'!E25+[18]Откл.Пр!E25</f>
        <v>0</v>
      </c>
      <c r="F25" s="557">
        <f>'[18]Прот.3-22'!F25+[18]Откл.Пр!F25</f>
        <v>0</v>
      </c>
      <c r="G25" s="557">
        <f>'[18]Прот.3-22'!H25+[18]Откл.Пр!H25</f>
        <v>3126</v>
      </c>
      <c r="H25" s="557">
        <f>'[18]Прот.3-22'!I25+[18]Откл.Пр!I25</f>
        <v>10015</v>
      </c>
      <c r="I25" s="557">
        <f>'[18]Прот.3-22'!K25+[18]Откл.Пр!K25</f>
        <v>0</v>
      </c>
      <c r="J25" s="557">
        <f>'[18]Прот.3-22'!L25+[18]Откл.Пр!L25</f>
        <v>0</v>
      </c>
      <c r="K25" s="549">
        <f t="shared" si="4"/>
        <v>0</v>
      </c>
      <c r="L25" s="557">
        <f>'[18]Прот.3-22'!N25+[18]Откл.Пр!N25</f>
        <v>0</v>
      </c>
      <c r="M25" s="557">
        <f>'[18]Прот.3-22'!O25+[18]Откл.Пр!O25</f>
        <v>0</v>
      </c>
      <c r="N25" s="557"/>
      <c r="O25" s="550">
        <v>0</v>
      </c>
      <c r="P25" s="558">
        <v>300</v>
      </c>
      <c r="Q25" s="558">
        <v>4400</v>
      </c>
      <c r="R25" s="544"/>
    </row>
    <row r="26" spans="1:18" x14ac:dyDescent="0.2">
      <c r="A26" s="35">
        <v>16</v>
      </c>
      <c r="B26" s="12" t="s">
        <v>116</v>
      </c>
      <c r="C26" s="9" t="s">
        <v>28</v>
      </c>
      <c r="D26" s="553">
        <f t="shared" si="3"/>
        <v>24998</v>
      </c>
      <c r="E26" s="557">
        <f>'[18]Прот.3-22'!E26+[18]Откл.Пр!E26</f>
        <v>0</v>
      </c>
      <c r="F26" s="557">
        <f>'[18]Прот.3-22'!F26+[18]Откл.Пр!F26</f>
        <v>0</v>
      </c>
      <c r="G26" s="557">
        <f>'[18]Прот.3-22'!H26+[18]Откл.Пр!H26</f>
        <v>5000</v>
      </c>
      <c r="H26" s="557">
        <f>'[18]Прот.3-22'!I26+[18]Откл.Пр!I26</f>
        <v>18534</v>
      </c>
      <c r="I26" s="557">
        <f>'[18]Прот.3-22'!K26+[18]Откл.Пр!K26</f>
        <v>1025</v>
      </c>
      <c r="J26" s="557">
        <f>'[18]Прот.3-22'!L26+[18]Откл.Пр!L26</f>
        <v>439</v>
      </c>
      <c r="K26" s="549">
        <f t="shared" si="4"/>
        <v>0</v>
      </c>
      <c r="L26" s="557">
        <f>'[18]Прот.3-22'!N26+[18]Откл.Пр!N26</f>
        <v>0</v>
      </c>
      <c r="M26" s="557">
        <f>'[18]Прот.3-22'!O26+[18]Откл.Пр!O26</f>
        <v>0</v>
      </c>
      <c r="N26" s="557"/>
      <c r="O26" s="550">
        <v>0</v>
      </c>
      <c r="P26" s="558">
        <v>0</v>
      </c>
      <c r="Q26" s="558">
        <v>0</v>
      </c>
      <c r="R26" s="544"/>
    </row>
    <row r="27" spans="1:18" x14ac:dyDescent="0.2">
      <c r="A27" s="13">
        <v>17</v>
      </c>
      <c r="B27" s="12" t="s">
        <v>117</v>
      </c>
      <c r="C27" s="9" t="s">
        <v>24</v>
      </c>
      <c r="D27" s="553">
        <f t="shared" si="3"/>
        <v>58327</v>
      </c>
      <c r="E27" s="557">
        <f>'[18]Прот.3-22'!E27+[18]Откл.Пр!E27</f>
        <v>0</v>
      </c>
      <c r="F27" s="557">
        <f>'[18]Прот.3-22'!F27+[18]Откл.Пр!F27</f>
        <v>0</v>
      </c>
      <c r="G27" s="557">
        <f>'[18]Прот.3-22'!H27+[18]Откл.Пр!H27</f>
        <v>11000</v>
      </c>
      <c r="H27" s="557">
        <f>'[18]Прот.3-22'!I27+[18]Откл.Пр!I27</f>
        <v>36322</v>
      </c>
      <c r="I27" s="557">
        <f>'[18]Прот.3-22'!K27+[18]Откл.Пр!K27</f>
        <v>0</v>
      </c>
      <c r="J27" s="557">
        <f>'[18]Прот.3-22'!L27+[18]Откл.Пр!L27</f>
        <v>0</v>
      </c>
      <c r="K27" s="549">
        <f t="shared" si="4"/>
        <v>0</v>
      </c>
      <c r="L27" s="557">
        <f>'[18]Прот.3-22'!N27+[18]Откл.Пр!N27</f>
        <v>0</v>
      </c>
      <c r="M27" s="557">
        <f>'[18]Прот.3-22'!O27+[18]Откл.Пр!O27</f>
        <v>0</v>
      </c>
      <c r="N27" s="557"/>
      <c r="O27" s="550">
        <v>0</v>
      </c>
      <c r="P27" s="558">
        <v>1500</v>
      </c>
      <c r="Q27" s="558">
        <v>9505</v>
      </c>
      <c r="R27" s="544"/>
    </row>
    <row r="28" spans="1:18" x14ac:dyDescent="0.2">
      <c r="A28" s="35">
        <v>18</v>
      </c>
      <c r="B28" s="12" t="s">
        <v>76</v>
      </c>
      <c r="C28" s="9" t="s">
        <v>7</v>
      </c>
      <c r="D28" s="553">
        <f t="shared" si="3"/>
        <v>80710</v>
      </c>
      <c r="E28" s="557">
        <f>'[18]Прот.3-22'!E28+[18]Откл.Пр!E28</f>
        <v>0</v>
      </c>
      <c r="F28" s="557">
        <f>'[18]Прот.3-22'!F28+[18]Откл.Пр!F28</f>
        <v>0</v>
      </c>
      <c r="G28" s="557">
        <f>'[18]Прот.3-22'!H28+[18]Откл.Пр!H28</f>
        <v>20000</v>
      </c>
      <c r="H28" s="557">
        <f>'[18]Прот.3-22'!I28+[18]Откл.Пр!I28</f>
        <v>38463</v>
      </c>
      <c r="I28" s="557">
        <f>'[18]Прот.3-22'!K28+[18]Откл.Пр!K28</f>
        <v>1025</v>
      </c>
      <c r="J28" s="557">
        <f>'[18]Прот.3-22'!L28+[18]Откл.Пр!L28</f>
        <v>439</v>
      </c>
      <c r="K28" s="549">
        <f t="shared" si="4"/>
        <v>283</v>
      </c>
      <c r="L28" s="557">
        <f>'[18]Прот.3-22'!N28+[18]Откл.Пр!N28</f>
        <v>0</v>
      </c>
      <c r="M28" s="557">
        <f>'[18]Прот.3-22'!O28+[18]Откл.Пр!O28</f>
        <v>283</v>
      </c>
      <c r="N28" s="557"/>
      <c r="O28" s="550">
        <v>0</v>
      </c>
      <c r="P28" s="558"/>
      <c r="Q28" s="558">
        <v>20500</v>
      </c>
      <c r="R28" s="544"/>
    </row>
    <row r="29" spans="1:18" x14ac:dyDescent="0.2">
      <c r="A29" s="13">
        <v>19</v>
      </c>
      <c r="B29" s="36" t="s">
        <v>118</v>
      </c>
      <c r="C29" s="37" t="s">
        <v>36</v>
      </c>
      <c r="D29" s="553">
        <f t="shared" si="3"/>
        <v>11756</v>
      </c>
      <c r="E29" s="557">
        <f>'[18]Прот.3-22'!E29+[18]Откл.Пр!E29</f>
        <v>0</v>
      </c>
      <c r="F29" s="557">
        <f>'[18]Прот.3-22'!F29+[18]Откл.Пр!F29</f>
        <v>0</v>
      </c>
      <c r="G29" s="557">
        <f>'[18]Прот.3-22'!H29+[18]Откл.Пр!H29</f>
        <v>2431</v>
      </c>
      <c r="H29" s="557">
        <f>'[18]Прот.3-22'!I29+[18]Откл.Пр!I29</f>
        <v>7722</v>
      </c>
      <c r="I29" s="557">
        <f>'[18]Прот.3-22'!K29+[18]Откл.Пр!K29</f>
        <v>0</v>
      </c>
      <c r="J29" s="557">
        <f>'[18]Прот.3-22'!L29+[18]Откл.Пр!L29</f>
        <v>0</v>
      </c>
      <c r="K29" s="549">
        <f t="shared" si="4"/>
        <v>0</v>
      </c>
      <c r="L29" s="557">
        <f>'[18]Прот.3-22'!N29+[18]Откл.Пр!N29</f>
        <v>0</v>
      </c>
      <c r="M29" s="557">
        <f>'[18]Прот.3-22'!O29+[18]Откл.Пр!O29</f>
        <v>0</v>
      </c>
      <c r="N29" s="557"/>
      <c r="O29" s="550">
        <v>0</v>
      </c>
      <c r="P29" s="558">
        <v>903</v>
      </c>
      <c r="Q29" s="558">
        <v>700</v>
      </c>
      <c r="R29" s="544"/>
    </row>
    <row r="30" spans="1:18" x14ac:dyDescent="0.2">
      <c r="A30" s="35">
        <v>20</v>
      </c>
      <c r="B30" s="36" t="s">
        <v>119</v>
      </c>
      <c r="C30" s="37" t="s">
        <v>41</v>
      </c>
      <c r="D30" s="553">
        <f t="shared" si="3"/>
        <v>9907</v>
      </c>
      <c r="E30" s="557">
        <f>'[18]Прот.3-22'!E30+[18]Откл.Пр!E30</f>
        <v>0</v>
      </c>
      <c r="F30" s="557">
        <f>'[18]Прот.3-22'!F30+[18]Откл.Пр!F30</f>
        <v>0</v>
      </c>
      <c r="G30" s="557">
        <f>'[18]Прот.3-22'!H30+[18]Откл.Пр!H30</f>
        <v>2761</v>
      </c>
      <c r="H30" s="557">
        <f>'[18]Прот.3-22'!I30+[18]Откл.Пр!I30</f>
        <v>4696</v>
      </c>
      <c r="I30" s="557">
        <f>'[18]Прот.3-22'!K30+[18]Откл.Пр!K30</f>
        <v>0</v>
      </c>
      <c r="J30" s="557">
        <f>'[18]Прот.3-22'!L30+[18]Откл.Пр!L30</f>
        <v>0</v>
      </c>
      <c r="K30" s="549">
        <f t="shared" si="4"/>
        <v>0</v>
      </c>
      <c r="L30" s="557">
        <f>'[18]Прот.3-22'!N30+[18]Откл.Пр!N30</f>
        <v>0</v>
      </c>
      <c r="M30" s="557">
        <f>'[18]Прот.3-22'!O30+[18]Откл.Пр!O30</f>
        <v>0</v>
      </c>
      <c r="N30" s="557"/>
      <c r="O30" s="550">
        <v>0</v>
      </c>
      <c r="P30" s="558">
        <v>0</v>
      </c>
      <c r="Q30" s="558">
        <v>2450</v>
      </c>
      <c r="R30" s="544"/>
    </row>
    <row r="31" spans="1:18" x14ac:dyDescent="0.2">
      <c r="A31" s="13">
        <v>21</v>
      </c>
      <c r="B31" s="36" t="s">
        <v>120</v>
      </c>
      <c r="C31" s="37" t="s">
        <v>8</v>
      </c>
      <c r="D31" s="553">
        <f t="shared" si="3"/>
        <v>57631</v>
      </c>
      <c r="E31" s="557">
        <f>'[18]Прот.3-22'!E31+[18]Откл.Пр!E31</f>
        <v>0</v>
      </c>
      <c r="F31" s="557">
        <f>'[18]Прот.3-22'!F31+[18]Откл.Пр!F31</f>
        <v>0</v>
      </c>
      <c r="G31" s="557">
        <f>'[18]Прот.3-22'!H31+[18]Откл.Пр!H31</f>
        <v>5053</v>
      </c>
      <c r="H31" s="557">
        <f>'[18]Прот.3-22'!I31+[18]Откл.Пр!I31</f>
        <v>42819</v>
      </c>
      <c r="I31" s="557">
        <f>'[18]Прот.3-22'!K31+[18]Откл.Пр!K31</f>
        <v>1025</v>
      </c>
      <c r="J31" s="557">
        <f>'[18]Прот.3-22'!L31+[18]Откл.Пр!L31</f>
        <v>439</v>
      </c>
      <c r="K31" s="549">
        <f t="shared" si="4"/>
        <v>0</v>
      </c>
      <c r="L31" s="557">
        <f>'[18]Прот.3-22'!N31+[18]Откл.Пр!N31</f>
        <v>0</v>
      </c>
      <c r="M31" s="557">
        <f>'[18]Прот.3-22'!O31+[18]Откл.Пр!O31</f>
        <v>0</v>
      </c>
      <c r="N31" s="557"/>
      <c r="O31" s="550">
        <v>0</v>
      </c>
      <c r="P31" s="558">
        <v>1000</v>
      </c>
      <c r="Q31" s="558">
        <v>7295</v>
      </c>
      <c r="R31" s="544"/>
    </row>
    <row r="32" spans="1:18" x14ac:dyDescent="0.2">
      <c r="A32" s="35">
        <v>22</v>
      </c>
      <c r="B32" s="36" t="s">
        <v>77</v>
      </c>
      <c r="C32" s="37" t="s">
        <v>9</v>
      </c>
      <c r="D32" s="553">
        <f t="shared" si="3"/>
        <v>61207</v>
      </c>
      <c r="E32" s="557">
        <f>'[18]Прот.3-22'!E32+[18]Откл.Пр!E32</f>
        <v>0</v>
      </c>
      <c r="F32" s="557">
        <f>'[18]Прот.3-22'!F32+[18]Откл.Пр!F32</f>
        <v>0</v>
      </c>
      <c r="G32" s="557">
        <f>'[18]Прот.3-22'!H32+[18]Откл.Пр!H32</f>
        <v>12276</v>
      </c>
      <c r="H32" s="557">
        <f>'[18]Прот.3-22'!I32+[18]Откл.Пр!I32</f>
        <v>42562</v>
      </c>
      <c r="I32" s="557">
        <f>'[18]Прот.3-22'!K32+[18]Откл.Пр!K32</f>
        <v>1025</v>
      </c>
      <c r="J32" s="557">
        <f>'[18]Прот.3-22'!L32+[18]Откл.Пр!L32</f>
        <v>439</v>
      </c>
      <c r="K32" s="549">
        <f t="shared" si="4"/>
        <v>204</v>
      </c>
      <c r="L32" s="557">
        <f>'[18]Прот.3-22'!N32+[18]Откл.Пр!N32</f>
        <v>0</v>
      </c>
      <c r="M32" s="557">
        <f>'[18]Прот.3-22'!O32+[18]Откл.Пр!O32</f>
        <v>204</v>
      </c>
      <c r="N32" s="557"/>
      <c r="O32" s="550">
        <v>0</v>
      </c>
      <c r="P32" s="558">
        <v>1700</v>
      </c>
      <c r="Q32" s="558">
        <v>3001</v>
      </c>
      <c r="R32" s="544"/>
    </row>
    <row r="33" spans="1:18" x14ac:dyDescent="0.2">
      <c r="A33" s="13">
        <v>23</v>
      </c>
      <c r="B33" s="12" t="s">
        <v>78</v>
      </c>
      <c r="C33" s="9" t="s">
        <v>79</v>
      </c>
      <c r="D33" s="553">
        <f t="shared" si="3"/>
        <v>17253</v>
      </c>
      <c r="E33" s="557">
        <f>'[18]Прот.3-22'!E33+[18]Откл.Пр!E33</f>
        <v>0</v>
      </c>
      <c r="F33" s="557">
        <f>'[18]Прот.3-22'!F33+[18]Откл.Пр!F33</f>
        <v>0</v>
      </c>
      <c r="G33" s="557">
        <f>'[18]Прот.3-22'!H33+[18]Откл.Пр!H33</f>
        <v>8520</v>
      </c>
      <c r="H33" s="557">
        <f>'[18]Прот.3-22'!I33+[18]Откл.Пр!I33</f>
        <v>7918</v>
      </c>
      <c r="I33" s="557">
        <f>'[18]Прот.3-22'!K33+[18]Откл.Пр!K33</f>
        <v>0</v>
      </c>
      <c r="J33" s="557">
        <f>'[18]Прот.3-22'!L33+[18]Откл.Пр!L33</f>
        <v>0</v>
      </c>
      <c r="K33" s="549">
        <f t="shared" si="4"/>
        <v>0</v>
      </c>
      <c r="L33" s="557">
        <f>'[18]Прот.3-22'!N33+[18]Откл.Пр!N33</f>
        <v>0</v>
      </c>
      <c r="M33" s="557">
        <f>'[18]Прот.3-22'!O33+[18]Откл.Пр!O33</f>
        <v>0</v>
      </c>
      <c r="N33" s="557"/>
      <c r="O33" s="550">
        <v>0</v>
      </c>
      <c r="P33" s="558">
        <v>580</v>
      </c>
      <c r="Q33" s="558">
        <v>235</v>
      </c>
      <c r="R33" s="544"/>
    </row>
    <row r="34" spans="1:18" x14ac:dyDescent="0.2">
      <c r="A34" s="35">
        <v>24</v>
      </c>
      <c r="B34" s="12" t="s">
        <v>178</v>
      </c>
      <c r="C34" s="9" t="s">
        <v>179</v>
      </c>
      <c r="D34" s="553">
        <f t="shared" si="3"/>
        <v>0</v>
      </c>
      <c r="E34" s="557">
        <f>'[18]Прот.3-22'!E34+[18]Откл.Пр!E34</f>
        <v>0</v>
      </c>
      <c r="F34" s="557">
        <f>'[18]Прот.3-22'!F34+[18]Откл.Пр!F34</f>
        <v>0</v>
      </c>
      <c r="G34" s="557">
        <f>'[18]Прот.3-22'!H34+[18]Откл.Пр!H34</f>
        <v>0</v>
      </c>
      <c r="H34" s="557">
        <f>'[18]Прот.3-22'!I34+[18]Откл.Пр!I34</f>
        <v>0</v>
      </c>
      <c r="I34" s="557">
        <f>'[18]Прот.3-22'!K34+[18]Откл.Пр!K34</f>
        <v>0</v>
      </c>
      <c r="J34" s="557">
        <f>'[18]Прот.3-22'!L34+[18]Откл.Пр!L34</f>
        <v>0</v>
      </c>
      <c r="K34" s="549">
        <f t="shared" si="4"/>
        <v>0</v>
      </c>
      <c r="L34" s="557">
        <f>'[18]Прот.3-22'!N34+[18]Откл.Пр!N34</f>
        <v>0</v>
      </c>
      <c r="M34" s="557">
        <f>'[18]Прот.3-22'!O34+[18]Откл.Пр!O34</f>
        <v>0</v>
      </c>
      <c r="N34" s="557"/>
      <c r="O34" s="550">
        <v>0</v>
      </c>
      <c r="P34" s="558"/>
      <c r="Q34" s="558"/>
      <c r="R34" s="544"/>
    </row>
    <row r="35" spans="1:18" ht="24" x14ac:dyDescent="0.2">
      <c r="A35" s="13">
        <v>25</v>
      </c>
      <c r="B35" s="12" t="s">
        <v>180</v>
      </c>
      <c r="C35" s="9" t="s">
        <v>181</v>
      </c>
      <c r="D35" s="553">
        <f t="shared" si="3"/>
        <v>0</v>
      </c>
      <c r="E35" s="557">
        <f>'[18]Прот.3-22'!E35+[18]Откл.Пр!E35</f>
        <v>0</v>
      </c>
      <c r="F35" s="557">
        <f>'[18]Прот.3-22'!F35+[18]Откл.Пр!F35</f>
        <v>0</v>
      </c>
      <c r="G35" s="557">
        <f>'[18]Прот.3-22'!H35+[18]Откл.Пр!H35</f>
        <v>0</v>
      </c>
      <c r="H35" s="557">
        <f>'[18]Прот.3-22'!I35+[18]Откл.Пр!I35</f>
        <v>0</v>
      </c>
      <c r="I35" s="557">
        <f>'[18]Прот.3-22'!K35+[18]Откл.Пр!K35</f>
        <v>0</v>
      </c>
      <c r="J35" s="557">
        <f>'[18]Прот.3-22'!L35+[18]Откл.Пр!L35</f>
        <v>0</v>
      </c>
      <c r="K35" s="549">
        <f t="shared" si="4"/>
        <v>0</v>
      </c>
      <c r="L35" s="557">
        <f>'[18]Прот.3-22'!N35+[18]Откл.Пр!N35</f>
        <v>0</v>
      </c>
      <c r="M35" s="557">
        <f>'[18]Прот.3-22'!O35+[18]Откл.Пр!O35</f>
        <v>0</v>
      </c>
      <c r="N35" s="557"/>
      <c r="O35" s="550">
        <v>0</v>
      </c>
      <c r="P35" s="558"/>
      <c r="Q35" s="558"/>
      <c r="R35" s="544"/>
    </row>
    <row r="36" spans="1:18" x14ac:dyDescent="0.2">
      <c r="A36" s="35">
        <v>26</v>
      </c>
      <c r="B36" s="36" t="s">
        <v>123</v>
      </c>
      <c r="C36" s="40" t="s">
        <v>124</v>
      </c>
      <c r="D36" s="553">
        <f t="shared" si="3"/>
        <v>65412</v>
      </c>
      <c r="E36" s="557">
        <f>'[18]Прот.3-22'!E36+[18]Откл.Пр!E36</f>
        <v>0</v>
      </c>
      <c r="F36" s="557">
        <f>'[18]Прот.3-22'!F36+[18]Откл.Пр!F36</f>
        <v>0</v>
      </c>
      <c r="G36" s="557">
        <f>'[18]Прот.3-22'!H36+[18]Откл.Пр!H36</f>
        <v>10000</v>
      </c>
      <c r="H36" s="557">
        <f>'[18]Прот.3-22'!I36+[18]Откл.Пр!I36</f>
        <v>49573</v>
      </c>
      <c r="I36" s="557">
        <f>'[18]Прот.3-22'!K36+[18]Откл.Пр!K36</f>
        <v>1025</v>
      </c>
      <c r="J36" s="557">
        <f>'[18]Прот.3-22'!L36+[18]Откл.Пр!L36</f>
        <v>439</v>
      </c>
      <c r="K36" s="549">
        <f t="shared" si="4"/>
        <v>1375</v>
      </c>
      <c r="L36" s="557">
        <f>'[18]Прот.3-22'!N36+[18]Откл.Пр!N36</f>
        <v>0</v>
      </c>
      <c r="M36" s="557">
        <f>'[18]Прот.3-22'!O36+[18]Откл.Пр!O36</f>
        <v>1375</v>
      </c>
      <c r="N36" s="557"/>
      <c r="O36" s="550">
        <v>0</v>
      </c>
      <c r="P36" s="558"/>
      <c r="Q36" s="558">
        <v>3000</v>
      </c>
      <c r="R36" s="544"/>
    </row>
    <row r="37" spans="1:18" x14ac:dyDescent="0.2">
      <c r="A37" s="13">
        <v>27</v>
      </c>
      <c r="B37" s="12" t="s">
        <v>121</v>
      </c>
      <c r="C37" s="9" t="s">
        <v>122</v>
      </c>
      <c r="D37" s="553">
        <f t="shared" si="3"/>
        <v>106111</v>
      </c>
      <c r="E37" s="557">
        <f>'[18]Прот.3-22'!E37+[18]Откл.Пр!E37</f>
        <v>0</v>
      </c>
      <c r="F37" s="557">
        <f>'[18]Прот.3-22'!F37+[18]Откл.Пр!F37</f>
        <v>0</v>
      </c>
      <c r="G37" s="557">
        <f>'[18]Прот.3-22'!H37+[18]Откл.Пр!H37</f>
        <v>9000</v>
      </c>
      <c r="H37" s="557">
        <f>'[18]Прот.3-22'!I37+[18]Откл.Пр!I37</f>
        <v>61795</v>
      </c>
      <c r="I37" s="557">
        <f>'[18]Прот.3-22'!K37+[18]Откл.Пр!K37</f>
        <v>2050</v>
      </c>
      <c r="J37" s="557">
        <f>'[18]Прот.3-22'!L37+[18]Откл.Пр!L37</f>
        <v>878</v>
      </c>
      <c r="K37" s="549">
        <f t="shared" si="4"/>
        <v>1996</v>
      </c>
      <c r="L37" s="557">
        <f>'[18]Прот.3-22'!N37+[18]Откл.Пр!N37</f>
        <v>0</v>
      </c>
      <c r="M37" s="557">
        <f>'[18]Прот.3-22'!O37+[18]Откл.Пр!O37</f>
        <v>1996</v>
      </c>
      <c r="N37" s="557"/>
      <c r="O37" s="550">
        <v>0</v>
      </c>
      <c r="P37" s="558">
        <v>3000</v>
      </c>
      <c r="Q37" s="558">
        <v>27392</v>
      </c>
      <c r="R37" s="544"/>
    </row>
    <row r="38" spans="1:18" x14ac:dyDescent="0.2">
      <c r="A38" s="35">
        <v>28</v>
      </c>
      <c r="B38" s="12" t="s">
        <v>182</v>
      </c>
      <c r="C38" s="9" t="s">
        <v>183</v>
      </c>
      <c r="D38" s="553">
        <f t="shared" si="3"/>
        <v>57001</v>
      </c>
      <c r="E38" s="557">
        <f>'[18]Прот.3-22'!E38+[18]Откл.Пр!E38</f>
        <v>0</v>
      </c>
      <c r="F38" s="557">
        <f>'[18]Прот.3-22'!F38+[18]Откл.Пр!F38</f>
        <v>0</v>
      </c>
      <c r="G38" s="557">
        <f>'[18]Прот.3-22'!H38+[18]Откл.Пр!H38</f>
        <v>2500</v>
      </c>
      <c r="H38" s="557">
        <f>'[18]Прот.3-22'!I38+[18]Откл.Пр!I38</f>
        <v>50000</v>
      </c>
      <c r="I38" s="557">
        <f>'[18]Прот.3-22'!K38+[18]Откл.Пр!K38</f>
        <v>0</v>
      </c>
      <c r="J38" s="557">
        <f>'[18]Прот.3-22'!L38+[18]Откл.Пр!L38</f>
        <v>0</v>
      </c>
      <c r="K38" s="549">
        <f t="shared" si="4"/>
        <v>2501</v>
      </c>
      <c r="L38" s="557">
        <f>'[18]Прот.3-22'!N38+[18]Откл.Пр!N38</f>
        <v>0</v>
      </c>
      <c r="M38" s="557">
        <f>'[18]Прот.3-22'!O38+[18]Откл.Пр!O38</f>
        <v>2501</v>
      </c>
      <c r="N38" s="557"/>
      <c r="O38" s="550">
        <v>0</v>
      </c>
      <c r="P38" s="558"/>
      <c r="Q38" s="558">
        <v>2000</v>
      </c>
      <c r="R38" s="544"/>
    </row>
    <row r="39" spans="1:18" x14ac:dyDescent="0.2">
      <c r="A39" s="13">
        <v>29</v>
      </c>
      <c r="B39" s="38" t="s">
        <v>184</v>
      </c>
      <c r="C39" s="40" t="s">
        <v>65</v>
      </c>
      <c r="D39" s="553">
        <f t="shared" si="3"/>
        <v>13320</v>
      </c>
      <c r="E39" s="557">
        <f>'[18]Прот.3-22'!E39+[18]Откл.Пр!E39</f>
        <v>10320</v>
      </c>
      <c r="F39" s="557">
        <f>'[18]Прот.3-22'!F39+[18]Откл.Пр!F39</f>
        <v>0</v>
      </c>
      <c r="G39" s="557">
        <f>'[18]Прот.3-22'!H39+[18]Откл.Пр!H39</f>
        <v>0</v>
      </c>
      <c r="H39" s="557">
        <f>'[18]Прот.3-22'!I39+[18]Откл.Пр!I39</f>
        <v>0</v>
      </c>
      <c r="I39" s="557">
        <f>'[18]Прот.3-22'!K39+[18]Откл.Пр!K39</f>
        <v>0</v>
      </c>
      <c r="J39" s="557">
        <f>'[18]Прот.3-22'!L39+[18]Откл.Пр!L39</f>
        <v>0</v>
      </c>
      <c r="K39" s="549">
        <f t="shared" si="4"/>
        <v>0</v>
      </c>
      <c r="L39" s="557">
        <f>'[18]Прот.3-22'!N39+[18]Откл.Пр!N39</f>
        <v>0</v>
      </c>
      <c r="M39" s="557">
        <f>'[18]Прот.3-22'!O39+[18]Откл.Пр!O39</f>
        <v>0</v>
      </c>
      <c r="N39" s="557"/>
      <c r="O39" s="550">
        <v>3000</v>
      </c>
      <c r="P39" s="558"/>
      <c r="Q39" s="558"/>
      <c r="R39" s="544"/>
    </row>
    <row r="40" spans="1:18" ht="24" x14ac:dyDescent="0.2">
      <c r="A40" s="35">
        <v>30</v>
      </c>
      <c r="B40" s="36" t="s">
        <v>80</v>
      </c>
      <c r="C40" s="37" t="s">
        <v>81</v>
      </c>
      <c r="D40" s="553">
        <f t="shared" si="3"/>
        <v>0</v>
      </c>
      <c r="E40" s="557">
        <f>'[18]Прот.3-22'!E40+[18]Откл.Пр!E40</f>
        <v>0</v>
      </c>
      <c r="F40" s="557">
        <f>'[18]Прот.3-22'!F40+[18]Откл.Пр!F40</f>
        <v>0</v>
      </c>
      <c r="G40" s="557">
        <f>'[18]Прот.3-22'!H40+[18]Откл.Пр!H40</f>
        <v>0</v>
      </c>
      <c r="H40" s="557">
        <f>'[18]Прот.3-22'!I40+[18]Откл.Пр!I40</f>
        <v>0</v>
      </c>
      <c r="I40" s="557">
        <f>'[18]Прот.3-22'!K40+[18]Откл.Пр!K40</f>
        <v>0</v>
      </c>
      <c r="J40" s="557">
        <f>'[18]Прот.3-22'!L40+[18]Откл.Пр!L40</f>
        <v>0</v>
      </c>
      <c r="K40" s="549">
        <f t="shared" si="4"/>
        <v>0</v>
      </c>
      <c r="L40" s="557">
        <f>'[18]Прот.3-22'!N40+[18]Откл.Пр!N40</f>
        <v>0</v>
      </c>
      <c r="M40" s="557">
        <f>'[18]Прот.3-22'!O40+[18]Откл.Пр!O40</f>
        <v>0</v>
      </c>
      <c r="N40" s="557"/>
      <c r="O40" s="550">
        <v>0</v>
      </c>
      <c r="P40" s="558"/>
      <c r="Q40" s="558"/>
      <c r="R40" s="544"/>
    </row>
    <row r="41" spans="1:18" x14ac:dyDescent="0.2">
      <c r="A41" s="13">
        <v>31</v>
      </c>
      <c r="B41" s="12" t="s">
        <v>131</v>
      </c>
      <c r="C41" s="9" t="s">
        <v>185</v>
      </c>
      <c r="D41" s="553">
        <f t="shared" si="3"/>
        <v>6911</v>
      </c>
      <c r="E41" s="557">
        <f>'[18]Прот.3-22'!E41+[18]Откл.Пр!E41</f>
        <v>0</v>
      </c>
      <c r="F41" s="557">
        <f>'[18]Прот.3-22'!F41+[18]Откл.Пр!F41</f>
        <v>0</v>
      </c>
      <c r="G41" s="557">
        <f>'[18]Прот.3-22'!H41+[18]Откл.Пр!H41</f>
        <v>493</v>
      </c>
      <c r="H41" s="557">
        <f>'[18]Прот.3-22'!I41+[18]Откл.Пр!I41</f>
        <v>5818</v>
      </c>
      <c r="I41" s="557">
        <f>'[18]Прот.3-22'!K41+[18]Откл.Пр!K41</f>
        <v>0</v>
      </c>
      <c r="J41" s="557">
        <f>'[18]Прот.3-22'!L41+[18]Откл.Пр!L41</f>
        <v>0</v>
      </c>
      <c r="K41" s="549">
        <f t="shared" si="4"/>
        <v>0</v>
      </c>
      <c r="L41" s="557">
        <f>'[18]Прот.3-22'!N41+[18]Откл.Пр!N41</f>
        <v>0</v>
      </c>
      <c r="M41" s="557">
        <f>'[18]Прот.3-22'!O41+[18]Откл.Пр!O41</f>
        <v>0</v>
      </c>
      <c r="N41" s="557"/>
      <c r="O41" s="550">
        <v>0</v>
      </c>
      <c r="P41" s="558"/>
      <c r="Q41" s="558">
        <v>600</v>
      </c>
      <c r="R41" s="544"/>
    </row>
    <row r="42" spans="1:18" x14ac:dyDescent="0.2">
      <c r="A42" s="35">
        <v>32</v>
      </c>
      <c r="B42" s="38" t="s">
        <v>82</v>
      </c>
      <c r="C42" s="37" t="s">
        <v>10</v>
      </c>
      <c r="D42" s="553">
        <f t="shared" si="3"/>
        <v>74396</v>
      </c>
      <c r="E42" s="557">
        <f>'[18]Прот.3-22'!E42+[18]Откл.Пр!E42</f>
        <v>0</v>
      </c>
      <c r="F42" s="557">
        <f>'[18]Прот.3-22'!F42+[18]Откл.Пр!F42</f>
        <v>0</v>
      </c>
      <c r="G42" s="557">
        <f>'[18]Прот.3-22'!H42+[18]Откл.Пр!H42</f>
        <v>7044</v>
      </c>
      <c r="H42" s="557">
        <f>'[18]Прот.3-22'!I42+[18]Откл.Пр!I42</f>
        <v>60615</v>
      </c>
      <c r="I42" s="557">
        <f>'[18]Прот.3-22'!K42+[18]Откл.Пр!K42</f>
        <v>1025</v>
      </c>
      <c r="J42" s="557">
        <f>'[18]Прот.3-22'!L42+[18]Откл.Пр!L42</f>
        <v>439</v>
      </c>
      <c r="K42" s="549">
        <f t="shared" si="4"/>
        <v>973</v>
      </c>
      <c r="L42" s="557">
        <f>'[18]Прот.3-22'!N42+[18]Откл.Пр!N42</f>
        <v>0</v>
      </c>
      <c r="M42" s="557">
        <f>'[18]Прот.3-22'!O42+[18]Откл.Пр!O42</f>
        <v>973</v>
      </c>
      <c r="N42" s="557"/>
      <c r="O42" s="550">
        <v>0</v>
      </c>
      <c r="P42" s="558">
        <v>2500</v>
      </c>
      <c r="Q42" s="558">
        <v>1800</v>
      </c>
      <c r="R42" s="544"/>
    </row>
    <row r="43" spans="1:18" x14ac:dyDescent="0.2">
      <c r="A43" s="13">
        <v>33</v>
      </c>
      <c r="B43" s="39" t="s">
        <v>83</v>
      </c>
      <c r="C43" s="40" t="s">
        <v>11</v>
      </c>
      <c r="D43" s="553">
        <f t="shared" si="3"/>
        <v>106063</v>
      </c>
      <c r="E43" s="557">
        <f>'[18]Прот.3-22'!E43+[18]Откл.Пр!E43</f>
        <v>0</v>
      </c>
      <c r="F43" s="557">
        <f>'[18]Прот.3-22'!F43+[18]Откл.Пр!F43</f>
        <v>0</v>
      </c>
      <c r="G43" s="557">
        <f>'[18]Прот.3-22'!H43+[18]Откл.Пр!H43+6000</f>
        <v>26000</v>
      </c>
      <c r="H43" s="557">
        <f>'[18]Прот.3-22'!I43+[18]Откл.Пр!I43</f>
        <v>70710</v>
      </c>
      <c r="I43" s="557">
        <f>'[18]Прот.3-22'!K43+[18]Откл.Пр!K43</f>
        <v>1025</v>
      </c>
      <c r="J43" s="557">
        <f>'[18]Прот.3-22'!L43+[18]Откл.Пр!L43</f>
        <v>439</v>
      </c>
      <c r="K43" s="549">
        <f t="shared" si="4"/>
        <v>303</v>
      </c>
      <c r="L43" s="557">
        <f>'[18]Прот.3-22'!N43+[18]Откл.Пр!N43</f>
        <v>0</v>
      </c>
      <c r="M43" s="557">
        <f>'[18]Прот.3-22'!O43+[18]Откл.Пр!O43</f>
        <v>303</v>
      </c>
      <c r="N43" s="557"/>
      <c r="O43" s="550">
        <v>0</v>
      </c>
      <c r="P43" s="558">
        <v>5406</v>
      </c>
      <c r="Q43" s="558">
        <v>2180</v>
      </c>
      <c r="R43" s="544"/>
    </row>
    <row r="44" spans="1:18" x14ac:dyDescent="0.2">
      <c r="A44" s="35">
        <v>34</v>
      </c>
      <c r="B44" s="38" t="s">
        <v>125</v>
      </c>
      <c r="C44" s="37" t="s">
        <v>43</v>
      </c>
      <c r="D44" s="553">
        <f t="shared" si="3"/>
        <v>20615</v>
      </c>
      <c r="E44" s="557">
        <f>'[18]Прот.3-22'!E44+[18]Откл.Пр!E44</f>
        <v>0</v>
      </c>
      <c r="F44" s="557">
        <f>'[18]Прот.3-22'!F44+[18]Откл.Пр!F44</f>
        <v>0</v>
      </c>
      <c r="G44" s="557">
        <f>'[18]Прот.3-22'!H44+[18]Откл.Пр!H44</f>
        <v>2200</v>
      </c>
      <c r="H44" s="557">
        <f>'[18]Прот.3-22'!I44+[18]Откл.Пр!I44</f>
        <v>13665</v>
      </c>
      <c r="I44" s="557">
        <f>'[18]Прот.3-22'!K44+[18]Откл.Пр!K44</f>
        <v>0</v>
      </c>
      <c r="J44" s="557">
        <f>'[18]Прот.3-22'!L44+[18]Откл.Пр!L44</f>
        <v>0</v>
      </c>
      <c r="K44" s="549">
        <f t="shared" si="4"/>
        <v>0</v>
      </c>
      <c r="L44" s="557">
        <f>'[18]Прот.3-22'!N44+[18]Откл.Пр!N44</f>
        <v>0</v>
      </c>
      <c r="M44" s="557">
        <f>'[18]Прот.3-22'!O44+[18]Откл.Пр!O44</f>
        <v>0</v>
      </c>
      <c r="N44" s="557"/>
      <c r="O44" s="550">
        <v>0</v>
      </c>
      <c r="P44" s="558">
        <v>1200</v>
      </c>
      <c r="Q44" s="558">
        <v>3550</v>
      </c>
      <c r="R44" s="544"/>
    </row>
    <row r="45" spans="1:18" x14ac:dyDescent="0.2">
      <c r="A45" s="13">
        <v>35</v>
      </c>
      <c r="B45" s="12" t="s">
        <v>84</v>
      </c>
      <c r="C45" s="9" t="s">
        <v>12</v>
      </c>
      <c r="D45" s="553">
        <f t="shared" si="3"/>
        <v>74428</v>
      </c>
      <c r="E45" s="557">
        <f>'[18]Прот.3-22'!E45+[18]Откл.Пр!E45</f>
        <v>0</v>
      </c>
      <c r="F45" s="557">
        <f>'[18]Прот.3-22'!F45+[18]Откл.Пр!F45</f>
        <v>0</v>
      </c>
      <c r="G45" s="557">
        <f>'[18]Прот.3-22'!H45+[18]Откл.Пр!H45</f>
        <v>12000</v>
      </c>
      <c r="H45" s="557">
        <f>'[18]Прот.3-22'!I45+[18]Откл.Пр!I45</f>
        <v>44308</v>
      </c>
      <c r="I45" s="557">
        <f>'[18]Прот.3-22'!K45+[18]Откл.Пр!K45</f>
        <v>0</v>
      </c>
      <c r="J45" s="557">
        <f>'[18]Прот.3-22'!L45+[18]Откл.Пр!L45</f>
        <v>0</v>
      </c>
      <c r="K45" s="549">
        <f t="shared" si="4"/>
        <v>0</v>
      </c>
      <c r="L45" s="557">
        <f>'[18]Прот.3-22'!N45+[18]Откл.Пр!N45</f>
        <v>0</v>
      </c>
      <c r="M45" s="557">
        <f>'[18]Прот.3-22'!O45+[18]Откл.Пр!O45</f>
        <v>0</v>
      </c>
      <c r="N45" s="557"/>
      <c r="O45" s="550">
        <v>0</v>
      </c>
      <c r="P45" s="558">
        <v>7052</v>
      </c>
      <c r="Q45" s="558">
        <v>11068</v>
      </c>
      <c r="R45" s="544"/>
    </row>
    <row r="46" spans="1:18" x14ac:dyDescent="0.2">
      <c r="A46" s="35">
        <v>36</v>
      </c>
      <c r="B46" s="38" t="s">
        <v>85</v>
      </c>
      <c r="C46" s="37" t="s">
        <v>49</v>
      </c>
      <c r="D46" s="553">
        <f t="shared" si="3"/>
        <v>26408</v>
      </c>
      <c r="E46" s="557">
        <f>'[18]Прот.3-22'!E46+[18]Откл.Пр!E46</f>
        <v>0</v>
      </c>
      <c r="F46" s="557">
        <f>'[18]Прот.3-22'!F46+[18]Откл.Пр!F46</f>
        <v>0</v>
      </c>
      <c r="G46" s="557">
        <f>'[18]Прот.3-22'!H46+[18]Откл.Пр!H46</f>
        <v>3876</v>
      </c>
      <c r="H46" s="557">
        <f>'[18]Прот.3-22'!I46+[18]Откл.Пр!I46</f>
        <v>20916</v>
      </c>
      <c r="I46" s="557">
        <f>'[18]Прот.3-22'!K46+[18]Откл.Пр!K46</f>
        <v>0</v>
      </c>
      <c r="J46" s="557">
        <f>'[18]Прот.3-22'!L46+[18]Откл.Пр!L46</f>
        <v>0</v>
      </c>
      <c r="K46" s="549">
        <f t="shared" si="4"/>
        <v>0</v>
      </c>
      <c r="L46" s="557">
        <f>'[18]Прот.3-22'!N46+[18]Откл.Пр!N46</f>
        <v>0</v>
      </c>
      <c r="M46" s="557">
        <f>'[18]Прот.3-22'!O46+[18]Откл.Пр!O46</f>
        <v>0</v>
      </c>
      <c r="N46" s="557"/>
      <c r="O46" s="550">
        <v>0</v>
      </c>
      <c r="P46" s="558">
        <v>500</v>
      </c>
      <c r="Q46" s="558">
        <v>1116</v>
      </c>
      <c r="R46" s="544"/>
    </row>
    <row r="47" spans="1:18" x14ac:dyDescent="0.2">
      <c r="A47" s="13">
        <v>37</v>
      </c>
      <c r="B47" s="36" t="s">
        <v>126</v>
      </c>
      <c r="C47" s="37" t="s">
        <v>25</v>
      </c>
      <c r="D47" s="553">
        <f t="shared" si="3"/>
        <v>87089</v>
      </c>
      <c r="E47" s="557">
        <f>'[18]Прот.3-22'!E47+[18]Откл.Пр!E47</f>
        <v>0</v>
      </c>
      <c r="F47" s="557">
        <f>'[18]Прот.3-22'!F47+[18]Откл.Пр!F47</f>
        <v>0</v>
      </c>
      <c r="G47" s="557">
        <f>'[18]Прот.3-22'!H47+[18]Откл.Пр!H47</f>
        <v>10000</v>
      </c>
      <c r="H47" s="557">
        <f>'[18]Прот.3-22'!I47+[18]Откл.Пр!I47</f>
        <v>69329</v>
      </c>
      <c r="I47" s="557">
        <f>'[18]Прот.3-22'!K47+[18]Откл.Пр!K47</f>
        <v>1025</v>
      </c>
      <c r="J47" s="557">
        <f>'[18]Прот.3-22'!L47+[18]Откл.Пр!L47</f>
        <v>439</v>
      </c>
      <c r="K47" s="549">
        <f t="shared" si="4"/>
        <v>0</v>
      </c>
      <c r="L47" s="557">
        <f>'[18]Прот.3-22'!N47+[18]Откл.Пр!N47</f>
        <v>0</v>
      </c>
      <c r="M47" s="557">
        <f>'[18]Прот.3-22'!O47+[18]Откл.Пр!O47</f>
        <v>0</v>
      </c>
      <c r="N47" s="557"/>
      <c r="O47" s="550">
        <v>0</v>
      </c>
      <c r="P47" s="558">
        <v>6296</v>
      </c>
      <c r="Q47" s="558">
        <v>0</v>
      </c>
      <c r="R47" s="544"/>
    </row>
    <row r="48" spans="1:18" x14ac:dyDescent="0.2">
      <c r="A48" s="35">
        <v>38</v>
      </c>
      <c r="B48" s="41" t="s">
        <v>127</v>
      </c>
      <c r="C48" s="42" t="s">
        <v>54</v>
      </c>
      <c r="D48" s="553">
        <f t="shared" si="3"/>
        <v>24224</v>
      </c>
      <c r="E48" s="557">
        <f>'[18]Прот.3-22'!E48+[18]Откл.Пр!E48</f>
        <v>0</v>
      </c>
      <c r="F48" s="557">
        <f>'[18]Прот.3-22'!F48+[18]Откл.Пр!F48</f>
        <v>0</v>
      </c>
      <c r="G48" s="557">
        <f>'[18]Прот.3-22'!H48+[18]Откл.Пр!H48</f>
        <v>3973</v>
      </c>
      <c r="H48" s="557">
        <f>'[18]Прот.3-22'!I48+[18]Откл.Пр!I48</f>
        <v>16306</v>
      </c>
      <c r="I48" s="557">
        <f>'[18]Прот.3-22'!K48+[18]Откл.Пр!K48</f>
        <v>0</v>
      </c>
      <c r="J48" s="557">
        <f>'[18]Прот.3-22'!L48+[18]Откл.Пр!L48</f>
        <v>0</v>
      </c>
      <c r="K48" s="549">
        <f t="shared" si="4"/>
        <v>0</v>
      </c>
      <c r="L48" s="557">
        <f>'[18]Прот.3-22'!N48+[18]Откл.Пр!N48</f>
        <v>0</v>
      </c>
      <c r="M48" s="557">
        <f>'[18]Прот.3-22'!O48+[18]Откл.Пр!O48</f>
        <v>0</v>
      </c>
      <c r="N48" s="557"/>
      <c r="O48" s="550">
        <v>0</v>
      </c>
      <c r="P48" s="558">
        <v>945</v>
      </c>
      <c r="Q48" s="558">
        <v>3000</v>
      </c>
      <c r="R48" s="544"/>
    </row>
    <row r="49" spans="1:18" x14ac:dyDescent="0.2">
      <c r="A49" s="13">
        <v>39</v>
      </c>
      <c r="B49" s="36" t="s">
        <v>86</v>
      </c>
      <c r="C49" s="37" t="s">
        <v>57</v>
      </c>
      <c r="D49" s="553">
        <f t="shared" si="3"/>
        <v>15391</v>
      </c>
      <c r="E49" s="557">
        <f>'[18]Прот.3-22'!E49+[18]Откл.Пр!E49</f>
        <v>0</v>
      </c>
      <c r="F49" s="557">
        <f>'[18]Прот.3-22'!F49+[18]Откл.Пр!F49</f>
        <v>0</v>
      </c>
      <c r="G49" s="557">
        <f>'[18]Прот.3-22'!H49+[18]Откл.Пр!H49</f>
        <v>892</v>
      </c>
      <c r="H49" s="557">
        <f>'[18]Прот.3-22'!I49+[18]Откл.Пр!I49</f>
        <v>11909</v>
      </c>
      <c r="I49" s="557">
        <f>'[18]Прот.3-22'!K49+[18]Откл.Пр!K49</f>
        <v>0</v>
      </c>
      <c r="J49" s="557">
        <f>'[18]Прот.3-22'!L49+[18]Откл.Пр!L49</f>
        <v>0</v>
      </c>
      <c r="K49" s="549">
        <f t="shared" si="4"/>
        <v>0</v>
      </c>
      <c r="L49" s="557">
        <f>'[18]Прот.3-22'!N49+[18]Откл.Пр!N49</f>
        <v>0</v>
      </c>
      <c r="M49" s="557">
        <f>'[18]Прот.3-22'!O49+[18]Откл.Пр!O49</f>
        <v>0</v>
      </c>
      <c r="N49" s="557"/>
      <c r="O49" s="550">
        <v>0</v>
      </c>
      <c r="P49" s="558">
        <v>2590</v>
      </c>
      <c r="Q49" s="558">
        <v>0</v>
      </c>
      <c r="R49" s="544"/>
    </row>
    <row r="50" spans="1:18" x14ac:dyDescent="0.2">
      <c r="A50" s="35">
        <v>40</v>
      </c>
      <c r="B50" s="39" t="s">
        <v>87</v>
      </c>
      <c r="C50" s="40" t="s">
        <v>58</v>
      </c>
      <c r="D50" s="553">
        <f t="shared" si="3"/>
        <v>20491</v>
      </c>
      <c r="E50" s="557">
        <f>'[18]Прот.3-22'!E50+[18]Откл.Пр!E50</f>
        <v>0</v>
      </c>
      <c r="F50" s="557">
        <f>'[18]Прот.3-22'!F50+[18]Откл.Пр!F50</f>
        <v>0</v>
      </c>
      <c r="G50" s="557">
        <f>'[18]Прот.3-22'!H50+[18]Откл.Пр!H50</f>
        <v>3212</v>
      </c>
      <c r="H50" s="557">
        <f>'[18]Прот.3-22'!I50+[18]Откл.Пр!I50</f>
        <v>15879</v>
      </c>
      <c r="I50" s="557">
        <f>'[18]Прот.3-22'!K50+[18]Откл.Пр!K50</f>
        <v>0</v>
      </c>
      <c r="J50" s="557">
        <f>'[18]Прот.3-22'!L50+[18]Откл.Пр!L50</f>
        <v>0</v>
      </c>
      <c r="K50" s="549">
        <f t="shared" si="4"/>
        <v>0</v>
      </c>
      <c r="L50" s="557">
        <f>'[18]Прот.3-22'!N50+[18]Откл.Пр!N50</f>
        <v>0</v>
      </c>
      <c r="M50" s="557">
        <f>'[18]Прот.3-22'!O50+[18]Откл.Пр!O50</f>
        <v>0</v>
      </c>
      <c r="N50" s="557"/>
      <c r="O50" s="550">
        <v>0</v>
      </c>
      <c r="P50" s="558">
        <v>400</v>
      </c>
      <c r="Q50" s="558">
        <v>1000</v>
      </c>
      <c r="R50" s="544"/>
    </row>
    <row r="51" spans="1:18" x14ac:dyDescent="0.2">
      <c r="A51" s="13">
        <v>41</v>
      </c>
      <c r="B51" s="12" t="s">
        <v>128</v>
      </c>
      <c r="C51" s="9" t="s">
        <v>59</v>
      </c>
      <c r="D51" s="553">
        <f t="shared" si="3"/>
        <v>11767</v>
      </c>
      <c r="E51" s="557">
        <f>'[18]Прот.3-22'!E51+[18]Откл.Пр!E51</f>
        <v>0</v>
      </c>
      <c r="F51" s="557">
        <f>'[18]Прот.3-22'!F51+[18]Откл.Пр!F51</f>
        <v>0</v>
      </c>
      <c r="G51" s="557">
        <f>'[18]Прот.3-22'!H51+[18]Откл.Пр!H51</f>
        <v>2235</v>
      </c>
      <c r="H51" s="557">
        <f>'[18]Прот.3-22'!I51+[18]Откл.Пр!I51</f>
        <v>8682</v>
      </c>
      <c r="I51" s="557">
        <f>'[18]Прот.3-22'!K51+[18]Откл.Пр!K51</f>
        <v>0</v>
      </c>
      <c r="J51" s="557">
        <f>'[18]Прот.3-22'!L51+[18]Откл.Пр!L51</f>
        <v>0</v>
      </c>
      <c r="K51" s="549">
        <f t="shared" si="4"/>
        <v>0</v>
      </c>
      <c r="L51" s="557">
        <f>'[18]Прот.3-22'!N51+[18]Откл.Пр!N51</f>
        <v>0</v>
      </c>
      <c r="M51" s="557">
        <f>'[18]Прот.3-22'!O51+[18]Откл.Пр!O51</f>
        <v>0</v>
      </c>
      <c r="N51" s="557"/>
      <c r="O51" s="550">
        <v>0</v>
      </c>
      <c r="P51" s="558">
        <v>160</v>
      </c>
      <c r="Q51" s="558">
        <v>690</v>
      </c>
      <c r="R51" s="544"/>
    </row>
    <row r="52" spans="1:18" x14ac:dyDescent="0.2">
      <c r="A52" s="35">
        <v>42</v>
      </c>
      <c r="B52" s="38" t="s">
        <v>129</v>
      </c>
      <c r="C52" s="37" t="s">
        <v>130</v>
      </c>
      <c r="D52" s="553">
        <f t="shared" si="3"/>
        <v>11079</v>
      </c>
      <c r="E52" s="557">
        <f>'[18]Прот.3-22'!E52+[18]Откл.Пр!E52</f>
        <v>0</v>
      </c>
      <c r="F52" s="557">
        <f>'[18]Прот.3-22'!F52+[18]Откл.Пр!F52</f>
        <v>0</v>
      </c>
      <c r="G52" s="557">
        <f>'[18]Прот.3-22'!H52+[18]Откл.Пр!H52</f>
        <v>1870</v>
      </c>
      <c r="H52" s="557">
        <f>'[18]Прот.3-22'!I52+[18]Откл.Пр!I52</f>
        <v>9209</v>
      </c>
      <c r="I52" s="557">
        <f>'[18]Прот.3-22'!K52+[18]Откл.Пр!K52</f>
        <v>0</v>
      </c>
      <c r="J52" s="557">
        <f>'[18]Прот.3-22'!L52+[18]Откл.Пр!L52</f>
        <v>0</v>
      </c>
      <c r="K52" s="549">
        <f t="shared" si="4"/>
        <v>0</v>
      </c>
      <c r="L52" s="557">
        <f>'[18]Прот.3-22'!N52+[18]Откл.Пр!N52</f>
        <v>0</v>
      </c>
      <c r="M52" s="557">
        <f>'[18]Прот.3-22'!O52+[18]Откл.Пр!O52</f>
        <v>0</v>
      </c>
      <c r="N52" s="557"/>
      <c r="O52" s="550">
        <v>0</v>
      </c>
      <c r="P52" s="558"/>
      <c r="Q52" s="558"/>
      <c r="R52" s="544"/>
    </row>
    <row r="53" spans="1:18" x14ac:dyDescent="0.2">
      <c r="A53" s="13">
        <v>43</v>
      </c>
      <c r="B53" s="12" t="s">
        <v>88</v>
      </c>
      <c r="C53" s="9" t="s">
        <v>13</v>
      </c>
      <c r="D53" s="553">
        <f t="shared" si="3"/>
        <v>88407</v>
      </c>
      <c r="E53" s="557">
        <f>'[18]Прот.3-22'!E53+[18]Откл.Пр!E53</f>
        <v>0</v>
      </c>
      <c r="F53" s="557">
        <f>'[18]Прот.3-22'!F53+[18]Откл.Пр!F53</f>
        <v>0</v>
      </c>
      <c r="G53" s="557">
        <f>'[18]Прот.3-22'!H53+[18]Откл.Пр!H53</f>
        <v>7000</v>
      </c>
      <c r="H53" s="557">
        <f>'[18]Прот.3-22'!I53+[18]Откл.Пр!I53</f>
        <v>77176</v>
      </c>
      <c r="I53" s="557">
        <f>'[18]Прот.3-22'!K53+[18]Откл.Пр!K53</f>
        <v>1025</v>
      </c>
      <c r="J53" s="557">
        <f>'[18]Прот.3-22'!L53+[18]Откл.Пр!L53</f>
        <v>439</v>
      </c>
      <c r="K53" s="549">
        <f t="shared" si="4"/>
        <v>1177</v>
      </c>
      <c r="L53" s="557">
        <f>'[18]Прот.3-22'!N53+[18]Откл.Пр!N53</f>
        <v>0</v>
      </c>
      <c r="M53" s="557">
        <f>'[18]Прот.3-22'!O53+[18]Откл.Пр!O53</f>
        <v>1177</v>
      </c>
      <c r="N53" s="557"/>
      <c r="O53" s="550">
        <v>0</v>
      </c>
      <c r="P53" s="558">
        <v>1450</v>
      </c>
      <c r="Q53" s="558">
        <v>140</v>
      </c>
      <c r="R53" s="544"/>
    </row>
    <row r="54" spans="1:18" x14ac:dyDescent="0.2">
      <c r="A54" s="35">
        <v>44</v>
      </c>
      <c r="B54" s="36" t="s">
        <v>132</v>
      </c>
      <c r="C54" s="37" t="s">
        <v>30</v>
      </c>
      <c r="D54" s="553">
        <f t="shared" si="3"/>
        <v>24477</v>
      </c>
      <c r="E54" s="557">
        <f>'[18]Прот.3-22'!E54+[18]Откл.Пр!E54</f>
        <v>0</v>
      </c>
      <c r="F54" s="557">
        <f>'[18]Прот.3-22'!F54+[18]Откл.Пр!F54</f>
        <v>0</v>
      </c>
      <c r="G54" s="557">
        <f>'[18]Прот.3-22'!H54+[18]Откл.Пр!H54</f>
        <v>2724</v>
      </c>
      <c r="H54" s="557">
        <f>'[18]Прот.3-22'!I54+[18]Откл.Пр!I54</f>
        <v>20252</v>
      </c>
      <c r="I54" s="557">
        <f>'[18]Прот.3-22'!K54+[18]Откл.Пр!K54</f>
        <v>0</v>
      </c>
      <c r="J54" s="557">
        <f>'[18]Прот.3-22'!L54+[18]Откл.Пр!L54</f>
        <v>0</v>
      </c>
      <c r="K54" s="549">
        <f t="shared" si="4"/>
        <v>0</v>
      </c>
      <c r="L54" s="557">
        <f>'[18]Прот.3-22'!N54+[18]Откл.Пр!N54</f>
        <v>0</v>
      </c>
      <c r="M54" s="557">
        <f>'[18]Прот.3-22'!O54+[18]Откл.Пр!O54</f>
        <v>0</v>
      </c>
      <c r="N54" s="557"/>
      <c r="O54" s="550">
        <v>0</v>
      </c>
      <c r="P54" s="558"/>
      <c r="Q54" s="558">
        <v>1501</v>
      </c>
      <c r="R54" s="544"/>
    </row>
    <row r="55" spans="1:18" x14ac:dyDescent="0.2">
      <c r="A55" s="13">
        <v>45</v>
      </c>
      <c r="B55" s="36" t="s">
        <v>133</v>
      </c>
      <c r="C55" s="37" t="s">
        <v>14</v>
      </c>
      <c r="D55" s="553">
        <f t="shared" si="3"/>
        <v>80119</v>
      </c>
      <c r="E55" s="557">
        <f>'[18]Прот.3-22'!E55+[18]Откл.Пр!E55</f>
        <v>0</v>
      </c>
      <c r="F55" s="557">
        <f>'[18]Прот.3-22'!F55+[18]Откл.Пр!F55</f>
        <v>0</v>
      </c>
      <c r="G55" s="557">
        <f>'[18]Прот.3-22'!H55+[18]Откл.Пр!H55</f>
        <v>5000</v>
      </c>
      <c r="H55" s="557">
        <f>'[18]Прот.3-22'!I55+[18]Откл.Пр!I55</f>
        <v>69216</v>
      </c>
      <c r="I55" s="557">
        <f>'[18]Прот.3-22'!K55+[18]Откл.Пр!K55</f>
        <v>1025</v>
      </c>
      <c r="J55" s="557">
        <f>'[18]Прот.3-22'!L55+[18]Откл.Пр!L55</f>
        <v>439</v>
      </c>
      <c r="K55" s="549">
        <f t="shared" si="4"/>
        <v>57</v>
      </c>
      <c r="L55" s="557">
        <f>'[18]Прот.3-22'!N55+[18]Откл.Пр!N55</f>
        <v>0</v>
      </c>
      <c r="M55" s="557">
        <f>'[18]Прот.3-22'!O55+[18]Откл.Пр!O55</f>
        <v>57</v>
      </c>
      <c r="N55" s="557"/>
      <c r="O55" s="550">
        <v>0</v>
      </c>
      <c r="P55" s="558">
        <v>1396</v>
      </c>
      <c r="Q55" s="558">
        <v>2986</v>
      </c>
      <c r="R55" s="544"/>
    </row>
    <row r="56" spans="1:18" x14ac:dyDescent="0.2">
      <c r="A56" s="35">
        <v>46</v>
      </c>
      <c r="B56" s="12" t="s">
        <v>134</v>
      </c>
      <c r="C56" s="9" t="s">
        <v>33</v>
      </c>
      <c r="D56" s="553">
        <f t="shared" si="3"/>
        <v>17604</v>
      </c>
      <c r="E56" s="557">
        <f>'[18]Прот.3-22'!E56+[18]Откл.Пр!E56</f>
        <v>0</v>
      </c>
      <c r="F56" s="557">
        <f>'[18]Прот.3-22'!F56+[18]Откл.Пр!F56</f>
        <v>0</v>
      </c>
      <c r="G56" s="557">
        <f>'[18]Прот.3-22'!H56+[18]Откл.Пр!H56</f>
        <v>2740</v>
      </c>
      <c r="H56" s="557">
        <f>'[18]Прот.3-22'!I56+[18]Откл.Пр!I56</f>
        <v>12864</v>
      </c>
      <c r="I56" s="557">
        <f>'[18]Прот.3-22'!K56+[18]Откл.Пр!K56</f>
        <v>0</v>
      </c>
      <c r="J56" s="557">
        <f>'[18]Прот.3-22'!L56+[18]Откл.Пр!L56</f>
        <v>0</v>
      </c>
      <c r="K56" s="549">
        <f t="shared" si="4"/>
        <v>0</v>
      </c>
      <c r="L56" s="557">
        <f>'[18]Прот.3-22'!N56+[18]Откл.Пр!N56</f>
        <v>0</v>
      </c>
      <c r="M56" s="557">
        <f>'[18]Прот.3-22'!O56+[18]Откл.Пр!O56</f>
        <v>0</v>
      </c>
      <c r="N56" s="557"/>
      <c r="O56" s="550">
        <v>0</v>
      </c>
      <c r="P56" s="558"/>
      <c r="Q56" s="558">
        <v>2000</v>
      </c>
      <c r="R56" s="544"/>
    </row>
    <row r="57" spans="1:18" x14ac:dyDescent="0.2">
      <c r="A57" s="13">
        <v>47</v>
      </c>
      <c r="B57" s="12" t="s">
        <v>89</v>
      </c>
      <c r="C57" s="9" t="s">
        <v>38</v>
      </c>
      <c r="D57" s="553">
        <f t="shared" si="3"/>
        <v>26535</v>
      </c>
      <c r="E57" s="557">
        <f>'[18]Прот.3-22'!E57+[18]Откл.Пр!E57</f>
        <v>0</v>
      </c>
      <c r="F57" s="557">
        <f>'[18]Прот.3-22'!F57+[18]Откл.Пр!F57</f>
        <v>0</v>
      </c>
      <c r="G57" s="557">
        <f>'[18]Прот.3-22'!H57+[18]Откл.Пр!H57</f>
        <v>6282</v>
      </c>
      <c r="H57" s="557">
        <f>'[18]Прот.3-22'!I57+[18]Откл.Пр!I57</f>
        <v>17901</v>
      </c>
      <c r="I57" s="557">
        <f>'[18]Прот.3-22'!K57+[18]Откл.Пр!K57</f>
        <v>0</v>
      </c>
      <c r="J57" s="557">
        <f>'[18]Прот.3-22'!L57+[18]Откл.Пр!L57</f>
        <v>0</v>
      </c>
      <c r="K57" s="549">
        <f t="shared" si="4"/>
        <v>0</v>
      </c>
      <c r="L57" s="557">
        <f>'[18]Прот.3-22'!N57+[18]Откл.Пр!N57</f>
        <v>0</v>
      </c>
      <c r="M57" s="557">
        <f>'[18]Прот.3-22'!O57+[18]Откл.Пр!O57</f>
        <v>0</v>
      </c>
      <c r="N57" s="557"/>
      <c r="O57" s="550">
        <v>0</v>
      </c>
      <c r="P57" s="558">
        <v>1114</v>
      </c>
      <c r="Q57" s="558">
        <v>1238</v>
      </c>
      <c r="R57" s="544"/>
    </row>
    <row r="58" spans="1:18" x14ac:dyDescent="0.2">
      <c r="A58" s="35">
        <v>48</v>
      </c>
      <c r="B58" s="38" t="s">
        <v>90</v>
      </c>
      <c r="C58" s="37" t="s">
        <v>39</v>
      </c>
      <c r="D58" s="553">
        <f t="shared" si="3"/>
        <v>43670</v>
      </c>
      <c r="E58" s="557">
        <f>'[18]Прот.3-22'!E58+[18]Откл.Пр!E58</f>
        <v>0</v>
      </c>
      <c r="F58" s="557">
        <f>'[18]Прот.3-22'!F58+[18]Откл.Пр!F58</f>
        <v>0</v>
      </c>
      <c r="G58" s="557">
        <f>'[18]Прот.3-22'!H58+[18]Откл.Пр!H58</f>
        <v>7222</v>
      </c>
      <c r="H58" s="557">
        <f>'[18]Прот.3-22'!I58+[18]Откл.Пр!I58</f>
        <v>32332</v>
      </c>
      <c r="I58" s="557">
        <f>'[18]Прот.3-22'!K58+[18]Откл.Пр!K58</f>
        <v>1025</v>
      </c>
      <c r="J58" s="557">
        <f>'[18]Прот.3-22'!L58+[18]Откл.Пр!L58</f>
        <v>439</v>
      </c>
      <c r="K58" s="549">
        <f t="shared" si="4"/>
        <v>0</v>
      </c>
      <c r="L58" s="557">
        <f>'[18]Прот.3-22'!N58+[18]Откл.Пр!N58</f>
        <v>0</v>
      </c>
      <c r="M58" s="557">
        <f>'[18]Прот.3-22'!O58+[18]Откл.Пр!O58</f>
        <v>0</v>
      </c>
      <c r="N58" s="557"/>
      <c r="O58" s="550">
        <v>0</v>
      </c>
      <c r="P58" s="558">
        <v>1354</v>
      </c>
      <c r="Q58" s="558">
        <v>1298</v>
      </c>
      <c r="R58" s="544"/>
    </row>
    <row r="59" spans="1:18" x14ac:dyDescent="0.2">
      <c r="A59" s="13">
        <v>49</v>
      </c>
      <c r="B59" s="12" t="s">
        <v>135</v>
      </c>
      <c r="C59" s="9" t="s">
        <v>40</v>
      </c>
      <c r="D59" s="553">
        <f t="shared" si="3"/>
        <v>9954</v>
      </c>
      <c r="E59" s="557">
        <f>'[18]Прот.3-22'!E59+[18]Откл.Пр!E59</f>
        <v>0</v>
      </c>
      <c r="F59" s="557">
        <f>'[18]Прот.3-22'!F59+[18]Откл.Пр!F59</f>
        <v>0</v>
      </c>
      <c r="G59" s="557">
        <f>'[18]Прот.3-22'!H59+[18]Откл.Пр!H59</f>
        <v>1329</v>
      </c>
      <c r="H59" s="557">
        <f>'[18]Прот.3-22'!I59+[18]Откл.Пр!I59</f>
        <v>8610</v>
      </c>
      <c r="I59" s="557">
        <f>'[18]Прот.3-22'!K59+[18]Откл.Пр!K59</f>
        <v>0</v>
      </c>
      <c r="J59" s="557">
        <f>'[18]Прот.3-22'!L59+[18]Откл.Пр!L59</f>
        <v>0</v>
      </c>
      <c r="K59" s="549">
        <f t="shared" si="4"/>
        <v>0</v>
      </c>
      <c r="L59" s="557">
        <f>'[18]Прот.3-22'!N59+[18]Откл.Пр!N59</f>
        <v>0</v>
      </c>
      <c r="M59" s="557">
        <f>'[18]Прот.3-22'!O59+[18]Откл.Пр!O59</f>
        <v>0</v>
      </c>
      <c r="N59" s="557"/>
      <c r="O59" s="550">
        <v>0</v>
      </c>
      <c r="P59" s="558">
        <v>15</v>
      </c>
      <c r="Q59" s="558"/>
      <c r="R59" s="544"/>
    </row>
    <row r="60" spans="1:18" x14ac:dyDescent="0.2">
      <c r="A60" s="35">
        <v>50</v>
      </c>
      <c r="B60" s="38" t="s">
        <v>91</v>
      </c>
      <c r="C60" s="37" t="s">
        <v>53</v>
      </c>
      <c r="D60" s="553">
        <f t="shared" si="3"/>
        <v>19621</v>
      </c>
      <c r="E60" s="557">
        <f>'[18]Прот.3-22'!E60+[18]Откл.Пр!E60</f>
        <v>0</v>
      </c>
      <c r="F60" s="557">
        <f>'[18]Прот.3-22'!F60+[18]Откл.Пр!F60</f>
        <v>0</v>
      </c>
      <c r="G60" s="557">
        <f>'[18]Прот.3-22'!H60+[18]Откл.Пр!H60</f>
        <v>3227</v>
      </c>
      <c r="H60" s="557">
        <f>'[18]Прот.3-22'!I60+[18]Откл.Пр!I60</f>
        <v>14221</v>
      </c>
      <c r="I60" s="557">
        <f>'[18]Прот.3-22'!K60+[18]Откл.Пр!K60</f>
        <v>1025</v>
      </c>
      <c r="J60" s="557">
        <f>'[18]Прот.3-22'!L60+[18]Откл.Пр!L60</f>
        <v>439</v>
      </c>
      <c r="K60" s="549">
        <f t="shared" si="4"/>
        <v>0</v>
      </c>
      <c r="L60" s="557">
        <f>'[18]Прот.3-22'!N60+[18]Откл.Пр!N60</f>
        <v>0</v>
      </c>
      <c r="M60" s="557">
        <f>'[18]Прот.3-22'!O60+[18]Откл.Пр!O60</f>
        <v>0</v>
      </c>
      <c r="N60" s="557"/>
      <c r="O60" s="550">
        <v>0</v>
      </c>
      <c r="P60" s="558">
        <v>204</v>
      </c>
      <c r="Q60" s="558">
        <v>505</v>
      </c>
      <c r="R60" s="544"/>
    </row>
    <row r="61" spans="1:18" x14ac:dyDescent="0.2">
      <c r="A61" s="13">
        <v>51</v>
      </c>
      <c r="B61" s="12" t="s">
        <v>92</v>
      </c>
      <c r="C61" s="9" t="s">
        <v>56</v>
      </c>
      <c r="D61" s="553">
        <f t="shared" si="3"/>
        <v>20133</v>
      </c>
      <c r="E61" s="557">
        <f>'[18]Прот.3-22'!E61+[18]Откл.Пр!E61</f>
        <v>0</v>
      </c>
      <c r="F61" s="557">
        <f>'[18]Прот.3-22'!F61+[18]Откл.Пр!F61</f>
        <v>0</v>
      </c>
      <c r="G61" s="557">
        <f>'[18]Прот.3-22'!H61+[18]Откл.Пр!H61</f>
        <v>1887</v>
      </c>
      <c r="H61" s="557">
        <f>'[18]Прот.3-22'!I61+[18]Откл.Пр!I61</f>
        <v>16475</v>
      </c>
      <c r="I61" s="557">
        <f>'[18]Прот.3-22'!K61+[18]Откл.Пр!K61</f>
        <v>0</v>
      </c>
      <c r="J61" s="557">
        <f>'[18]Прот.3-22'!L61+[18]Откл.Пр!L61</f>
        <v>0</v>
      </c>
      <c r="K61" s="549">
        <f t="shared" si="4"/>
        <v>0</v>
      </c>
      <c r="L61" s="557">
        <f>'[18]Прот.3-22'!N61+[18]Откл.Пр!N61</f>
        <v>0</v>
      </c>
      <c r="M61" s="557">
        <f>'[18]Прот.3-22'!O61+[18]Откл.Пр!O61</f>
        <v>0</v>
      </c>
      <c r="N61" s="557"/>
      <c r="O61" s="550">
        <v>0</v>
      </c>
      <c r="P61" s="558">
        <v>500</v>
      </c>
      <c r="Q61" s="558">
        <v>1271</v>
      </c>
      <c r="R61" s="544"/>
    </row>
    <row r="62" spans="1:18" x14ac:dyDescent="0.2">
      <c r="A62" s="35">
        <v>52</v>
      </c>
      <c r="B62" s="12" t="s">
        <v>136</v>
      </c>
      <c r="C62" s="9" t="s">
        <v>15</v>
      </c>
      <c r="D62" s="553">
        <f t="shared" si="3"/>
        <v>127030</v>
      </c>
      <c r="E62" s="557">
        <f>'[18]Прот.3-22'!E62+[18]Откл.Пр!E62</f>
        <v>0</v>
      </c>
      <c r="F62" s="557">
        <f>'[18]Прот.3-22'!F62+[18]Откл.Пр!F62</f>
        <v>0</v>
      </c>
      <c r="G62" s="557">
        <f>'[18]Прот.3-22'!H62+[18]Откл.Пр!H62</f>
        <v>19000</v>
      </c>
      <c r="H62" s="557">
        <f>'[18]Прот.3-22'!I62+[18]Откл.Пр!I62</f>
        <v>98159</v>
      </c>
      <c r="I62" s="557">
        <f>'[18]Прот.3-22'!K62+[18]Откл.Пр!K62</f>
        <v>1025</v>
      </c>
      <c r="J62" s="557">
        <f>'[18]Прот.3-22'!L62+[18]Откл.Пр!L62</f>
        <v>439</v>
      </c>
      <c r="K62" s="549">
        <f t="shared" si="4"/>
        <v>1157</v>
      </c>
      <c r="L62" s="557">
        <f>'[18]Прот.3-22'!N62+[18]Откл.Пр!N62</f>
        <v>0</v>
      </c>
      <c r="M62" s="557">
        <f>'[18]Прот.3-22'!O62+[18]Откл.Пр!O62</f>
        <v>1157</v>
      </c>
      <c r="N62" s="557"/>
      <c r="O62" s="550">
        <v>0</v>
      </c>
      <c r="P62" s="558">
        <v>250</v>
      </c>
      <c r="Q62" s="558">
        <v>7000</v>
      </c>
      <c r="R62" s="544"/>
    </row>
    <row r="63" spans="1:18" x14ac:dyDescent="0.2">
      <c r="A63" s="13">
        <v>53</v>
      </c>
      <c r="B63" s="12" t="s">
        <v>137</v>
      </c>
      <c r="C63" s="9" t="s">
        <v>61</v>
      </c>
      <c r="D63" s="553">
        <f t="shared" si="3"/>
        <v>16774</v>
      </c>
      <c r="E63" s="557">
        <f>'[18]Прот.3-22'!E63+[18]Откл.Пр!E63</f>
        <v>0</v>
      </c>
      <c r="F63" s="557">
        <f>'[18]Прот.3-22'!F63+[18]Откл.Пр!F63</f>
        <v>0</v>
      </c>
      <c r="G63" s="557">
        <f>'[18]Прот.3-22'!H63+[18]Откл.Пр!H63</f>
        <v>3000</v>
      </c>
      <c r="H63" s="557">
        <f>'[18]Прот.3-22'!I63+[18]Откл.Пр!I63</f>
        <v>12331</v>
      </c>
      <c r="I63" s="557">
        <f>'[18]Прот.3-22'!K63+[18]Откл.Пр!K63</f>
        <v>0</v>
      </c>
      <c r="J63" s="557">
        <f>'[18]Прот.3-22'!L63+[18]Откл.Пр!L63</f>
        <v>0</v>
      </c>
      <c r="K63" s="549">
        <f t="shared" si="4"/>
        <v>0</v>
      </c>
      <c r="L63" s="557">
        <f>'[18]Прот.3-22'!N63+[18]Откл.Пр!N63</f>
        <v>0</v>
      </c>
      <c r="M63" s="557">
        <f>'[18]Прот.3-22'!O63+[18]Откл.Пр!O63</f>
        <v>0</v>
      </c>
      <c r="N63" s="557"/>
      <c r="O63" s="550">
        <v>0</v>
      </c>
      <c r="P63" s="558">
        <v>1100</v>
      </c>
      <c r="Q63" s="558">
        <v>343</v>
      </c>
      <c r="R63" s="544"/>
    </row>
    <row r="64" spans="1:18" x14ac:dyDescent="0.2">
      <c r="A64" s="35">
        <v>54</v>
      </c>
      <c r="B64" s="12" t="s">
        <v>186</v>
      </c>
      <c r="C64" s="9" t="s">
        <v>187</v>
      </c>
      <c r="D64" s="553">
        <f t="shared" si="3"/>
        <v>0</v>
      </c>
      <c r="E64" s="557">
        <f>'[18]Прот.3-22'!E64+[18]Откл.Пр!E64</f>
        <v>0</v>
      </c>
      <c r="F64" s="557">
        <f>'[18]Прот.3-22'!F64+[18]Откл.Пр!F64</f>
        <v>0</v>
      </c>
      <c r="G64" s="557">
        <f>'[18]Прот.3-22'!H64+[18]Откл.Пр!H64</f>
        <v>0</v>
      </c>
      <c r="H64" s="557">
        <f>'[18]Прот.3-22'!I64+[18]Откл.Пр!I64</f>
        <v>0</v>
      </c>
      <c r="I64" s="557">
        <f>'[18]Прот.3-22'!K64+[18]Откл.Пр!K64</f>
        <v>0</v>
      </c>
      <c r="J64" s="557">
        <f>'[18]Прот.3-22'!L64+[18]Откл.Пр!L64</f>
        <v>0</v>
      </c>
      <c r="K64" s="549">
        <f t="shared" si="4"/>
        <v>0</v>
      </c>
      <c r="L64" s="557">
        <f>'[18]Прот.3-22'!N64+[18]Откл.Пр!N64</f>
        <v>0</v>
      </c>
      <c r="M64" s="557">
        <f>'[18]Прот.3-22'!O64+[18]Откл.Пр!O64</f>
        <v>0</v>
      </c>
      <c r="N64" s="557"/>
      <c r="O64" s="550">
        <v>0</v>
      </c>
      <c r="P64" s="558"/>
      <c r="Q64" s="558"/>
      <c r="R64" s="544"/>
    </row>
    <row r="65" spans="1:18" x14ac:dyDescent="0.2">
      <c r="A65" s="13">
        <v>55</v>
      </c>
      <c r="B65" s="12" t="s">
        <v>188</v>
      </c>
      <c r="C65" s="9" t="s">
        <v>189</v>
      </c>
      <c r="D65" s="553">
        <f t="shared" si="3"/>
        <v>0</v>
      </c>
      <c r="E65" s="557">
        <f>'[18]Прот.3-22'!E65+[18]Откл.Пр!E65</f>
        <v>0</v>
      </c>
      <c r="F65" s="557">
        <f>'[18]Прот.3-22'!F65+[18]Откл.Пр!F65</f>
        <v>0</v>
      </c>
      <c r="G65" s="557">
        <f>'[18]Прот.3-22'!H65+[18]Откл.Пр!H65</f>
        <v>0</v>
      </c>
      <c r="H65" s="557">
        <f>'[18]Прот.3-22'!I65+[18]Откл.Пр!I65</f>
        <v>0</v>
      </c>
      <c r="I65" s="557">
        <f>'[18]Прот.3-22'!K65+[18]Откл.Пр!K65</f>
        <v>0</v>
      </c>
      <c r="J65" s="557">
        <f>'[18]Прот.3-22'!L65+[18]Откл.Пр!L65</f>
        <v>0</v>
      </c>
      <c r="K65" s="549">
        <f t="shared" si="4"/>
        <v>0</v>
      </c>
      <c r="L65" s="557">
        <f>'[18]Прот.3-22'!N65+[18]Откл.Пр!N65</f>
        <v>0</v>
      </c>
      <c r="M65" s="557">
        <f>'[18]Прот.3-22'!O65+[18]Откл.Пр!O65</f>
        <v>0</v>
      </c>
      <c r="N65" s="557"/>
      <c r="O65" s="550">
        <v>0</v>
      </c>
      <c r="P65" s="558"/>
      <c r="Q65" s="558"/>
      <c r="R65" s="544"/>
    </row>
    <row r="66" spans="1:18" x14ac:dyDescent="0.2">
      <c r="A66" s="35">
        <v>56</v>
      </c>
      <c r="B66" s="12" t="s">
        <v>190</v>
      </c>
      <c r="C66" s="9" t="s">
        <v>191</v>
      </c>
      <c r="D66" s="553">
        <f t="shared" si="3"/>
        <v>49422</v>
      </c>
      <c r="E66" s="557">
        <f>'[18]Прот.3-22'!E66+[18]Откл.Пр!E66</f>
        <v>0</v>
      </c>
      <c r="F66" s="557">
        <f>'[18]Прот.3-22'!F66+[18]Откл.Пр!F66</f>
        <v>0</v>
      </c>
      <c r="G66" s="557">
        <f>'[18]Прот.3-22'!H66+[18]Откл.Пр!H66</f>
        <v>2911</v>
      </c>
      <c r="H66" s="557">
        <f>'[18]Прот.3-22'!I66+[18]Откл.Пр!I66</f>
        <v>44777</v>
      </c>
      <c r="I66" s="557">
        <f>'[18]Прот.3-22'!K66+[18]Откл.Пр!K66</f>
        <v>0</v>
      </c>
      <c r="J66" s="557">
        <f>'[18]Прот.3-22'!L66+[18]Откл.Пр!L66</f>
        <v>0</v>
      </c>
      <c r="K66" s="549">
        <f t="shared" si="4"/>
        <v>1734</v>
      </c>
      <c r="L66" s="557">
        <f>'[18]Прот.3-22'!N66+[18]Откл.Пр!N66</f>
        <v>0</v>
      </c>
      <c r="M66" s="557">
        <f>'[18]Прот.3-22'!O66+[18]Откл.Пр!O66</f>
        <v>1734</v>
      </c>
      <c r="N66" s="557"/>
      <c r="O66" s="550">
        <v>0</v>
      </c>
      <c r="P66" s="558"/>
      <c r="Q66" s="558"/>
      <c r="R66" s="544"/>
    </row>
    <row r="67" spans="1:18" x14ac:dyDescent="0.2">
      <c r="A67" s="13">
        <v>57</v>
      </c>
      <c r="B67" s="38" t="s">
        <v>192</v>
      </c>
      <c r="C67" s="9" t="s">
        <v>193</v>
      </c>
      <c r="D67" s="553">
        <f t="shared" si="3"/>
        <v>42963</v>
      </c>
      <c r="E67" s="557">
        <f>'[18]Прот.3-22'!E67+[18]Откл.Пр!E67</f>
        <v>0</v>
      </c>
      <c r="F67" s="557">
        <f>'[18]Прот.3-22'!F67+[18]Откл.Пр!F67</f>
        <v>0</v>
      </c>
      <c r="G67" s="557">
        <f>'[18]Прот.3-22'!H67+[18]Откл.Пр!H67</f>
        <v>1980</v>
      </c>
      <c r="H67" s="557">
        <f>'[18]Прот.3-22'!I67+[18]Откл.Пр!I67</f>
        <v>40983</v>
      </c>
      <c r="I67" s="557">
        <f>'[18]Прот.3-22'!K67+[18]Откл.Пр!K67</f>
        <v>0</v>
      </c>
      <c r="J67" s="557">
        <f>'[18]Прот.3-22'!L67+[18]Откл.Пр!L67</f>
        <v>0</v>
      </c>
      <c r="K67" s="549">
        <f t="shared" si="4"/>
        <v>0</v>
      </c>
      <c r="L67" s="557">
        <f>'[18]Прот.3-22'!N67+[18]Откл.Пр!N67</f>
        <v>0</v>
      </c>
      <c r="M67" s="557">
        <f>'[18]Прот.3-22'!O67+[18]Откл.Пр!O67</f>
        <v>0</v>
      </c>
      <c r="N67" s="557"/>
      <c r="O67" s="550">
        <v>0</v>
      </c>
      <c r="P67" s="558"/>
      <c r="Q67" s="558"/>
      <c r="R67" s="544"/>
    </row>
    <row r="68" spans="1:18" x14ac:dyDescent="0.2">
      <c r="A68" s="35">
        <v>58</v>
      </c>
      <c r="B68" s="39" t="s">
        <v>194</v>
      </c>
      <c r="C68" s="40" t="s">
        <v>195</v>
      </c>
      <c r="D68" s="553">
        <f t="shared" si="3"/>
        <v>70427</v>
      </c>
      <c r="E68" s="557">
        <f>'[18]Прот.3-22'!E68+[18]Откл.Пр!E68</f>
        <v>0</v>
      </c>
      <c r="F68" s="557">
        <f>'[18]Прот.3-22'!F68+[18]Откл.Пр!F68</f>
        <v>0</v>
      </c>
      <c r="G68" s="557">
        <f>'[18]Прот.3-22'!H68+[18]Откл.Пр!H68</f>
        <v>3708</v>
      </c>
      <c r="H68" s="557">
        <f>'[18]Прот.3-22'!I68+[18]Откл.Пр!I68</f>
        <v>65519</v>
      </c>
      <c r="I68" s="557">
        <f>'[18]Прот.3-22'!K68+[18]Откл.Пр!K68</f>
        <v>0</v>
      </c>
      <c r="J68" s="557">
        <f>'[18]Прот.3-22'!L68+[18]Откл.Пр!L68</f>
        <v>0</v>
      </c>
      <c r="K68" s="549">
        <f t="shared" si="4"/>
        <v>0</v>
      </c>
      <c r="L68" s="557">
        <f>'[18]Прот.3-22'!N68+[18]Откл.Пр!N68</f>
        <v>0</v>
      </c>
      <c r="M68" s="557">
        <f>'[18]Прот.3-22'!O68+[18]Откл.Пр!O68</f>
        <v>0</v>
      </c>
      <c r="N68" s="557"/>
      <c r="O68" s="550">
        <v>0</v>
      </c>
      <c r="P68" s="558">
        <v>1200</v>
      </c>
      <c r="Q68" s="558"/>
      <c r="R68" s="544"/>
    </row>
    <row r="69" spans="1:18" x14ac:dyDescent="0.2">
      <c r="A69" s="13">
        <v>59</v>
      </c>
      <c r="B69" s="38" t="s">
        <v>196</v>
      </c>
      <c r="C69" s="9" t="s">
        <v>197</v>
      </c>
      <c r="D69" s="553">
        <f t="shared" si="3"/>
        <v>73459</v>
      </c>
      <c r="E69" s="557">
        <f>'[18]Прот.3-22'!E69+[18]Откл.Пр!E69</f>
        <v>0</v>
      </c>
      <c r="F69" s="557">
        <f>'[18]Прот.3-22'!F69+[18]Откл.Пр!F69</f>
        <v>0</v>
      </c>
      <c r="G69" s="557">
        <f>'[18]Прот.3-22'!H69+[18]Откл.Пр!H69</f>
        <v>4500</v>
      </c>
      <c r="H69" s="557">
        <f>'[18]Прот.3-22'!I69+[18]Откл.Пр!I69</f>
        <v>68959</v>
      </c>
      <c r="I69" s="557">
        <f>'[18]Прот.3-22'!K69+[18]Откл.Пр!K69</f>
        <v>0</v>
      </c>
      <c r="J69" s="557">
        <f>'[18]Прот.3-22'!L69+[18]Откл.Пр!L69</f>
        <v>0</v>
      </c>
      <c r="K69" s="549">
        <f t="shared" si="4"/>
        <v>0</v>
      </c>
      <c r="L69" s="557">
        <f>'[18]Прот.3-22'!N69+[18]Откл.Пр!N69</f>
        <v>0</v>
      </c>
      <c r="M69" s="557">
        <f>'[18]Прот.3-22'!O69+[18]Откл.Пр!O69</f>
        <v>0</v>
      </c>
      <c r="N69" s="557"/>
      <c r="O69" s="550">
        <v>0</v>
      </c>
      <c r="P69" s="558"/>
      <c r="Q69" s="558"/>
      <c r="R69" s="544"/>
    </row>
    <row r="70" spans="1:18" ht="24" x14ac:dyDescent="0.2">
      <c r="A70" s="35">
        <v>60</v>
      </c>
      <c r="B70" s="12" t="s">
        <v>198</v>
      </c>
      <c r="C70" s="9" t="s">
        <v>199</v>
      </c>
      <c r="D70" s="553">
        <f t="shared" si="3"/>
        <v>33005</v>
      </c>
      <c r="E70" s="557">
        <f>'[18]Прот.3-22'!E70+[18]Откл.Пр!E70</f>
        <v>0</v>
      </c>
      <c r="F70" s="557">
        <f>'[18]Прот.3-22'!F70+[18]Откл.Пр!F70</f>
        <v>0</v>
      </c>
      <c r="G70" s="557">
        <f>'[18]Прот.3-22'!H70+[18]Откл.Пр!H70</f>
        <v>3135</v>
      </c>
      <c r="H70" s="557">
        <f>'[18]Прот.3-22'!I70+[18]Откл.Пр!I70</f>
        <v>29870</v>
      </c>
      <c r="I70" s="557">
        <f>'[18]Прот.3-22'!K70+[18]Откл.Пр!K70</f>
        <v>0</v>
      </c>
      <c r="J70" s="557">
        <f>'[18]Прот.3-22'!L70+[18]Откл.Пр!L70</f>
        <v>0</v>
      </c>
      <c r="K70" s="549">
        <f t="shared" si="4"/>
        <v>0</v>
      </c>
      <c r="L70" s="557">
        <f>'[18]Прот.3-22'!N70+[18]Откл.Пр!N70</f>
        <v>0</v>
      </c>
      <c r="M70" s="557">
        <f>'[18]Прот.3-22'!O70+[18]Откл.Пр!O70</f>
        <v>0</v>
      </c>
      <c r="N70" s="557"/>
      <c r="O70" s="550">
        <v>0</v>
      </c>
      <c r="P70" s="558"/>
      <c r="Q70" s="558"/>
      <c r="R70" s="544"/>
    </row>
    <row r="71" spans="1:18" ht="24" x14ac:dyDescent="0.2">
      <c r="A71" s="13">
        <v>61</v>
      </c>
      <c r="B71" s="36" t="s">
        <v>200</v>
      </c>
      <c r="C71" s="9" t="s">
        <v>201</v>
      </c>
      <c r="D71" s="553">
        <f t="shared" si="3"/>
        <v>32939</v>
      </c>
      <c r="E71" s="557">
        <f>'[18]Прот.3-22'!E71+[18]Откл.Пр!E71</f>
        <v>26558</v>
      </c>
      <c r="F71" s="557">
        <f>'[18]Прот.3-22'!F71+[18]Откл.Пр!F71</f>
        <v>0</v>
      </c>
      <c r="G71" s="557">
        <f>'[18]Прот.3-22'!H71+[18]Откл.Пр!H71</f>
        <v>0</v>
      </c>
      <c r="H71" s="557">
        <f>'[18]Прот.3-22'!I71+[18]Откл.Пр!I71</f>
        <v>0</v>
      </c>
      <c r="I71" s="557">
        <f>'[18]Прот.3-22'!K71+[18]Откл.Пр!K71</f>
        <v>0</v>
      </c>
      <c r="J71" s="557">
        <f>'[18]Прот.3-22'!L71+[18]Откл.Пр!L71</f>
        <v>0</v>
      </c>
      <c r="K71" s="549">
        <f t="shared" si="4"/>
        <v>0</v>
      </c>
      <c r="L71" s="557">
        <f>'[18]Прот.3-22'!N71+[18]Откл.Пр!N71</f>
        <v>0</v>
      </c>
      <c r="M71" s="557">
        <f>'[18]Прот.3-22'!O71+[18]Откл.Пр!O71</f>
        <v>0</v>
      </c>
      <c r="N71" s="557"/>
      <c r="O71" s="550">
        <v>6381</v>
      </c>
      <c r="P71" s="558"/>
      <c r="Q71" s="558"/>
      <c r="R71" s="544"/>
    </row>
    <row r="72" spans="1:18" ht="24" x14ac:dyDescent="0.2">
      <c r="A72" s="35">
        <v>62</v>
      </c>
      <c r="B72" s="36" t="s">
        <v>202</v>
      </c>
      <c r="C72" s="9" t="s">
        <v>203</v>
      </c>
      <c r="D72" s="553">
        <f t="shared" si="3"/>
        <v>34287</v>
      </c>
      <c r="E72" s="557">
        <f>'[18]Прот.3-22'!E72+[18]Откл.Пр!E72</f>
        <v>15383</v>
      </c>
      <c r="F72" s="557">
        <f>'[18]Прот.3-22'!F72+[18]Откл.Пр!F72</f>
        <v>0</v>
      </c>
      <c r="G72" s="557">
        <f>'[18]Прот.3-22'!H72+[18]Откл.Пр!H72</f>
        <v>0</v>
      </c>
      <c r="H72" s="557">
        <f>'[18]Прот.3-22'!I72+[18]Откл.Пр!I72</f>
        <v>0</v>
      </c>
      <c r="I72" s="557">
        <f>'[18]Прот.3-22'!K72+[18]Откл.Пр!K72</f>
        <v>0</v>
      </c>
      <c r="J72" s="557">
        <f>'[18]Прот.3-22'!L72+[18]Откл.Пр!L72</f>
        <v>0</v>
      </c>
      <c r="K72" s="549">
        <f t="shared" si="4"/>
        <v>0</v>
      </c>
      <c r="L72" s="557">
        <f>'[18]Прот.3-22'!N72+[18]Откл.Пр!N72</f>
        <v>0</v>
      </c>
      <c r="M72" s="557">
        <f>'[18]Прот.3-22'!O72+[18]Откл.Пр!O72</f>
        <v>0</v>
      </c>
      <c r="N72" s="557"/>
      <c r="O72" s="550">
        <v>18904</v>
      </c>
      <c r="P72" s="558"/>
      <c r="Q72" s="558"/>
      <c r="R72" s="544"/>
    </row>
    <row r="73" spans="1:18" x14ac:dyDescent="0.2">
      <c r="A73" s="13">
        <v>63</v>
      </c>
      <c r="B73" s="38" t="s">
        <v>151</v>
      </c>
      <c r="C73" s="9" t="s">
        <v>204</v>
      </c>
      <c r="D73" s="553">
        <f t="shared" si="3"/>
        <v>68341</v>
      </c>
      <c r="E73" s="557">
        <f>'[18]Прот.3-22'!E73+[18]Откл.Пр!E73</f>
        <v>0</v>
      </c>
      <c r="F73" s="557">
        <f>'[18]Прот.3-22'!F73+[18]Откл.Пр!F73</f>
        <v>0</v>
      </c>
      <c r="G73" s="557">
        <f>'[18]Прот.3-22'!H73+[18]Откл.Пр!H73</f>
        <v>17156</v>
      </c>
      <c r="H73" s="557">
        <f>'[18]Прот.3-22'!I73+[18]Откл.Пр!I73</f>
        <v>49721</v>
      </c>
      <c r="I73" s="557">
        <f>'[18]Прот.3-22'!K73+[18]Откл.Пр!K73</f>
        <v>1025</v>
      </c>
      <c r="J73" s="557">
        <f>'[18]Прот.3-22'!L73+[18]Откл.Пр!L73</f>
        <v>439</v>
      </c>
      <c r="K73" s="549">
        <f t="shared" si="4"/>
        <v>0</v>
      </c>
      <c r="L73" s="557">
        <f>'[18]Прот.3-22'!N73+[18]Откл.Пр!N73</f>
        <v>0</v>
      </c>
      <c r="M73" s="557">
        <f>'[18]Прот.3-22'!O73+[18]Откл.Пр!O73</f>
        <v>0</v>
      </c>
      <c r="N73" s="557"/>
      <c r="O73" s="550">
        <v>0</v>
      </c>
      <c r="P73" s="558"/>
      <c r="Q73" s="558"/>
      <c r="R73" s="544"/>
    </row>
    <row r="74" spans="1:18" x14ac:dyDescent="0.2">
      <c r="A74" s="35">
        <v>64</v>
      </c>
      <c r="B74" s="38" t="s">
        <v>152</v>
      </c>
      <c r="C74" s="37" t="s">
        <v>153</v>
      </c>
      <c r="D74" s="553">
        <f t="shared" si="3"/>
        <v>24300</v>
      </c>
      <c r="E74" s="557">
        <f>'[18]Прот.3-22'!E74+[18]Откл.Пр!E74</f>
        <v>0</v>
      </c>
      <c r="F74" s="557">
        <f>'[18]Прот.3-22'!F74+[18]Откл.Пр!F74</f>
        <v>0</v>
      </c>
      <c r="G74" s="557">
        <f>'[18]Прот.3-22'!H74+[18]Откл.Пр!H74</f>
        <v>4966</v>
      </c>
      <c r="H74" s="557">
        <f>'[18]Прот.3-22'!I74+[18]Откл.Пр!I74</f>
        <v>11249</v>
      </c>
      <c r="I74" s="557">
        <f>'[18]Прот.3-22'!K74+[18]Откл.Пр!K74</f>
        <v>1025</v>
      </c>
      <c r="J74" s="557">
        <f>'[18]Прот.3-22'!L74+[18]Откл.Пр!L74</f>
        <v>439</v>
      </c>
      <c r="K74" s="549">
        <f t="shared" si="4"/>
        <v>6621</v>
      </c>
      <c r="L74" s="557">
        <f>'[18]Прот.3-22'!N74+[18]Откл.Пр!N74</f>
        <v>6234</v>
      </c>
      <c r="M74" s="557">
        <f>'[18]Прот.3-22'!O74+[18]Откл.Пр!O74</f>
        <v>387</v>
      </c>
      <c r="N74" s="557"/>
      <c r="O74" s="550">
        <v>0</v>
      </c>
      <c r="P74" s="558"/>
      <c r="Q74" s="558"/>
      <c r="R74" s="544"/>
    </row>
    <row r="75" spans="1:18" x14ac:dyDescent="0.2">
      <c r="A75" s="13">
        <v>65</v>
      </c>
      <c r="B75" s="38" t="s">
        <v>154</v>
      </c>
      <c r="C75" s="9" t="s">
        <v>205</v>
      </c>
      <c r="D75" s="553">
        <f t="shared" si="3"/>
        <v>71689</v>
      </c>
      <c r="E75" s="557">
        <f>'[18]Прот.3-22'!E75+[18]Откл.Пр!E75</f>
        <v>0</v>
      </c>
      <c r="F75" s="557">
        <f>'[18]Прот.3-22'!F75+[18]Откл.Пр!F75</f>
        <v>0</v>
      </c>
      <c r="G75" s="557">
        <f>'[18]Прот.3-22'!H75+[18]Откл.Пр!H75</f>
        <v>18233</v>
      </c>
      <c r="H75" s="557">
        <f>'[18]Прот.3-22'!I75+[18]Откл.Пр!I75</f>
        <v>51992</v>
      </c>
      <c r="I75" s="557">
        <f>'[18]Прот.3-22'!K75+[18]Откл.Пр!K75</f>
        <v>1025</v>
      </c>
      <c r="J75" s="557">
        <f>'[18]Прот.3-22'!L75+[18]Откл.Пр!L75</f>
        <v>439</v>
      </c>
      <c r="K75" s="549">
        <f t="shared" si="4"/>
        <v>0</v>
      </c>
      <c r="L75" s="557">
        <f>'[18]Прот.3-22'!N75+[18]Откл.Пр!N75</f>
        <v>0</v>
      </c>
      <c r="M75" s="557">
        <f>'[18]Прот.3-22'!O75+[18]Откл.Пр!O75</f>
        <v>0</v>
      </c>
      <c r="N75" s="557"/>
      <c r="O75" s="550">
        <v>0</v>
      </c>
      <c r="P75" s="558"/>
      <c r="Q75" s="558"/>
      <c r="R75" s="544"/>
    </row>
    <row r="76" spans="1:18" ht="24" x14ac:dyDescent="0.2">
      <c r="A76" s="35">
        <v>66</v>
      </c>
      <c r="B76" s="38" t="s">
        <v>206</v>
      </c>
      <c r="C76" s="9" t="s">
        <v>207</v>
      </c>
      <c r="D76" s="553">
        <f t="shared" ref="D76:D139" si="5">E76+G76+H76+I76+J76+K76+O76+P76+Q76</f>
        <v>2196</v>
      </c>
      <c r="E76" s="557">
        <f>'[18]Прот.3-22'!E76+[18]Откл.Пр!E76</f>
        <v>1996</v>
      </c>
      <c r="F76" s="557">
        <f>'[18]Прот.3-22'!F76+[18]Откл.Пр!F76</f>
        <v>0</v>
      </c>
      <c r="G76" s="557">
        <f>'[18]Прот.3-22'!H76+[18]Откл.Пр!H76</f>
        <v>0</v>
      </c>
      <c r="H76" s="557">
        <f>'[18]Прот.3-22'!I76+[18]Откл.Пр!I76</f>
        <v>0</v>
      </c>
      <c r="I76" s="557">
        <f>'[18]Прот.3-22'!K76+[18]Откл.Пр!K76</f>
        <v>0</v>
      </c>
      <c r="J76" s="557">
        <f>'[18]Прот.3-22'!L76+[18]Откл.Пр!L76</f>
        <v>0</v>
      </c>
      <c r="K76" s="549">
        <f t="shared" si="4"/>
        <v>0</v>
      </c>
      <c r="L76" s="557">
        <f>'[18]Прот.3-22'!N76+[18]Откл.Пр!N76</f>
        <v>0</v>
      </c>
      <c r="M76" s="557">
        <f>'[18]Прот.3-22'!O76+[18]Откл.Пр!O76</f>
        <v>0</v>
      </c>
      <c r="N76" s="557"/>
      <c r="O76" s="550">
        <v>200</v>
      </c>
      <c r="P76" s="558"/>
      <c r="Q76" s="558"/>
      <c r="R76" s="544"/>
    </row>
    <row r="77" spans="1:18" ht="24" x14ac:dyDescent="0.2">
      <c r="A77" s="13">
        <v>67</v>
      </c>
      <c r="B77" s="36" t="s">
        <v>208</v>
      </c>
      <c r="C77" s="9" t="s">
        <v>209</v>
      </c>
      <c r="D77" s="553">
        <f t="shared" si="5"/>
        <v>2982</v>
      </c>
      <c r="E77" s="557">
        <f>'[18]Прот.3-22'!E77+[18]Откл.Пр!E77</f>
        <v>2982</v>
      </c>
      <c r="F77" s="557">
        <f>'[18]Прот.3-22'!F77+[18]Откл.Пр!F77</f>
        <v>0</v>
      </c>
      <c r="G77" s="557">
        <f>'[18]Прот.3-22'!H77+[18]Откл.Пр!H77</f>
        <v>0</v>
      </c>
      <c r="H77" s="557">
        <f>'[18]Прот.3-22'!I77+[18]Откл.Пр!I77</f>
        <v>0</v>
      </c>
      <c r="I77" s="557">
        <f>'[18]Прот.3-22'!K77+[18]Откл.Пр!K77</f>
        <v>0</v>
      </c>
      <c r="J77" s="557">
        <f>'[18]Прот.3-22'!L77+[18]Откл.Пр!L77</f>
        <v>0</v>
      </c>
      <c r="K77" s="549">
        <f t="shared" ref="K77:K141" si="6">L77+M77</f>
        <v>0</v>
      </c>
      <c r="L77" s="557">
        <f>'[18]Прот.3-22'!N77+[18]Откл.Пр!N77</f>
        <v>0</v>
      </c>
      <c r="M77" s="557">
        <f>'[18]Прот.3-22'!O77+[18]Откл.Пр!O77</f>
        <v>0</v>
      </c>
      <c r="N77" s="557"/>
      <c r="O77" s="550">
        <v>0</v>
      </c>
      <c r="P77" s="558"/>
      <c r="Q77" s="558"/>
      <c r="R77" s="544"/>
    </row>
    <row r="78" spans="1:18" ht="24" x14ac:dyDescent="0.2">
      <c r="A78" s="35">
        <v>68</v>
      </c>
      <c r="B78" s="38" t="s">
        <v>210</v>
      </c>
      <c r="C78" s="9" t="s">
        <v>211</v>
      </c>
      <c r="D78" s="553">
        <f t="shared" si="5"/>
        <v>3516</v>
      </c>
      <c r="E78" s="557">
        <f>'[18]Прот.3-22'!E78+[18]Откл.Пр!E78</f>
        <v>3366</v>
      </c>
      <c r="F78" s="557">
        <f>'[18]Прот.3-22'!F78+[18]Откл.Пр!F78</f>
        <v>0</v>
      </c>
      <c r="G78" s="557">
        <f>'[18]Прот.3-22'!H78+[18]Откл.Пр!H78</f>
        <v>0</v>
      </c>
      <c r="H78" s="557">
        <f>'[18]Прот.3-22'!I78+[18]Откл.Пр!I78</f>
        <v>0</v>
      </c>
      <c r="I78" s="557">
        <f>'[18]Прот.3-22'!K78+[18]Откл.Пр!K78</f>
        <v>0</v>
      </c>
      <c r="J78" s="557">
        <f>'[18]Прот.3-22'!L78+[18]Откл.Пр!L78</f>
        <v>0</v>
      </c>
      <c r="K78" s="549">
        <f t="shared" si="6"/>
        <v>0</v>
      </c>
      <c r="L78" s="557">
        <f>'[18]Прот.3-22'!N78+[18]Откл.Пр!N78</f>
        <v>0</v>
      </c>
      <c r="M78" s="557">
        <f>'[18]Прот.3-22'!O78+[18]Откл.Пр!O78</f>
        <v>0</v>
      </c>
      <c r="N78" s="557"/>
      <c r="O78" s="550">
        <v>150</v>
      </c>
      <c r="P78" s="558"/>
      <c r="Q78" s="558"/>
      <c r="R78" s="544"/>
    </row>
    <row r="79" spans="1:18" ht="24" x14ac:dyDescent="0.2">
      <c r="A79" s="13">
        <v>69</v>
      </c>
      <c r="B79" s="38" t="s">
        <v>212</v>
      </c>
      <c r="C79" s="9" t="s">
        <v>213</v>
      </c>
      <c r="D79" s="553">
        <f t="shared" si="5"/>
        <v>3170</v>
      </c>
      <c r="E79" s="557">
        <f>'[18]Прот.3-22'!E79+[18]Откл.Пр!E79</f>
        <v>3170</v>
      </c>
      <c r="F79" s="557">
        <f>'[18]Прот.3-22'!F79+[18]Откл.Пр!F79</f>
        <v>0</v>
      </c>
      <c r="G79" s="557">
        <f>'[18]Прот.3-22'!H79+[18]Откл.Пр!H79</f>
        <v>0</v>
      </c>
      <c r="H79" s="557">
        <f>'[18]Прот.3-22'!I79+[18]Откл.Пр!I79</f>
        <v>0</v>
      </c>
      <c r="I79" s="557">
        <f>'[18]Прот.3-22'!K79+[18]Откл.Пр!K79</f>
        <v>0</v>
      </c>
      <c r="J79" s="557">
        <f>'[18]Прот.3-22'!L79+[18]Откл.Пр!L79</f>
        <v>0</v>
      </c>
      <c r="K79" s="549">
        <f t="shared" si="6"/>
        <v>0</v>
      </c>
      <c r="L79" s="557">
        <f>'[18]Прот.3-22'!N79+[18]Откл.Пр!N79</f>
        <v>0</v>
      </c>
      <c r="M79" s="557">
        <f>'[18]Прот.3-22'!O79+[18]Откл.Пр!O79</f>
        <v>0</v>
      </c>
      <c r="N79" s="557"/>
      <c r="O79" s="550">
        <v>0</v>
      </c>
      <c r="P79" s="558"/>
      <c r="Q79" s="558"/>
      <c r="R79" s="544"/>
    </row>
    <row r="80" spans="1:18" ht="24" x14ac:dyDescent="0.2">
      <c r="A80" s="35">
        <v>70</v>
      </c>
      <c r="B80" s="36" t="s">
        <v>214</v>
      </c>
      <c r="C80" s="9" t="s">
        <v>215</v>
      </c>
      <c r="D80" s="553">
        <f t="shared" si="5"/>
        <v>13091</v>
      </c>
      <c r="E80" s="557">
        <f>'[18]Прот.3-22'!E80+[18]Откл.Пр!E80+700</f>
        <v>9091</v>
      </c>
      <c r="F80" s="557">
        <f>'[18]Прот.3-22'!F80+[18]Откл.Пр!F80</f>
        <v>0</v>
      </c>
      <c r="G80" s="557">
        <f>'[18]Прот.3-22'!H80+[18]Откл.Пр!H80</f>
        <v>0</v>
      </c>
      <c r="H80" s="557">
        <f>'[18]Прот.3-22'!I80+[18]Откл.Пр!I80</f>
        <v>0</v>
      </c>
      <c r="I80" s="557">
        <f>'[18]Прот.3-22'!K80+[18]Откл.Пр!K80</f>
        <v>0</v>
      </c>
      <c r="J80" s="557">
        <f>'[18]Прот.3-22'!L80+[18]Откл.Пр!L80</f>
        <v>0</v>
      </c>
      <c r="K80" s="549">
        <f t="shared" si="6"/>
        <v>0</v>
      </c>
      <c r="L80" s="557">
        <f>'[18]Прот.3-22'!N80+[18]Откл.Пр!N80</f>
        <v>0</v>
      </c>
      <c r="M80" s="557">
        <f>'[18]Прот.3-22'!O80+[18]Откл.Пр!O80</f>
        <v>0</v>
      </c>
      <c r="N80" s="557"/>
      <c r="O80" s="550">
        <v>4000</v>
      </c>
      <c r="P80" s="558"/>
      <c r="Q80" s="558"/>
      <c r="R80" s="544"/>
    </row>
    <row r="81" spans="1:18" ht="24" x14ac:dyDescent="0.2">
      <c r="A81" s="13">
        <v>71</v>
      </c>
      <c r="B81" s="36" t="s">
        <v>216</v>
      </c>
      <c r="C81" s="9" t="s">
        <v>217</v>
      </c>
      <c r="D81" s="553">
        <f t="shared" si="5"/>
        <v>2474</v>
      </c>
      <c r="E81" s="557">
        <f>'[18]Прот.3-22'!E81+[18]Откл.Пр!E81</f>
        <v>2374</v>
      </c>
      <c r="F81" s="557">
        <f>'[18]Прот.3-22'!F81+[18]Откл.Пр!F81</f>
        <v>0</v>
      </c>
      <c r="G81" s="557">
        <f>'[18]Прот.3-22'!H81+[18]Откл.Пр!H81</f>
        <v>0</v>
      </c>
      <c r="H81" s="557">
        <f>'[18]Прот.3-22'!I81+[18]Откл.Пр!I81</f>
        <v>0</v>
      </c>
      <c r="I81" s="557">
        <f>'[18]Прот.3-22'!K81+[18]Откл.Пр!K81</f>
        <v>0</v>
      </c>
      <c r="J81" s="557">
        <f>'[18]Прот.3-22'!L81+[18]Откл.Пр!L81</f>
        <v>0</v>
      </c>
      <c r="K81" s="549">
        <f t="shared" si="6"/>
        <v>0</v>
      </c>
      <c r="L81" s="557">
        <f>'[18]Прот.3-22'!N81+[18]Откл.Пр!N81</f>
        <v>0</v>
      </c>
      <c r="M81" s="557">
        <f>'[18]Прот.3-22'!O81+[18]Откл.Пр!O81</f>
        <v>0</v>
      </c>
      <c r="N81" s="557"/>
      <c r="O81" s="550">
        <v>100</v>
      </c>
      <c r="P81" s="558"/>
      <c r="Q81" s="558"/>
      <c r="R81" s="544"/>
    </row>
    <row r="82" spans="1:18" ht="24" x14ac:dyDescent="0.2">
      <c r="A82" s="35">
        <v>72</v>
      </c>
      <c r="B82" s="36" t="s">
        <v>218</v>
      </c>
      <c r="C82" s="9" t="s">
        <v>219</v>
      </c>
      <c r="D82" s="553">
        <f t="shared" si="5"/>
        <v>2605</v>
      </c>
      <c r="E82" s="557">
        <f>'[18]Прот.3-22'!E82+[18]Откл.Пр!E82+143</f>
        <v>2605</v>
      </c>
      <c r="F82" s="557">
        <f>'[18]Прот.3-22'!F82+[18]Откл.Пр!F82</f>
        <v>0</v>
      </c>
      <c r="G82" s="557">
        <f>'[18]Прот.3-22'!H82+[18]Откл.Пр!H82</f>
        <v>0</v>
      </c>
      <c r="H82" s="557">
        <f>'[18]Прот.3-22'!I82+[18]Откл.Пр!I82</f>
        <v>0</v>
      </c>
      <c r="I82" s="557">
        <f>'[18]Прот.3-22'!K82+[18]Откл.Пр!K82</f>
        <v>0</v>
      </c>
      <c r="J82" s="557">
        <f>'[18]Прот.3-22'!L82+[18]Откл.Пр!L82</f>
        <v>0</v>
      </c>
      <c r="K82" s="549">
        <f t="shared" si="6"/>
        <v>0</v>
      </c>
      <c r="L82" s="557">
        <f>'[18]Прот.3-22'!N82+[18]Откл.Пр!N82</f>
        <v>0</v>
      </c>
      <c r="M82" s="557">
        <f>'[18]Прот.3-22'!O82+[18]Откл.Пр!O82</f>
        <v>0</v>
      </c>
      <c r="N82" s="557"/>
      <c r="O82" s="550">
        <v>0</v>
      </c>
      <c r="P82" s="558"/>
      <c r="Q82" s="558"/>
      <c r="R82" s="544"/>
    </row>
    <row r="83" spans="1:18" x14ac:dyDescent="0.2">
      <c r="A83" s="13">
        <v>73</v>
      </c>
      <c r="B83" s="12" t="s">
        <v>148</v>
      </c>
      <c r="C83" s="9" t="s">
        <v>16</v>
      </c>
      <c r="D83" s="553">
        <f t="shared" si="5"/>
        <v>66166</v>
      </c>
      <c r="E83" s="557">
        <f>'[18]Прот.3-22'!E83+[18]Откл.Пр!E83</f>
        <v>0</v>
      </c>
      <c r="F83" s="557">
        <f>'[18]Прот.3-22'!F83+[18]Откл.Пр!F83</f>
        <v>0</v>
      </c>
      <c r="G83" s="557">
        <f>'[18]Прот.3-22'!H83+[18]Откл.Пр!H83</f>
        <v>5000</v>
      </c>
      <c r="H83" s="557">
        <f>'[18]Прот.3-22'!I83+[18]Откл.Пр!I83</f>
        <v>61166</v>
      </c>
      <c r="I83" s="557">
        <f>'[18]Прот.3-22'!K83+[18]Откл.Пр!K83</f>
        <v>0</v>
      </c>
      <c r="J83" s="557">
        <f>'[18]Прот.3-22'!L83+[18]Откл.Пр!L83</f>
        <v>0</v>
      </c>
      <c r="K83" s="549">
        <f t="shared" si="6"/>
        <v>0</v>
      </c>
      <c r="L83" s="557">
        <f>'[18]Прот.3-22'!N83+[18]Откл.Пр!N83</f>
        <v>0</v>
      </c>
      <c r="M83" s="557">
        <f>'[18]Прот.3-22'!O83+[18]Откл.Пр!O83</f>
        <v>0</v>
      </c>
      <c r="N83" s="557"/>
      <c r="O83" s="550">
        <v>0</v>
      </c>
      <c r="P83" s="558">
        <v>0</v>
      </c>
      <c r="Q83" s="558">
        <v>0</v>
      </c>
      <c r="R83" s="544"/>
    </row>
    <row r="84" spans="1:18" x14ac:dyDescent="0.2">
      <c r="A84" s="35">
        <v>74</v>
      </c>
      <c r="B84" s="36" t="s">
        <v>145</v>
      </c>
      <c r="C84" s="9" t="s">
        <v>220</v>
      </c>
      <c r="D84" s="553">
        <f t="shared" si="5"/>
        <v>99874</v>
      </c>
      <c r="E84" s="557">
        <f>'[18]Прот.3-22'!E84+[18]Откл.Пр!E84</f>
        <v>0</v>
      </c>
      <c r="F84" s="557">
        <f>'[18]Прот.3-22'!F84+[18]Откл.Пр!F84</f>
        <v>0</v>
      </c>
      <c r="G84" s="557">
        <f>'[18]Прот.3-22'!H84+[18]Откл.Пр!H84</f>
        <v>19622</v>
      </c>
      <c r="H84" s="557">
        <f>'[18]Прот.3-22'!I84+[18]Откл.Пр!I84</f>
        <v>72257</v>
      </c>
      <c r="I84" s="557">
        <f>'[18]Прот.3-22'!K84+[18]Откл.Пр!K84</f>
        <v>3075</v>
      </c>
      <c r="J84" s="557">
        <f>'[18]Прот.3-22'!L84+[18]Откл.Пр!L84</f>
        <v>1317</v>
      </c>
      <c r="K84" s="549">
        <f t="shared" si="6"/>
        <v>2803</v>
      </c>
      <c r="L84" s="557">
        <f>'[18]Прот.3-22'!N84+[18]Откл.Пр!N84</f>
        <v>0</v>
      </c>
      <c r="M84" s="557">
        <f>'[18]Прот.3-22'!O84+[18]Откл.Пр!O84</f>
        <v>2803</v>
      </c>
      <c r="N84" s="557"/>
      <c r="O84" s="550">
        <v>0</v>
      </c>
      <c r="P84" s="558">
        <v>0</v>
      </c>
      <c r="Q84" s="558">
        <v>800</v>
      </c>
      <c r="R84" s="544"/>
    </row>
    <row r="85" spans="1:18" x14ac:dyDescent="0.2">
      <c r="A85" s="13">
        <v>75</v>
      </c>
      <c r="B85" s="12" t="s">
        <v>146</v>
      </c>
      <c r="C85" s="9" t="s">
        <v>147</v>
      </c>
      <c r="D85" s="553">
        <f t="shared" si="5"/>
        <v>64129</v>
      </c>
      <c r="E85" s="557">
        <f>'[18]Прот.3-22'!E85+[18]Откл.Пр!E85</f>
        <v>0</v>
      </c>
      <c r="F85" s="557">
        <f>'[18]Прот.3-22'!F85+[18]Откл.Пр!F85</f>
        <v>0</v>
      </c>
      <c r="G85" s="557">
        <f>'[18]Прот.3-22'!H85+[18]Откл.Пр!H85</f>
        <v>13029</v>
      </c>
      <c r="H85" s="557">
        <f>'[18]Прот.3-22'!I85+[18]Откл.Пр!I85</f>
        <v>42820</v>
      </c>
      <c r="I85" s="557">
        <f>'[18]Прот.3-22'!K85+[18]Откл.Пр!K85</f>
        <v>1025</v>
      </c>
      <c r="J85" s="557">
        <f>'[18]Прот.3-22'!L85+[18]Откл.Пр!L85</f>
        <v>439</v>
      </c>
      <c r="K85" s="549">
        <f t="shared" si="6"/>
        <v>5081</v>
      </c>
      <c r="L85" s="557">
        <f>'[18]Прот.3-22'!N85+[18]Откл.Пр!N85</f>
        <v>5017</v>
      </c>
      <c r="M85" s="557">
        <f>'[18]Прот.3-22'!O85+[18]Откл.Пр!O85</f>
        <v>64</v>
      </c>
      <c r="N85" s="557"/>
      <c r="O85" s="550">
        <v>0</v>
      </c>
      <c r="P85" s="558">
        <v>985</v>
      </c>
      <c r="Q85" s="558">
        <v>750</v>
      </c>
      <c r="R85" s="544"/>
    </row>
    <row r="86" spans="1:18" x14ac:dyDescent="0.2">
      <c r="A86" s="35">
        <v>76</v>
      </c>
      <c r="B86" s="39" t="s">
        <v>140</v>
      </c>
      <c r="C86" s="40" t="s">
        <v>141</v>
      </c>
      <c r="D86" s="553">
        <f t="shared" si="5"/>
        <v>19048</v>
      </c>
      <c r="E86" s="557">
        <f>'[18]Прот.3-22'!E86+[18]Откл.Пр!E86</f>
        <v>0</v>
      </c>
      <c r="F86" s="557">
        <f>'[18]Прот.3-22'!F86+[18]Откл.Пр!F86</f>
        <v>0</v>
      </c>
      <c r="G86" s="557">
        <f>'[18]Прот.3-22'!H86+[18]Откл.Пр!H86</f>
        <v>4430</v>
      </c>
      <c r="H86" s="557">
        <f>'[18]Прот.3-22'!I86+[18]Откл.Пр!I86</f>
        <v>12418</v>
      </c>
      <c r="I86" s="557">
        <f>'[18]Прот.3-22'!K86+[18]Откл.Пр!K86</f>
        <v>0</v>
      </c>
      <c r="J86" s="557">
        <f>'[18]Прот.3-22'!L86+[18]Откл.Пр!L86</f>
        <v>0</v>
      </c>
      <c r="K86" s="549">
        <f t="shared" si="6"/>
        <v>0</v>
      </c>
      <c r="L86" s="557">
        <f>'[18]Прот.3-22'!N86+[18]Откл.Пр!N86</f>
        <v>0</v>
      </c>
      <c r="M86" s="557">
        <f>'[18]Прот.3-22'!O86+[18]Откл.Пр!O86</f>
        <v>0</v>
      </c>
      <c r="N86" s="557"/>
      <c r="O86" s="550">
        <v>0</v>
      </c>
      <c r="P86" s="558">
        <v>2200</v>
      </c>
      <c r="Q86" s="558"/>
      <c r="R86" s="544"/>
    </row>
    <row r="87" spans="1:18" x14ac:dyDescent="0.2">
      <c r="A87" s="13">
        <v>77</v>
      </c>
      <c r="B87" s="36" t="s">
        <v>142</v>
      </c>
      <c r="C87" s="9" t="s">
        <v>143</v>
      </c>
      <c r="D87" s="553">
        <f t="shared" si="5"/>
        <v>106571</v>
      </c>
      <c r="E87" s="557">
        <f>'[18]Прот.3-22'!E87+[18]Откл.Пр!E87</f>
        <v>0</v>
      </c>
      <c r="F87" s="557">
        <f>'[18]Прот.3-22'!F87+[18]Откл.Пр!F87</f>
        <v>0</v>
      </c>
      <c r="G87" s="557">
        <f>'[18]Прот.3-22'!H87+[18]Откл.Пр!H87</f>
        <v>19000</v>
      </c>
      <c r="H87" s="557">
        <f>'[18]Прот.3-22'!I87+[18]Откл.Пр!I87</f>
        <v>58762</v>
      </c>
      <c r="I87" s="557">
        <f>'[18]Прот.3-22'!K87+[18]Откл.Пр!K87</f>
        <v>2050</v>
      </c>
      <c r="J87" s="557">
        <f>'[18]Прот.3-22'!L87+[18]Откл.Пр!L87</f>
        <v>878</v>
      </c>
      <c r="K87" s="549">
        <f t="shared" si="6"/>
        <v>25381</v>
      </c>
      <c r="L87" s="557">
        <f>'[18]Прот.3-22'!N87+[18]Откл.Пр!N87</f>
        <v>12740</v>
      </c>
      <c r="M87" s="557">
        <f>'[18]Прот.3-22'!O87+[18]Откл.Пр!O87</f>
        <v>12641</v>
      </c>
      <c r="N87" s="557"/>
      <c r="O87" s="550">
        <v>0</v>
      </c>
      <c r="P87" s="558">
        <v>500</v>
      </c>
      <c r="Q87" s="558">
        <v>0</v>
      </c>
      <c r="R87" s="544"/>
    </row>
    <row r="88" spans="1:18" x14ac:dyDescent="0.2">
      <c r="A88" s="35">
        <v>78</v>
      </c>
      <c r="B88" s="39" t="s">
        <v>221</v>
      </c>
      <c r="C88" s="40" t="s">
        <v>222</v>
      </c>
      <c r="D88" s="553">
        <f t="shared" si="5"/>
        <v>37934</v>
      </c>
      <c r="E88" s="557">
        <f>'[18]Прот.3-22'!E88+[18]Откл.Пр!E88</f>
        <v>0</v>
      </c>
      <c r="F88" s="557">
        <f>'[18]Прот.3-22'!F88+[18]Откл.Пр!F88</f>
        <v>0</v>
      </c>
      <c r="G88" s="557">
        <f>'[18]Прот.3-22'!H88+[18]Откл.Пр!H88</f>
        <v>1620</v>
      </c>
      <c r="H88" s="557">
        <f>'[18]Прот.3-22'!I88+[18]Откл.Пр!I88</f>
        <v>36314</v>
      </c>
      <c r="I88" s="557">
        <f>'[18]Прот.3-22'!K88+[18]Откл.Пр!K88</f>
        <v>0</v>
      </c>
      <c r="J88" s="557">
        <f>'[18]Прот.3-22'!L88+[18]Откл.Пр!L88</f>
        <v>0</v>
      </c>
      <c r="K88" s="549">
        <f t="shared" si="6"/>
        <v>0</v>
      </c>
      <c r="L88" s="557">
        <f>'[18]Прот.3-22'!N88+[18]Откл.Пр!N88</f>
        <v>0</v>
      </c>
      <c r="M88" s="557">
        <f>'[18]Прот.3-22'!O88+[18]Откл.Пр!O88</f>
        <v>0</v>
      </c>
      <c r="N88" s="557"/>
      <c r="O88" s="550">
        <v>0</v>
      </c>
      <c r="P88" s="558"/>
      <c r="Q88" s="558"/>
      <c r="R88" s="544"/>
    </row>
    <row r="89" spans="1:18" x14ac:dyDescent="0.2">
      <c r="A89" s="13">
        <v>79</v>
      </c>
      <c r="B89" s="36" t="s">
        <v>144</v>
      </c>
      <c r="C89" s="9" t="s">
        <v>223</v>
      </c>
      <c r="D89" s="553">
        <f t="shared" si="5"/>
        <v>59867</v>
      </c>
      <c r="E89" s="557">
        <f>'[18]Прот.3-22'!E89+[18]Откл.Пр!E89</f>
        <v>0</v>
      </c>
      <c r="F89" s="557">
        <f>'[18]Прот.3-22'!F89+[18]Откл.Пр!F89</f>
        <v>0</v>
      </c>
      <c r="G89" s="557">
        <f>'[18]Прот.3-22'!H89+[18]Откл.Пр!H89</f>
        <v>10428</v>
      </c>
      <c r="H89" s="557">
        <f>'[18]Прот.3-22'!I89+[18]Откл.Пр!I89</f>
        <v>46148</v>
      </c>
      <c r="I89" s="557">
        <f>'[18]Прот.3-22'!K89+[18]Откл.Пр!K89</f>
        <v>0</v>
      </c>
      <c r="J89" s="557">
        <f>'[18]Прот.3-22'!L89+[18]Откл.Пр!L89</f>
        <v>0</v>
      </c>
      <c r="K89" s="549">
        <f t="shared" si="6"/>
        <v>3000</v>
      </c>
      <c r="L89" s="557">
        <f>'[18]Прот.3-22'!N89+[18]Откл.Пр!N89</f>
        <v>0</v>
      </c>
      <c r="M89" s="557">
        <f>'[18]Прот.3-22'!O89+[18]Откл.Пр!O89</f>
        <v>3000</v>
      </c>
      <c r="N89" s="557"/>
      <c r="O89" s="550">
        <v>0</v>
      </c>
      <c r="P89" s="558"/>
      <c r="Q89" s="558">
        <v>291</v>
      </c>
      <c r="R89" s="544"/>
    </row>
    <row r="90" spans="1:18" x14ac:dyDescent="0.2">
      <c r="A90" s="35">
        <v>80</v>
      </c>
      <c r="B90" s="39" t="s">
        <v>224</v>
      </c>
      <c r="C90" s="40" t="s">
        <v>225</v>
      </c>
      <c r="D90" s="553">
        <f t="shared" si="5"/>
        <v>10116</v>
      </c>
      <c r="E90" s="557">
        <f>'[18]Прот.3-22'!E90+[18]Откл.Пр!E90</f>
        <v>10116</v>
      </c>
      <c r="F90" s="557">
        <f>'[18]Прот.3-22'!F90+[18]Откл.Пр!F90</f>
        <v>0</v>
      </c>
      <c r="G90" s="557">
        <f>'[18]Прот.3-22'!H90+[18]Откл.Пр!H90</f>
        <v>0</v>
      </c>
      <c r="H90" s="557">
        <f>'[18]Прот.3-22'!I90+[18]Откл.Пр!I90</f>
        <v>0</v>
      </c>
      <c r="I90" s="557">
        <f>'[18]Прот.3-22'!K90+[18]Откл.Пр!K90</f>
        <v>0</v>
      </c>
      <c r="J90" s="557">
        <f>'[18]Прот.3-22'!L90+[18]Откл.Пр!L90</f>
        <v>0</v>
      </c>
      <c r="K90" s="549">
        <f t="shared" si="6"/>
        <v>0</v>
      </c>
      <c r="L90" s="557">
        <f>'[18]Прот.3-22'!N90+[18]Откл.Пр!N90</f>
        <v>0</v>
      </c>
      <c r="M90" s="557">
        <f>'[18]Прот.3-22'!O90+[18]Откл.Пр!O90</f>
        <v>0</v>
      </c>
      <c r="N90" s="557"/>
      <c r="O90" s="550">
        <v>0</v>
      </c>
      <c r="P90" s="558"/>
      <c r="Q90" s="558"/>
      <c r="R90" s="544"/>
    </row>
    <row r="91" spans="1:18" x14ac:dyDescent="0.2">
      <c r="A91" s="13">
        <v>81</v>
      </c>
      <c r="B91" s="38" t="s">
        <v>93</v>
      </c>
      <c r="C91" s="9" t="s">
        <v>94</v>
      </c>
      <c r="D91" s="553">
        <f t="shared" si="5"/>
        <v>0</v>
      </c>
      <c r="E91" s="557">
        <f>'[18]Прот.3-22'!E91+[18]Откл.Пр!E91</f>
        <v>0</v>
      </c>
      <c r="F91" s="557">
        <f>'[18]Прот.3-22'!F91+[18]Откл.Пр!F91</f>
        <v>0</v>
      </c>
      <c r="G91" s="557">
        <f>'[18]Прот.3-22'!H91+[18]Откл.Пр!H91</f>
        <v>0</v>
      </c>
      <c r="H91" s="557">
        <f>'[18]Прот.3-22'!I91+[18]Откл.Пр!I91</f>
        <v>0</v>
      </c>
      <c r="I91" s="557">
        <f>'[18]Прот.3-22'!K91+[18]Откл.Пр!K91</f>
        <v>0</v>
      </c>
      <c r="J91" s="557">
        <f>'[18]Прот.3-22'!L91+[18]Откл.Пр!L91</f>
        <v>0</v>
      </c>
      <c r="K91" s="549">
        <f t="shared" si="6"/>
        <v>0</v>
      </c>
      <c r="L91" s="557">
        <f>'[18]Прот.3-22'!N91+[18]Откл.Пр!N91</f>
        <v>0</v>
      </c>
      <c r="M91" s="557">
        <f>'[18]Прот.3-22'!O91+[18]Откл.Пр!O91</f>
        <v>0</v>
      </c>
      <c r="N91" s="557"/>
      <c r="O91" s="550">
        <v>0</v>
      </c>
      <c r="P91" s="558"/>
      <c r="Q91" s="558"/>
      <c r="R91" s="544"/>
    </row>
    <row r="92" spans="1:18" ht="24" x14ac:dyDescent="0.2">
      <c r="A92" s="914">
        <v>82</v>
      </c>
      <c r="B92" s="916" t="s">
        <v>157</v>
      </c>
      <c r="C92" s="9" t="s">
        <v>2272</v>
      </c>
      <c r="D92" s="553">
        <f t="shared" si="5"/>
        <v>14720</v>
      </c>
      <c r="E92" s="557">
        <f>'[18]Прот.3-22'!E92+[18]Откл.Пр!E92</f>
        <v>0</v>
      </c>
      <c r="F92" s="557">
        <f>'[18]Прот.3-22'!F92+[18]Откл.Пр!F92</f>
        <v>0</v>
      </c>
      <c r="G92" s="557">
        <f>'[18]Прот.3-22'!H92+[18]Откл.Пр!H92</f>
        <v>1000</v>
      </c>
      <c r="H92" s="557">
        <f>'[18]Прот.3-22'!I92+[18]Откл.Пр!I92</f>
        <v>7184</v>
      </c>
      <c r="I92" s="557">
        <f>'[18]Прот.3-22'!K92+[18]Откл.Пр!K92</f>
        <v>0</v>
      </c>
      <c r="J92" s="557">
        <f>'[18]Прот.3-22'!L92+[18]Откл.Пр!L92</f>
        <v>0</v>
      </c>
      <c r="K92" s="549">
        <f t="shared" si="6"/>
        <v>6536</v>
      </c>
      <c r="L92" s="557">
        <f>'[18]Прот.3-22'!N92+[18]Откл.Пр!N92</f>
        <v>0</v>
      </c>
      <c r="M92" s="557">
        <f>'[18]Прот.3-22'!O92+[18]Откл.Пр!O92</f>
        <v>6536</v>
      </c>
      <c r="N92" s="557"/>
      <c r="O92" s="550">
        <v>0</v>
      </c>
      <c r="P92" s="558"/>
      <c r="Q92" s="558"/>
      <c r="R92" s="544"/>
    </row>
    <row r="93" spans="1:18" ht="24" x14ac:dyDescent="0.2">
      <c r="A93" s="915"/>
      <c r="B93" s="917"/>
      <c r="C93" s="9" t="s">
        <v>66</v>
      </c>
      <c r="D93" s="553">
        <f t="shared" si="5"/>
        <v>3600</v>
      </c>
      <c r="E93" s="557">
        <f>0+3600</f>
        <v>3600</v>
      </c>
      <c r="F93" s="557">
        <f>'[18]Прот.3-22'!F93+[18]Откл.Пр!F93</f>
        <v>0</v>
      </c>
      <c r="G93" s="557">
        <v>0</v>
      </c>
      <c r="H93" s="557">
        <f>'[18]Прот.3-22'!I93+[18]Откл.Пр!I93</f>
        <v>0</v>
      </c>
      <c r="I93" s="557">
        <f>'[18]Прот.3-22'!K93+[18]Откл.Пр!K93</f>
        <v>0</v>
      </c>
      <c r="J93" s="557">
        <f>'[18]Прот.3-22'!L93+[18]Откл.Пр!L93</f>
        <v>0</v>
      </c>
      <c r="K93" s="549">
        <v>0</v>
      </c>
      <c r="L93" s="557">
        <f>'[18]Прот.3-22'!N93+[18]Откл.Пр!N93</f>
        <v>0</v>
      </c>
      <c r="M93" s="557">
        <f>'[18]Прот.3-22'!O93+[18]Откл.Пр!O93</f>
        <v>0</v>
      </c>
      <c r="N93" s="557"/>
      <c r="O93" s="550">
        <v>0</v>
      </c>
      <c r="P93" s="558"/>
      <c r="Q93" s="558"/>
      <c r="R93" s="544"/>
    </row>
    <row r="94" spans="1:18" ht="24" x14ac:dyDescent="0.2">
      <c r="A94" s="35">
        <v>83</v>
      </c>
      <c r="B94" s="38" t="s">
        <v>226</v>
      </c>
      <c r="C94" s="37" t="s">
        <v>227</v>
      </c>
      <c r="D94" s="553">
        <f t="shared" si="5"/>
        <v>8400</v>
      </c>
      <c r="E94" s="557">
        <f>'[18]Прот.3-22'!E94+[18]Откл.Пр!E94</f>
        <v>8400</v>
      </c>
      <c r="F94" s="557">
        <f>'[18]Прот.3-22'!F94+[18]Откл.Пр!F94</f>
        <v>0</v>
      </c>
      <c r="G94" s="557">
        <f>'[18]Прот.3-22'!H94+[18]Откл.Пр!H94</f>
        <v>0</v>
      </c>
      <c r="H94" s="557">
        <f>'[18]Прот.3-22'!I94+[18]Откл.Пр!I94</f>
        <v>0</v>
      </c>
      <c r="I94" s="557">
        <f>'[18]Прот.3-22'!K94+[18]Откл.Пр!K94</f>
        <v>0</v>
      </c>
      <c r="J94" s="557">
        <f>'[18]Прот.3-22'!L94+[18]Откл.Пр!L94</f>
        <v>0</v>
      </c>
      <c r="K94" s="549">
        <f t="shared" si="6"/>
        <v>0</v>
      </c>
      <c r="L94" s="557">
        <f>'[18]Прот.3-22'!N94+[18]Откл.Пр!N94</f>
        <v>0</v>
      </c>
      <c r="M94" s="557">
        <f>'[18]Прот.3-22'!O94+[18]Откл.Пр!O94</f>
        <v>0</v>
      </c>
      <c r="N94" s="557"/>
      <c r="O94" s="550">
        <v>0</v>
      </c>
      <c r="P94" s="558"/>
      <c r="Q94" s="558"/>
      <c r="R94" s="544"/>
    </row>
    <row r="95" spans="1:18" x14ac:dyDescent="0.2">
      <c r="A95" s="35">
        <v>84</v>
      </c>
      <c r="B95" s="38" t="s">
        <v>155</v>
      </c>
      <c r="C95" s="40" t="s">
        <v>156</v>
      </c>
      <c r="D95" s="553">
        <f t="shared" si="5"/>
        <v>6765</v>
      </c>
      <c r="E95" s="557">
        <f>'[18]Прот.3-22'!E95+[18]Откл.Пр!E95</f>
        <v>0</v>
      </c>
      <c r="F95" s="557">
        <f>'[18]Прот.3-22'!F95+[18]Откл.Пр!F95</f>
        <v>0</v>
      </c>
      <c r="G95" s="557">
        <f>'[18]Прот.3-22'!H95+[18]Откл.Пр!H95</f>
        <v>872</v>
      </c>
      <c r="H95" s="557">
        <f>'[18]Прот.3-22'!I95+[18]Откл.Пр!I95</f>
        <v>5893</v>
      </c>
      <c r="I95" s="557">
        <f>'[18]Прот.3-22'!K95+[18]Откл.Пр!K95</f>
        <v>0</v>
      </c>
      <c r="J95" s="557">
        <f>'[18]Прот.3-22'!L95+[18]Откл.Пр!L95</f>
        <v>0</v>
      </c>
      <c r="K95" s="549">
        <f t="shared" si="6"/>
        <v>0</v>
      </c>
      <c r="L95" s="557">
        <f>'[18]Прот.3-22'!N95+[18]Откл.Пр!N95</f>
        <v>0</v>
      </c>
      <c r="M95" s="557">
        <f>'[18]Прот.3-22'!O95+[18]Откл.Пр!O95</f>
        <v>0</v>
      </c>
      <c r="N95" s="557"/>
      <c r="O95" s="550">
        <v>0</v>
      </c>
      <c r="P95" s="558"/>
      <c r="Q95" s="558"/>
      <c r="R95" s="544"/>
    </row>
    <row r="96" spans="1:18" x14ac:dyDescent="0.2">
      <c r="A96" s="35">
        <v>85</v>
      </c>
      <c r="B96" s="12" t="s">
        <v>158</v>
      </c>
      <c r="C96" s="9" t="s">
        <v>228</v>
      </c>
      <c r="D96" s="553">
        <f t="shared" si="5"/>
        <v>18900</v>
      </c>
      <c r="E96" s="557">
        <f>'[18]Прот.3-22'!E96+[18]Откл.Пр!E96</f>
        <v>0</v>
      </c>
      <c r="F96" s="557">
        <f>'[18]Прот.3-22'!F96+[18]Откл.Пр!F96</f>
        <v>0</v>
      </c>
      <c r="G96" s="557">
        <f>'[18]Прот.3-22'!H96+[18]Откл.Пр!H96</f>
        <v>3556</v>
      </c>
      <c r="H96" s="557">
        <f>'[18]Прот.3-22'!I96+[18]Откл.Пр!I96</f>
        <v>13854</v>
      </c>
      <c r="I96" s="557">
        <f>'[18]Прот.3-22'!K96+[18]Откл.Пр!K96</f>
        <v>1026</v>
      </c>
      <c r="J96" s="557">
        <f>'[18]Прот.3-22'!L96+[18]Откл.Пр!L96</f>
        <v>439</v>
      </c>
      <c r="K96" s="549">
        <f t="shared" si="6"/>
        <v>0</v>
      </c>
      <c r="L96" s="557">
        <f>'[18]Прот.3-22'!N96+[18]Откл.Пр!N96</f>
        <v>0</v>
      </c>
      <c r="M96" s="557">
        <f>'[18]Прот.3-22'!O96+[18]Откл.Пр!O96</f>
        <v>0</v>
      </c>
      <c r="N96" s="557"/>
      <c r="O96" s="550">
        <v>0</v>
      </c>
      <c r="P96" s="558"/>
      <c r="Q96" s="558">
        <v>25</v>
      </c>
      <c r="R96" s="544"/>
    </row>
    <row r="97" spans="1:18" x14ac:dyDescent="0.2">
      <c r="A97" s="35">
        <v>86</v>
      </c>
      <c r="B97" s="38" t="s">
        <v>95</v>
      </c>
      <c r="C97" s="37" t="s">
        <v>27</v>
      </c>
      <c r="D97" s="553">
        <f t="shared" si="5"/>
        <v>18796</v>
      </c>
      <c r="E97" s="557">
        <f>'[18]Прот.3-22'!E97+[18]Откл.Пр!E97</f>
        <v>0</v>
      </c>
      <c r="F97" s="557">
        <f>'[18]Прот.3-22'!F97+[18]Откл.Пр!F97</f>
        <v>0</v>
      </c>
      <c r="G97" s="557">
        <f>'[18]Прот.3-22'!H97+[18]Откл.Пр!H97</f>
        <v>2350</v>
      </c>
      <c r="H97" s="557">
        <f>'[18]Прот.3-22'!I97+[18]Откл.Пр!I97</f>
        <v>15046</v>
      </c>
      <c r="I97" s="557">
        <f>'[18]Прот.3-22'!K97+[18]Откл.Пр!K97</f>
        <v>0</v>
      </c>
      <c r="J97" s="557">
        <f>'[18]Прот.3-22'!L97+[18]Откл.Пр!L97</f>
        <v>0</v>
      </c>
      <c r="K97" s="549">
        <f t="shared" si="6"/>
        <v>0</v>
      </c>
      <c r="L97" s="557">
        <f>'[18]Прот.3-22'!N97+[18]Откл.Пр!N97</f>
        <v>0</v>
      </c>
      <c r="M97" s="557">
        <f>'[18]Прот.3-22'!O97+[18]Откл.Пр!O97</f>
        <v>0</v>
      </c>
      <c r="N97" s="557"/>
      <c r="O97" s="550">
        <v>0</v>
      </c>
      <c r="P97" s="558">
        <v>400</v>
      </c>
      <c r="Q97" s="558">
        <v>1000</v>
      </c>
      <c r="R97" s="544"/>
    </row>
    <row r="98" spans="1:18" x14ac:dyDescent="0.2">
      <c r="A98" s="35">
        <v>87</v>
      </c>
      <c r="B98" s="12" t="s">
        <v>138</v>
      </c>
      <c r="C98" s="9" t="s">
        <v>32</v>
      </c>
      <c r="D98" s="553">
        <f t="shared" si="5"/>
        <v>20675</v>
      </c>
      <c r="E98" s="557">
        <f>'[18]Прот.3-22'!E98+[18]Откл.Пр!E98</f>
        <v>0</v>
      </c>
      <c r="F98" s="557">
        <f>'[18]Прот.3-22'!F98+[18]Откл.Пр!F98</f>
        <v>0</v>
      </c>
      <c r="G98" s="557">
        <f>'[18]Прот.3-22'!H98+[18]Откл.Пр!H98</f>
        <v>2061</v>
      </c>
      <c r="H98" s="557">
        <f>'[18]Прот.3-22'!I98+[18]Откл.Пр!I98</f>
        <v>14364</v>
      </c>
      <c r="I98" s="557">
        <f>'[18]Прот.3-22'!K98+[18]Откл.Пр!K98</f>
        <v>0</v>
      </c>
      <c r="J98" s="557">
        <f>'[18]Прот.3-22'!L98+[18]Откл.Пр!L98</f>
        <v>0</v>
      </c>
      <c r="K98" s="549">
        <f t="shared" si="6"/>
        <v>0</v>
      </c>
      <c r="L98" s="557">
        <f>'[18]Прот.3-22'!N98+[18]Откл.Пр!N98</f>
        <v>0</v>
      </c>
      <c r="M98" s="557">
        <f>'[18]Прот.3-22'!O98+[18]Откл.Пр!O98</f>
        <v>0</v>
      </c>
      <c r="N98" s="557"/>
      <c r="O98" s="550">
        <v>0</v>
      </c>
      <c r="P98" s="558">
        <v>550</v>
      </c>
      <c r="Q98" s="558">
        <v>3700</v>
      </c>
      <c r="R98" s="544"/>
    </row>
    <row r="99" spans="1:18" x14ac:dyDescent="0.2">
      <c r="A99" s="35">
        <v>88</v>
      </c>
      <c r="B99" s="12" t="s">
        <v>96</v>
      </c>
      <c r="C99" s="9" t="s">
        <v>18</v>
      </c>
      <c r="D99" s="553">
        <f t="shared" si="5"/>
        <v>56040</v>
      </c>
      <c r="E99" s="557">
        <f>'[18]Прот.3-22'!E99+[18]Откл.Пр!E99</f>
        <v>0</v>
      </c>
      <c r="F99" s="557">
        <f>'[18]Прот.3-22'!F99+[18]Откл.Пр!F99</f>
        <v>0</v>
      </c>
      <c r="G99" s="557">
        <f>'[18]Прот.3-22'!H99+[18]Откл.Пр!H99</f>
        <v>5779</v>
      </c>
      <c r="H99" s="557">
        <f>'[18]Прот.3-22'!I99+[18]Откл.Пр!I99</f>
        <v>49361</v>
      </c>
      <c r="I99" s="557">
        <f>'[18]Прот.3-22'!K99+[18]Откл.Пр!K99</f>
        <v>0</v>
      </c>
      <c r="J99" s="557">
        <f>'[18]Прот.3-22'!L99+[18]Откл.Пр!L99</f>
        <v>0</v>
      </c>
      <c r="K99" s="549">
        <f t="shared" si="6"/>
        <v>0</v>
      </c>
      <c r="L99" s="557">
        <f>'[18]Прот.3-22'!N99+[18]Откл.Пр!N99</f>
        <v>0</v>
      </c>
      <c r="M99" s="557">
        <f>'[18]Прот.3-22'!O99+[18]Откл.Пр!O99</f>
        <v>0</v>
      </c>
      <c r="N99" s="557"/>
      <c r="O99" s="550">
        <v>0</v>
      </c>
      <c r="P99" s="558">
        <v>250</v>
      </c>
      <c r="Q99" s="558">
        <v>650</v>
      </c>
      <c r="R99" s="544"/>
    </row>
    <row r="100" spans="1:18" x14ac:dyDescent="0.2">
      <c r="A100" s="35">
        <v>89</v>
      </c>
      <c r="B100" s="38" t="s">
        <v>139</v>
      </c>
      <c r="C100" s="40" t="s">
        <v>19</v>
      </c>
      <c r="D100" s="553">
        <f t="shared" si="5"/>
        <v>23995</v>
      </c>
      <c r="E100" s="557">
        <f>'[18]Прот.3-22'!E100+[18]Откл.Пр!E100</f>
        <v>0</v>
      </c>
      <c r="F100" s="557">
        <f>'[18]Прот.3-22'!F100+[18]Откл.Пр!F100</f>
        <v>0</v>
      </c>
      <c r="G100" s="557">
        <f>'[18]Прот.3-22'!H100+[18]Откл.Пр!H100</f>
        <v>4159</v>
      </c>
      <c r="H100" s="557">
        <f>'[18]Прот.3-22'!I100+[18]Откл.Пр!I100</f>
        <v>17572</v>
      </c>
      <c r="I100" s="557">
        <f>'[18]Прот.3-22'!K100+[18]Откл.Пр!K100</f>
        <v>1025</v>
      </c>
      <c r="J100" s="557">
        <f>'[18]Прот.3-22'!L100+[18]Откл.Пр!L100</f>
        <v>439</v>
      </c>
      <c r="K100" s="549">
        <f t="shared" si="6"/>
        <v>0</v>
      </c>
      <c r="L100" s="557">
        <f>'[18]Прот.3-22'!N100+[18]Откл.Пр!N100</f>
        <v>0</v>
      </c>
      <c r="M100" s="557">
        <f>'[18]Прот.3-22'!O100+[18]Откл.Пр!O100</f>
        <v>0</v>
      </c>
      <c r="N100" s="557"/>
      <c r="O100" s="550">
        <v>0</v>
      </c>
      <c r="P100" s="558">
        <v>50</v>
      </c>
      <c r="Q100" s="558">
        <v>750</v>
      </c>
      <c r="R100" s="544"/>
    </row>
    <row r="101" spans="1:18" x14ac:dyDescent="0.2">
      <c r="A101" s="35">
        <v>90</v>
      </c>
      <c r="B101" s="38" t="s">
        <v>97</v>
      </c>
      <c r="C101" s="37" t="s">
        <v>34</v>
      </c>
      <c r="D101" s="553">
        <f t="shared" si="5"/>
        <v>24894</v>
      </c>
      <c r="E101" s="557">
        <f>'[18]Прот.3-22'!E101+[18]Откл.Пр!E101</f>
        <v>0</v>
      </c>
      <c r="F101" s="557">
        <f>'[18]Прот.3-22'!F101+[18]Откл.Пр!F101</f>
        <v>0</v>
      </c>
      <c r="G101" s="557">
        <f>'[18]Прот.3-22'!H101+[18]Откл.Пр!H101</f>
        <v>4620</v>
      </c>
      <c r="H101" s="557">
        <f>'[18]Прот.3-22'!I101+[18]Откл.Пр!I101</f>
        <v>18310</v>
      </c>
      <c r="I101" s="557">
        <f>'[18]Прот.3-22'!K101+[18]Откл.Пр!K101</f>
        <v>1025</v>
      </c>
      <c r="J101" s="557">
        <f>'[18]Прот.3-22'!L101+[18]Откл.Пр!L101</f>
        <v>439</v>
      </c>
      <c r="K101" s="549">
        <f t="shared" si="6"/>
        <v>0</v>
      </c>
      <c r="L101" s="557">
        <f>'[18]Прот.3-22'!N101+[18]Откл.Пр!N101</f>
        <v>0</v>
      </c>
      <c r="M101" s="557">
        <f>'[18]Прот.3-22'!O101+[18]Откл.Пр!O101</f>
        <v>0</v>
      </c>
      <c r="N101" s="557"/>
      <c r="O101" s="550">
        <v>0</v>
      </c>
      <c r="P101" s="558">
        <v>0</v>
      </c>
      <c r="Q101" s="558">
        <v>500</v>
      </c>
      <c r="R101" s="544"/>
    </row>
    <row r="102" spans="1:18" x14ac:dyDescent="0.2">
      <c r="A102" s="35">
        <v>91</v>
      </c>
      <c r="B102" s="36" t="s">
        <v>98</v>
      </c>
      <c r="C102" s="37" t="s">
        <v>42</v>
      </c>
      <c r="D102" s="553">
        <f t="shared" si="5"/>
        <v>48581</v>
      </c>
      <c r="E102" s="557">
        <f>'[18]Прот.3-22'!E102+[18]Откл.Пр!E102</f>
        <v>0</v>
      </c>
      <c r="F102" s="557">
        <f>'[18]Прот.3-22'!F102+[18]Откл.Пр!F102</f>
        <v>0</v>
      </c>
      <c r="G102" s="557">
        <f>'[18]Прот.3-22'!H102+[18]Откл.Пр!H102</f>
        <v>2895</v>
      </c>
      <c r="H102" s="557">
        <f>'[18]Прот.3-22'!I102+[18]Откл.Пр!I102</f>
        <v>41151</v>
      </c>
      <c r="I102" s="557">
        <f>'[18]Прот.3-22'!K102+[18]Откл.Пр!K102</f>
        <v>0</v>
      </c>
      <c r="J102" s="557">
        <f>'[18]Прот.3-22'!L102+[18]Откл.Пр!L102</f>
        <v>0</v>
      </c>
      <c r="K102" s="549">
        <f t="shared" si="6"/>
        <v>35</v>
      </c>
      <c r="L102" s="557">
        <f>'[18]Прот.3-22'!N102+[18]Откл.Пр!N102</f>
        <v>0</v>
      </c>
      <c r="M102" s="557">
        <f>'[18]Прот.3-22'!O102+[18]Откл.Пр!O102</f>
        <v>35</v>
      </c>
      <c r="N102" s="557"/>
      <c r="O102" s="550">
        <v>0</v>
      </c>
      <c r="P102" s="558">
        <v>2000</v>
      </c>
      <c r="Q102" s="558">
        <v>2500</v>
      </c>
      <c r="R102" s="544"/>
    </row>
    <row r="103" spans="1:18" x14ac:dyDescent="0.2">
      <c r="A103" s="35">
        <v>92</v>
      </c>
      <c r="B103" s="36" t="s">
        <v>99</v>
      </c>
      <c r="C103" s="37" t="s">
        <v>46</v>
      </c>
      <c r="D103" s="553">
        <f t="shared" si="5"/>
        <v>50046</v>
      </c>
      <c r="E103" s="557">
        <f>'[18]Прот.3-22'!E103+[18]Откл.Пр!E103</f>
        <v>0</v>
      </c>
      <c r="F103" s="557">
        <f>'[18]Прот.3-22'!F103+[18]Откл.Пр!F103</f>
        <v>0</v>
      </c>
      <c r="G103" s="557">
        <f>'[18]Прот.3-22'!H103+[18]Откл.Пр!H103</f>
        <v>13329</v>
      </c>
      <c r="H103" s="557">
        <f>'[18]Прот.3-22'!I103+[18]Откл.Пр!I103</f>
        <v>33243</v>
      </c>
      <c r="I103" s="557">
        <f>'[18]Прот.3-22'!K103+[18]Откл.Пр!K103</f>
        <v>0</v>
      </c>
      <c r="J103" s="557">
        <f>'[18]Прот.3-22'!L103+[18]Откл.Пр!L103</f>
        <v>0</v>
      </c>
      <c r="K103" s="549">
        <f t="shared" si="6"/>
        <v>34</v>
      </c>
      <c r="L103" s="557">
        <f>'[18]Прот.3-22'!N103+[18]Откл.Пр!N103</f>
        <v>0</v>
      </c>
      <c r="M103" s="557">
        <f>'[18]Прот.3-22'!O103+[18]Откл.Пр!O103</f>
        <v>34</v>
      </c>
      <c r="N103" s="557"/>
      <c r="O103" s="550">
        <v>0</v>
      </c>
      <c r="P103" s="558">
        <v>2000</v>
      </c>
      <c r="Q103" s="558">
        <v>1440</v>
      </c>
      <c r="R103" s="544"/>
    </row>
    <row r="104" spans="1:18" x14ac:dyDescent="0.2">
      <c r="A104" s="35">
        <v>93</v>
      </c>
      <c r="B104" s="12" t="s">
        <v>149</v>
      </c>
      <c r="C104" s="9" t="s">
        <v>47</v>
      </c>
      <c r="D104" s="553">
        <f t="shared" si="5"/>
        <v>16829</v>
      </c>
      <c r="E104" s="557">
        <f>'[18]Прот.3-22'!E104+[18]Откл.Пр!E104</f>
        <v>0</v>
      </c>
      <c r="F104" s="557">
        <f>'[18]Прот.3-22'!F104+[18]Откл.Пр!F104</f>
        <v>0</v>
      </c>
      <c r="G104" s="557">
        <f>'[18]Прот.3-22'!H104+[18]Откл.Пр!H104</f>
        <v>6226</v>
      </c>
      <c r="H104" s="557">
        <f>'[18]Прот.3-22'!I104+[18]Откл.Пр!I104</f>
        <v>10003</v>
      </c>
      <c r="I104" s="557">
        <f>'[18]Прот.3-22'!K104+[18]Откл.Пр!K104</f>
        <v>0</v>
      </c>
      <c r="J104" s="557">
        <f>'[18]Прот.3-22'!L104+[18]Откл.Пр!L104</f>
        <v>0</v>
      </c>
      <c r="K104" s="549">
        <f t="shared" si="6"/>
        <v>0</v>
      </c>
      <c r="L104" s="557">
        <f>'[18]Прот.3-22'!N104+[18]Откл.Пр!N104</f>
        <v>0</v>
      </c>
      <c r="M104" s="557">
        <f>'[18]Прот.3-22'!O104+[18]Откл.Пр!O104</f>
        <v>0</v>
      </c>
      <c r="N104" s="557"/>
      <c r="O104" s="550">
        <v>0</v>
      </c>
      <c r="P104" s="558">
        <v>600</v>
      </c>
      <c r="Q104" s="558">
        <v>0</v>
      </c>
      <c r="R104" s="544"/>
    </row>
    <row r="105" spans="1:18" x14ac:dyDescent="0.2">
      <c r="A105" s="35">
        <v>94</v>
      </c>
      <c r="B105" s="39" t="s">
        <v>100</v>
      </c>
      <c r="C105" s="40" t="s">
        <v>50</v>
      </c>
      <c r="D105" s="553">
        <f t="shared" si="5"/>
        <v>18277</v>
      </c>
      <c r="E105" s="557">
        <f>'[18]Прот.3-22'!E105+[18]Откл.Пр!E105</f>
        <v>0</v>
      </c>
      <c r="F105" s="557">
        <f>'[18]Прот.3-22'!F105+[18]Откл.Пр!F105</f>
        <v>0</v>
      </c>
      <c r="G105" s="557">
        <f>'[18]Прот.3-22'!H105+[18]Откл.Пр!H105</f>
        <v>2104</v>
      </c>
      <c r="H105" s="557">
        <f>'[18]Прот.3-22'!I105+[18]Откл.Пр!I105</f>
        <v>12773</v>
      </c>
      <c r="I105" s="557">
        <f>'[18]Прот.3-22'!K105+[18]Откл.Пр!K105</f>
        <v>0</v>
      </c>
      <c r="J105" s="557">
        <f>'[18]Прот.3-22'!L105+[18]Откл.Пр!L105</f>
        <v>0</v>
      </c>
      <c r="K105" s="549">
        <f t="shared" si="6"/>
        <v>0</v>
      </c>
      <c r="L105" s="557">
        <f>'[18]Прот.3-22'!N105+[18]Откл.Пр!N105</f>
        <v>0</v>
      </c>
      <c r="M105" s="557">
        <f>'[18]Прот.3-22'!O105+[18]Откл.Пр!O105</f>
        <v>0</v>
      </c>
      <c r="N105" s="557"/>
      <c r="O105" s="550">
        <v>0</v>
      </c>
      <c r="P105" s="558">
        <v>900</v>
      </c>
      <c r="Q105" s="558">
        <v>2500</v>
      </c>
      <c r="R105" s="544"/>
    </row>
    <row r="106" spans="1:18" x14ac:dyDescent="0.2">
      <c r="A106" s="35">
        <v>95</v>
      </c>
      <c r="B106" s="36" t="s">
        <v>150</v>
      </c>
      <c r="C106" s="37" t="s">
        <v>51</v>
      </c>
      <c r="D106" s="553">
        <f t="shared" si="5"/>
        <v>20617</v>
      </c>
      <c r="E106" s="557">
        <f>'[18]Прот.3-22'!E106+[18]Откл.Пр!E106</f>
        <v>0</v>
      </c>
      <c r="F106" s="557">
        <f>'[18]Прот.3-22'!F106+[18]Откл.Пр!F106</f>
        <v>0</v>
      </c>
      <c r="G106" s="557">
        <f>'[18]Прот.3-22'!H106+[18]Откл.Пр!H106</f>
        <v>8003</v>
      </c>
      <c r="H106" s="557">
        <f>'[18]Прот.3-22'!I106+[18]Откл.Пр!I106</f>
        <v>11331</v>
      </c>
      <c r="I106" s="557">
        <f>'[18]Прот.3-22'!K106+[18]Откл.Пр!K106</f>
        <v>0</v>
      </c>
      <c r="J106" s="557">
        <f>'[18]Прот.3-22'!L106+[18]Откл.Пр!L106</f>
        <v>0</v>
      </c>
      <c r="K106" s="549">
        <f t="shared" si="6"/>
        <v>403</v>
      </c>
      <c r="L106" s="557">
        <f>'[18]Прот.3-22'!N106+[18]Откл.Пр!N106</f>
        <v>0</v>
      </c>
      <c r="M106" s="557">
        <f>'[18]Прот.3-22'!O106+[18]Откл.Пр!O106</f>
        <v>403</v>
      </c>
      <c r="N106" s="557"/>
      <c r="O106" s="550">
        <v>0</v>
      </c>
      <c r="P106" s="558"/>
      <c r="Q106" s="558">
        <v>880</v>
      </c>
      <c r="R106" s="544"/>
    </row>
    <row r="107" spans="1:18" x14ac:dyDescent="0.2">
      <c r="A107" s="35">
        <v>96</v>
      </c>
      <c r="B107" s="38" t="s">
        <v>101</v>
      </c>
      <c r="C107" s="37" t="s">
        <v>20</v>
      </c>
      <c r="D107" s="553">
        <f t="shared" si="5"/>
        <v>24473</v>
      </c>
      <c r="E107" s="557">
        <f>'[18]Прот.3-22'!E107+[18]Откл.Пр!E107</f>
        <v>0</v>
      </c>
      <c r="F107" s="557">
        <f>'[18]Прот.3-22'!F107+[18]Откл.Пр!F107</f>
        <v>0</v>
      </c>
      <c r="G107" s="557">
        <f>'[18]Прот.3-22'!H107+[18]Откл.Пр!H107</f>
        <v>5893</v>
      </c>
      <c r="H107" s="557">
        <f>'[18]Прот.3-22'!I107+[18]Откл.Пр!I107</f>
        <v>13166</v>
      </c>
      <c r="I107" s="557">
        <f>'[18]Прот.3-22'!K107+[18]Откл.Пр!K107</f>
        <v>1025</v>
      </c>
      <c r="J107" s="557">
        <f>'[18]Прот.3-22'!L107+[18]Откл.Пр!L107</f>
        <v>439</v>
      </c>
      <c r="K107" s="549">
        <f t="shared" si="6"/>
        <v>150</v>
      </c>
      <c r="L107" s="557">
        <f>'[18]Прот.3-22'!N107+[18]Откл.Пр!N107</f>
        <v>0</v>
      </c>
      <c r="M107" s="557">
        <f>'[18]Прот.3-22'!O107+[18]Откл.Пр!O107</f>
        <v>150</v>
      </c>
      <c r="N107" s="557"/>
      <c r="O107" s="550">
        <v>0</v>
      </c>
      <c r="P107" s="558">
        <v>2200</v>
      </c>
      <c r="Q107" s="558">
        <v>1600</v>
      </c>
      <c r="R107" s="544"/>
    </row>
    <row r="108" spans="1:18" x14ac:dyDescent="0.2">
      <c r="A108" s="35">
        <v>97</v>
      </c>
      <c r="B108" s="12" t="s">
        <v>102</v>
      </c>
      <c r="C108" s="9" t="s">
        <v>55</v>
      </c>
      <c r="D108" s="553">
        <f t="shared" si="5"/>
        <v>19292</v>
      </c>
      <c r="E108" s="557">
        <f>'[18]Прот.3-22'!E108+[18]Откл.Пр!E108</f>
        <v>0</v>
      </c>
      <c r="F108" s="557">
        <f>'[18]Прот.3-22'!F108+[18]Откл.Пр!F108</f>
        <v>0</v>
      </c>
      <c r="G108" s="557">
        <f>'[18]Прот.3-22'!H108+[18]Откл.Пр!H108</f>
        <v>6429</v>
      </c>
      <c r="H108" s="557">
        <f>'[18]Прот.3-22'!I108+[18]Откл.Пр!I108</f>
        <v>12413</v>
      </c>
      <c r="I108" s="557">
        <f>'[18]Прот.3-22'!K108+[18]Откл.Пр!K108</f>
        <v>0</v>
      </c>
      <c r="J108" s="557">
        <f>'[18]Прот.3-22'!L108+[18]Откл.Пр!L108</f>
        <v>0</v>
      </c>
      <c r="K108" s="549">
        <f t="shared" si="6"/>
        <v>0</v>
      </c>
      <c r="L108" s="557">
        <f>'[18]Прот.3-22'!N108+[18]Откл.Пр!N108</f>
        <v>0</v>
      </c>
      <c r="M108" s="557">
        <f>'[18]Прот.3-22'!O108+[18]Откл.Пр!O108</f>
        <v>0</v>
      </c>
      <c r="N108" s="557"/>
      <c r="O108" s="550">
        <v>0</v>
      </c>
      <c r="P108" s="558">
        <v>450</v>
      </c>
      <c r="Q108" s="558"/>
      <c r="R108" s="544"/>
    </row>
    <row r="109" spans="1:18" x14ac:dyDescent="0.2">
      <c r="A109" s="35">
        <v>98</v>
      </c>
      <c r="B109" s="12" t="s">
        <v>103</v>
      </c>
      <c r="C109" s="9" t="s">
        <v>60</v>
      </c>
      <c r="D109" s="553">
        <f t="shared" si="5"/>
        <v>20955</v>
      </c>
      <c r="E109" s="557">
        <f>'[18]Прот.3-22'!E109+[18]Откл.Пр!E109</f>
        <v>0</v>
      </c>
      <c r="F109" s="557">
        <f>'[18]Прот.3-22'!F109+[18]Откл.Пр!F109</f>
        <v>0</v>
      </c>
      <c r="G109" s="557">
        <f>'[18]Прот.3-22'!H109+[18]Откл.Пр!H109</f>
        <v>4220</v>
      </c>
      <c r="H109" s="557">
        <f>'[18]Прот.3-22'!I109+[18]Откл.Пр!I109</f>
        <v>11395</v>
      </c>
      <c r="I109" s="557">
        <f>'[18]Прот.3-22'!K109+[18]Откл.Пр!K109</f>
        <v>0</v>
      </c>
      <c r="J109" s="557">
        <f>'[18]Прот.3-22'!L109+[18]Откл.Пр!L109</f>
        <v>0</v>
      </c>
      <c r="K109" s="549">
        <f t="shared" si="6"/>
        <v>0</v>
      </c>
      <c r="L109" s="557">
        <f>'[18]Прот.3-22'!N109+[18]Откл.Пр!N109</f>
        <v>0</v>
      </c>
      <c r="M109" s="557">
        <f>'[18]Прот.3-22'!O109+[18]Откл.Пр!O109</f>
        <v>0</v>
      </c>
      <c r="N109" s="557"/>
      <c r="O109" s="550">
        <v>0</v>
      </c>
      <c r="P109" s="558">
        <v>1340</v>
      </c>
      <c r="Q109" s="558">
        <v>4000</v>
      </c>
      <c r="R109" s="544"/>
    </row>
    <row r="110" spans="1:18" x14ac:dyDescent="0.2">
      <c r="A110" s="35">
        <v>99</v>
      </c>
      <c r="B110" s="36" t="s">
        <v>104</v>
      </c>
      <c r="C110" s="37" t="s">
        <v>21</v>
      </c>
      <c r="D110" s="553">
        <f t="shared" si="5"/>
        <v>33356</v>
      </c>
      <c r="E110" s="557">
        <f>'[18]Прот.3-22'!E110+[18]Откл.Пр!E110</f>
        <v>0</v>
      </c>
      <c r="F110" s="557">
        <f>'[18]Прот.3-22'!F110+[18]Откл.Пр!F110</f>
        <v>0</v>
      </c>
      <c r="G110" s="557">
        <f>'[18]Прот.3-22'!H110+[18]Откл.Пр!H110</f>
        <v>6193</v>
      </c>
      <c r="H110" s="557">
        <f>'[18]Прот.3-22'!I110+[18]Откл.Пр!I110</f>
        <v>26414</v>
      </c>
      <c r="I110" s="557">
        <f>'[18]Прот.3-22'!K110+[18]Откл.Пр!K110</f>
        <v>0</v>
      </c>
      <c r="J110" s="557">
        <f>'[18]Прот.3-22'!L110+[18]Откл.Пр!L110</f>
        <v>0</v>
      </c>
      <c r="K110" s="549">
        <f t="shared" si="6"/>
        <v>149</v>
      </c>
      <c r="L110" s="557">
        <f>'[18]Прот.3-22'!N110+[18]Откл.Пр!N110</f>
        <v>0</v>
      </c>
      <c r="M110" s="557">
        <f>'[18]Прот.3-22'!O110+[18]Откл.Пр!O110</f>
        <v>149</v>
      </c>
      <c r="N110" s="557"/>
      <c r="O110" s="550">
        <v>0</v>
      </c>
      <c r="P110" s="558">
        <v>100</v>
      </c>
      <c r="Q110" s="558">
        <v>500</v>
      </c>
      <c r="R110" s="544"/>
    </row>
    <row r="111" spans="1:18" x14ac:dyDescent="0.2">
      <c r="A111" s="35">
        <v>100</v>
      </c>
      <c r="B111" s="38" t="s">
        <v>105</v>
      </c>
      <c r="C111" s="37" t="s">
        <v>62</v>
      </c>
      <c r="D111" s="553">
        <f t="shared" si="5"/>
        <v>23822</v>
      </c>
      <c r="E111" s="557">
        <f>'[18]Прот.3-22'!E111+[18]Откл.Пр!E111</f>
        <v>0</v>
      </c>
      <c r="F111" s="557">
        <f>'[18]Прот.3-22'!F111+[18]Откл.Пр!F111</f>
        <v>0</v>
      </c>
      <c r="G111" s="557">
        <f>'[18]Прот.3-22'!H111+[18]Откл.Пр!H111</f>
        <v>2038</v>
      </c>
      <c r="H111" s="557">
        <f>'[18]Прот.3-22'!I111+[18]Откл.Пр!I111</f>
        <v>17284</v>
      </c>
      <c r="I111" s="557">
        <f>'[18]Прот.3-22'!K111+[18]Откл.Пр!K111</f>
        <v>0</v>
      </c>
      <c r="J111" s="557">
        <f>'[18]Прот.3-22'!L111+[18]Откл.Пр!L111</f>
        <v>0</v>
      </c>
      <c r="K111" s="549">
        <f t="shared" si="6"/>
        <v>0</v>
      </c>
      <c r="L111" s="557">
        <f>'[18]Прот.3-22'!N111+[18]Откл.Пр!N111</f>
        <v>0</v>
      </c>
      <c r="M111" s="557">
        <f>'[18]Прот.3-22'!O111+[18]Откл.Пр!O111</f>
        <v>0</v>
      </c>
      <c r="N111" s="557"/>
      <c r="O111" s="550">
        <v>0</v>
      </c>
      <c r="P111" s="558">
        <v>1400</v>
      </c>
      <c r="Q111" s="558">
        <v>3100</v>
      </c>
      <c r="R111" s="544"/>
    </row>
    <row r="112" spans="1:18" x14ac:dyDescent="0.2">
      <c r="A112" s="35">
        <v>101</v>
      </c>
      <c r="B112" s="36" t="s">
        <v>229</v>
      </c>
      <c r="C112" s="9" t="s">
        <v>230</v>
      </c>
      <c r="D112" s="553">
        <f t="shared" si="5"/>
        <v>5544</v>
      </c>
      <c r="E112" s="557">
        <f>'[18]Прот.3-22'!E112+[18]Откл.Пр!E112</f>
        <v>5544</v>
      </c>
      <c r="F112" s="557">
        <f>'[18]Прот.3-22'!F112+[18]Откл.Пр!F112</f>
        <v>0</v>
      </c>
      <c r="G112" s="557">
        <f>'[18]Прот.3-22'!H112+[18]Откл.Пр!H112</f>
        <v>0</v>
      </c>
      <c r="H112" s="557">
        <f>'[18]Прот.3-22'!I112+[18]Откл.Пр!I112</f>
        <v>0</v>
      </c>
      <c r="I112" s="557">
        <f>'[18]Прот.3-22'!K112+[18]Откл.Пр!K112</f>
        <v>0</v>
      </c>
      <c r="J112" s="557">
        <f>'[18]Прот.3-22'!L112+[18]Откл.Пр!L112</f>
        <v>0</v>
      </c>
      <c r="K112" s="549">
        <f t="shared" si="6"/>
        <v>0</v>
      </c>
      <c r="L112" s="557">
        <f>'[18]Прот.3-22'!N112+[18]Откл.Пр!N112</f>
        <v>0</v>
      </c>
      <c r="M112" s="557">
        <f>'[18]Прот.3-22'!O112+[18]Откл.Пр!O112</f>
        <v>0</v>
      </c>
      <c r="N112" s="557"/>
      <c r="O112" s="550">
        <v>0</v>
      </c>
      <c r="P112" s="558"/>
      <c r="Q112" s="558"/>
      <c r="R112" s="544"/>
    </row>
    <row r="113" spans="1:18" x14ac:dyDescent="0.2">
      <c r="A113" s="35">
        <v>102</v>
      </c>
      <c r="B113" s="36" t="s">
        <v>231</v>
      </c>
      <c r="C113" s="37" t="s">
        <v>232</v>
      </c>
      <c r="D113" s="553">
        <f t="shared" si="5"/>
        <v>0</v>
      </c>
      <c r="E113" s="557">
        <f>'[18]Прот.3-22'!E113+[18]Откл.Пр!E113</f>
        <v>0</v>
      </c>
      <c r="F113" s="557">
        <f>'[18]Прот.3-22'!F113+[18]Откл.Пр!F113</f>
        <v>0</v>
      </c>
      <c r="G113" s="557">
        <f>'[18]Прот.3-22'!H113+[18]Откл.Пр!H113</f>
        <v>0</v>
      </c>
      <c r="H113" s="557">
        <f>'[18]Прот.3-22'!I113+[18]Откл.Пр!I113</f>
        <v>0</v>
      </c>
      <c r="I113" s="557">
        <f>'[18]Прот.3-22'!K113+[18]Откл.Пр!K113</f>
        <v>0</v>
      </c>
      <c r="J113" s="557">
        <f>'[18]Прот.3-22'!L113+[18]Откл.Пр!L113</f>
        <v>0</v>
      </c>
      <c r="K113" s="549">
        <f t="shared" si="6"/>
        <v>0</v>
      </c>
      <c r="L113" s="557">
        <f>'[18]Прот.3-22'!N113+[18]Откл.Пр!N113</f>
        <v>0</v>
      </c>
      <c r="M113" s="557">
        <f>'[18]Прот.3-22'!O113+[18]Откл.Пр!O113</f>
        <v>0</v>
      </c>
      <c r="N113" s="557"/>
      <c r="O113" s="550">
        <v>0</v>
      </c>
      <c r="P113" s="558"/>
      <c r="Q113" s="558"/>
      <c r="R113" s="544"/>
    </row>
    <row r="114" spans="1:18" x14ac:dyDescent="0.2">
      <c r="A114" s="35">
        <v>103</v>
      </c>
      <c r="B114" s="12" t="s">
        <v>233</v>
      </c>
      <c r="C114" s="9" t="s">
        <v>234</v>
      </c>
      <c r="D114" s="553">
        <f t="shared" si="5"/>
        <v>1872</v>
      </c>
      <c r="E114" s="557">
        <f>'[18]Прот.3-22'!E114+[18]Откл.Пр!E114</f>
        <v>1872</v>
      </c>
      <c r="F114" s="557">
        <f>'[18]Прот.3-22'!F114+[18]Откл.Пр!F114</f>
        <v>0</v>
      </c>
      <c r="G114" s="557">
        <f>'[18]Прот.3-22'!H114+[18]Откл.Пр!H114</f>
        <v>0</v>
      </c>
      <c r="H114" s="557">
        <f>'[18]Прот.3-22'!I114+[18]Откл.Пр!I114</f>
        <v>0</v>
      </c>
      <c r="I114" s="557">
        <f>'[18]Прот.3-22'!K114+[18]Откл.Пр!K114</f>
        <v>0</v>
      </c>
      <c r="J114" s="557">
        <f>'[18]Прот.3-22'!L114+[18]Откл.Пр!L114</f>
        <v>0</v>
      </c>
      <c r="K114" s="549">
        <f t="shared" si="6"/>
        <v>0</v>
      </c>
      <c r="L114" s="557">
        <f>'[18]Прот.3-22'!N114+[18]Откл.Пр!N114</f>
        <v>0</v>
      </c>
      <c r="M114" s="557">
        <f>'[18]Прот.3-22'!O114+[18]Откл.Пр!O114</f>
        <v>0</v>
      </c>
      <c r="N114" s="557"/>
      <c r="O114" s="550">
        <v>0</v>
      </c>
      <c r="P114" s="558"/>
      <c r="Q114" s="558"/>
      <c r="R114" s="544"/>
    </row>
    <row r="115" spans="1:18" x14ac:dyDescent="0.2">
      <c r="A115" s="35">
        <v>104</v>
      </c>
      <c r="B115" s="12" t="s">
        <v>235</v>
      </c>
      <c r="C115" s="9" t="s">
        <v>236</v>
      </c>
      <c r="D115" s="553">
        <f t="shared" si="5"/>
        <v>0</v>
      </c>
      <c r="E115" s="557">
        <f>'[18]Прот.3-22'!E115+[18]Откл.Пр!E115</f>
        <v>0</v>
      </c>
      <c r="F115" s="557">
        <f>'[18]Прот.3-22'!F115+[18]Откл.Пр!F115</f>
        <v>0</v>
      </c>
      <c r="G115" s="557">
        <f>'[18]Прот.3-22'!H115+[18]Откл.Пр!H115</f>
        <v>0</v>
      </c>
      <c r="H115" s="557">
        <f>'[18]Прот.3-22'!I115+[18]Откл.Пр!I115</f>
        <v>0</v>
      </c>
      <c r="I115" s="557">
        <f>'[18]Прот.3-22'!K115+[18]Откл.Пр!K115</f>
        <v>0</v>
      </c>
      <c r="J115" s="557">
        <f>'[18]Прот.3-22'!L115+[18]Откл.Пр!L115</f>
        <v>0</v>
      </c>
      <c r="K115" s="549">
        <f t="shared" si="6"/>
        <v>0</v>
      </c>
      <c r="L115" s="557">
        <f>'[18]Прот.3-22'!N115+[18]Откл.Пр!N115</f>
        <v>0</v>
      </c>
      <c r="M115" s="557">
        <f>'[18]Прот.3-22'!O115+[18]Откл.Пр!O115</f>
        <v>0</v>
      </c>
      <c r="N115" s="557"/>
      <c r="O115" s="550">
        <v>0</v>
      </c>
      <c r="P115" s="558"/>
      <c r="Q115" s="558"/>
      <c r="R115" s="544"/>
    </row>
    <row r="116" spans="1:18" x14ac:dyDescent="0.2">
      <c r="A116" s="35">
        <v>105</v>
      </c>
      <c r="B116" s="12" t="s">
        <v>237</v>
      </c>
      <c r="C116" s="9" t="s">
        <v>238</v>
      </c>
      <c r="D116" s="553">
        <f t="shared" si="5"/>
        <v>0</v>
      </c>
      <c r="E116" s="557">
        <f>'[18]Прот.3-22'!E116+[18]Откл.Пр!E116</f>
        <v>0</v>
      </c>
      <c r="F116" s="557">
        <f>'[18]Прот.3-22'!F116+[18]Откл.Пр!F116</f>
        <v>0</v>
      </c>
      <c r="G116" s="557">
        <f>'[18]Прот.3-22'!H116+[18]Откл.Пр!H116</f>
        <v>0</v>
      </c>
      <c r="H116" s="557">
        <f>'[18]Прот.3-22'!I116+[18]Откл.Пр!I116</f>
        <v>0</v>
      </c>
      <c r="I116" s="557">
        <f>'[18]Прот.3-22'!K116+[18]Откл.Пр!K116</f>
        <v>0</v>
      </c>
      <c r="J116" s="557">
        <f>'[18]Прот.3-22'!L116+[18]Откл.Пр!L116</f>
        <v>0</v>
      </c>
      <c r="K116" s="549">
        <f t="shared" si="6"/>
        <v>0</v>
      </c>
      <c r="L116" s="557">
        <f>'[18]Прот.3-22'!N116+[18]Откл.Пр!N116</f>
        <v>0</v>
      </c>
      <c r="M116" s="557">
        <f>'[18]Прот.3-22'!O116+[18]Откл.Пр!O116</f>
        <v>0</v>
      </c>
      <c r="N116" s="557"/>
      <c r="O116" s="550">
        <v>0</v>
      </c>
      <c r="P116" s="558"/>
      <c r="Q116" s="558"/>
      <c r="R116" s="544"/>
    </row>
    <row r="117" spans="1:18" x14ac:dyDescent="0.2">
      <c r="A117" s="35">
        <v>106</v>
      </c>
      <c r="B117" s="12" t="s">
        <v>239</v>
      </c>
      <c r="C117" s="9" t="s">
        <v>240</v>
      </c>
      <c r="D117" s="553">
        <f t="shared" si="5"/>
        <v>0</v>
      </c>
      <c r="E117" s="557">
        <f>'[18]Прот.3-22'!E117+[18]Откл.Пр!E117</f>
        <v>0</v>
      </c>
      <c r="F117" s="557">
        <f>'[18]Прот.3-22'!F117+[18]Откл.Пр!F117</f>
        <v>0</v>
      </c>
      <c r="G117" s="557">
        <f>'[18]Прот.3-22'!H117+[18]Откл.Пр!H117</f>
        <v>0</v>
      </c>
      <c r="H117" s="557">
        <f>'[18]Прот.3-22'!I117+[18]Откл.Пр!I117</f>
        <v>0</v>
      </c>
      <c r="I117" s="557">
        <f>'[18]Прот.3-22'!K117+[18]Откл.Пр!K117</f>
        <v>0</v>
      </c>
      <c r="J117" s="557">
        <f>'[18]Прот.3-22'!L117+[18]Откл.Пр!L117</f>
        <v>0</v>
      </c>
      <c r="K117" s="549">
        <f t="shared" si="6"/>
        <v>0</v>
      </c>
      <c r="L117" s="557">
        <f>'[18]Прот.3-22'!N117+[18]Откл.Пр!N117</f>
        <v>0</v>
      </c>
      <c r="M117" s="557">
        <f>'[18]Прот.3-22'!O117+[18]Откл.Пр!O117</f>
        <v>0</v>
      </c>
      <c r="N117" s="557"/>
      <c r="O117" s="550">
        <v>0</v>
      </c>
      <c r="P117" s="558"/>
      <c r="Q117" s="558"/>
      <c r="R117" s="544"/>
    </row>
    <row r="118" spans="1:18" x14ac:dyDescent="0.2">
      <c r="A118" s="35">
        <v>107</v>
      </c>
      <c r="B118" s="12" t="s">
        <v>241</v>
      </c>
      <c r="C118" s="9" t="s">
        <v>242</v>
      </c>
      <c r="D118" s="553">
        <f t="shared" si="5"/>
        <v>0</v>
      </c>
      <c r="E118" s="557">
        <f>'[18]Прот.3-22'!E118+[18]Откл.Пр!E118</f>
        <v>0</v>
      </c>
      <c r="F118" s="557">
        <f>'[18]Прот.3-22'!F118+[18]Откл.Пр!F118</f>
        <v>0</v>
      </c>
      <c r="G118" s="557">
        <f>'[18]Прот.3-22'!H118+[18]Откл.Пр!H118</f>
        <v>0</v>
      </c>
      <c r="H118" s="557">
        <f>'[18]Прот.3-22'!I118+[18]Откл.Пр!I118</f>
        <v>0</v>
      </c>
      <c r="I118" s="557">
        <f>'[18]Прот.3-22'!K118+[18]Откл.Пр!K118</f>
        <v>0</v>
      </c>
      <c r="J118" s="557">
        <f>'[18]Прот.3-22'!L118+[18]Откл.Пр!L118</f>
        <v>0</v>
      </c>
      <c r="K118" s="549">
        <f t="shared" si="6"/>
        <v>0</v>
      </c>
      <c r="L118" s="557">
        <f>'[18]Прот.3-22'!N118+[18]Откл.Пр!N118</f>
        <v>0</v>
      </c>
      <c r="M118" s="557">
        <f>'[18]Прот.3-22'!O118+[18]Откл.Пр!O118</f>
        <v>0</v>
      </c>
      <c r="N118" s="557"/>
      <c r="O118" s="550">
        <v>0</v>
      </c>
      <c r="P118" s="558"/>
      <c r="Q118" s="558"/>
      <c r="R118" s="544"/>
    </row>
    <row r="119" spans="1:18" x14ac:dyDescent="0.2">
      <c r="A119" s="35">
        <v>108</v>
      </c>
      <c r="B119" s="12" t="s">
        <v>243</v>
      </c>
      <c r="C119" s="9" t="s">
        <v>244</v>
      </c>
      <c r="D119" s="553">
        <f t="shared" si="5"/>
        <v>23328</v>
      </c>
      <c r="E119" s="557">
        <f>'[18]Прот.3-22'!E119+[18]Откл.Пр!E119</f>
        <v>23328</v>
      </c>
      <c r="F119" s="557">
        <f>'[18]Прот.3-22'!F119+[18]Откл.Пр!F119</f>
        <v>0</v>
      </c>
      <c r="G119" s="557">
        <f>'[18]Прот.3-22'!H119+[18]Откл.Пр!H119</f>
        <v>0</v>
      </c>
      <c r="H119" s="557">
        <f>'[18]Прот.3-22'!I119+[18]Откл.Пр!I119</f>
        <v>0</v>
      </c>
      <c r="I119" s="557">
        <f>'[18]Прот.3-22'!K119+[18]Откл.Пр!K119</f>
        <v>0</v>
      </c>
      <c r="J119" s="557">
        <f>'[18]Прот.3-22'!L119+[18]Откл.Пр!L119</f>
        <v>0</v>
      </c>
      <c r="K119" s="549">
        <f t="shared" si="6"/>
        <v>0</v>
      </c>
      <c r="L119" s="557">
        <f>'[18]Прот.3-22'!N119+[18]Откл.Пр!N119</f>
        <v>0</v>
      </c>
      <c r="M119" s="557">
        <f>'[18]Прот.3-22'!O119+[18]Откл.Пр!O119</f>
        <v>0</v>
      </c>
      <c r="N119" s="557"/>
      <c r="O119" s="550">
        <v>0</v>
      </c>
      <c r="P119" s="558"/>
      <c r="Q119" s="558"/>
      <c r="R119" s="544"/>
    </row>
    <row r="120" spans="1:18" x14ac:dyDescent="0.2">
      <c r="A120" s="35">
        <v>109</v>
      </c>
      <c r="B120" s="43" t="s">
        <v>245</v>
      </c>
      <c r="C120" s="11" t="s">
        <v>246</v>
      </c>
      <c r="D120" s="553">
        <f t="shared" si="5"/>
        <v>0</v>
      </c>
      <c r="E120" s="557">
        <f>'[18]Прот.3-22'!E120+[18]Откл.Пр!E120</f>
        <v>0</v>
      </c>
      <c r="F120" s="557">
        <f>'[18]Прот.3-22'!F120+[18]Откл.Пр!F120</f>
        <v>0</v>
      </c>
      <c r="G120" s="557">
        <f>'[18]Прот.3-22'!H120+[18]Откл.Пр!H120</f>
        <v>0</v>
      </c>
      <c r="H120" s="557">
        <f>'[18]Прот.3-22'!I120+[18]Откл.Пр!I120</f>
        <v>0</v>
      </c>
      <c r="I120" s="557">
        <f>'[18]Прот.3-22'!K120+[18]Откл.Пр!K120</f>
        <v>0</v>
      </c>
      <c r="J120" s="557">
        <f>'[18]Прот.3-22'!L120+[18]Откл.Пр!L120</f>
        <v>0</v>
      </c>
      <c r="K120" s="549">
        <f t="shared" si="6"/>
        <v>0</v>
      </c>
      <c r="L120" s="557">
        <f>'[18]Прот.3-22'!N120+[18]Откл.Пр!N120</f>
        <v>0</v>
      </c>
      <c r="M120" s="557">
        <f>'[18]Прот.3-22'!O120+[18]Откл.Пр!O120</f>
        <v>0</v>
      </c>
      <c r="N120" s="557"/>
      <c r="O120" s="550">
        <v>0</v>
      </c>
      <c r="P120" s="558"/>
      <c r="Q120" s="558"/>
      <c r="R120" s="544"/>
    </row>
    <row r="121" spans="1:18" x14ac:dyDescent="0.2">
      <c r="A121" s="35">
        <v>110</v>
      </c>
      <c r="B121" s="43" t="s">
        <v>2270</v>
      </c>
      <c r="C121" s="11" t="s">
        <v>247</v>
      </c>
      <c r="D121" s="553">
        <f t="shared" si="5"/>
        <v>100</v>
      </c>
      <c r="E121" s="557">
        <f>'[18]Прот.3-22'!E121+[18]Откл.Пр!E121</f>
        <v>100</v>
      </c>
      <c r="F121" s="557">
        <f>'[18]Прот.3-22'!F121+[18]Откл.Пр!F121</f>
        <v>100</v>
      </c>
      <c r="G121" s="557">
        <f>'[18]Прот.3-22'!H121+[18]Откл.Пр!H121</f>
        <v>0</v>
      </c>
      <c r="H121" s="557">
        <f>'[18]Прот.3-22'!I121+[18]Откл.Пр!I121</f>
        <v>0</v>
      </c>
      <c r="I121" s="557">
        <f>'[18]Прот.3-22'!K121+[18]Откл.Пр!K121</f>
        <v>0</v>
      </c>
      <c r="J121" s="557">
        <f>'[18]Прот.3-22'!L121+[18]Откл.Пр!L121</f>
        <v>0</v>
      </c>
      <c r="K121" s="549">
        <f t="shared" si="6"/>
        <v>0</v>
      </c>
      <c r="L121" s="557">
        <f>'[18]Прот.3-22'!N121+[18]Откл.Пр!N121</f>
        <v>0</v>
      </c>
      <c r="M121" s="557">
        <f>'[18]Прот.3-22'!O121+[18]Откл.Пр!O121</f>
        <v>0</v>
      </c>
      <c r="N121" s="557"/>
      <c r="O121" s="550">
        <v>0</v>
      </c>
      <c r="P121" s="558"/>
      <c r="Q121" s="558"/>
      <c r="R121" s="544"/>
    </row>
    <row r="122" spans="1:18" x14ac:dyDescent="0.2">
      <c r="A122" s="35">
        <v>111</v>
      </c>
      <c r="B122" s="38" t="s">
        <v>248</v>
      </c>
      <c r="C122" s="37" t="s">
        <v>249</v>
      </c>
      <c r="D122" s="553">
        <f t="shared" si="5"/>
        <v>0</v>
      </c>
      <c r="E122" s="557">
        <f>'[18]Прот.3-22'!E122+[18]Откл.Пр!E122</f>
        <v>0</v>
      </c>
      <c r="F122" s="557">
        <f>'[18]Прот.3-22'!F122+[18]Откл.Пр!F122</f>
        <v>0</v>
      </c>
      <c r="G122" s="557">
        <f>'[18]Прот.3-22'!H122+[18]Откл.Пр!H122</f>
        <v>0</v>
      </c>
      <c r="H122" s="557">
        <f>'[18]Прот.3-22'!I122+[18]Откл.Пр!I122</f>
        <v>0</v>
      </c>
      <c r="I122" s="557">
        <f>'[18]Прот.3-22'!K122+[18]Откл.Пр!K122</f>
        <v>0</v>
      </c>
      <c r="J122" s="557">
        <f>'[18]Прот.3-22'!L122+[18]Откл.Пр!L122</f>
        <v>0</v>
      </c>
      <c r="K122" s="549">
        <f t="shared" si="6"/>
        <v>0</v>
      </c>
      <c r="L122" s="557">
        <f>'[18]Прот.3-22'!N122+[18]Откл.Пр!N122</f>
        <v>0</v>
      </c>
      <c r="M122" s="557">
        <f>'[18]Прот.3-22'!O122+[18]Откл.Пр!O122</f>
        <v>0</v>
      </c>
      <c r="N122" s="557"/>
      <c r="O122" s="550">
        <v>0</v>
      </c>
      <c r="P122" s="558"/>
      <c r="Q122" s="558"/>
      <c r="R122" s="544"/>
    </row>
    <row r="123" spans="1:18" x14ac:dyDescent="0.2">
      <c r="A123" s="35">
        <v>112</v>
      </c>
      <c r="B123" s="12" t="s">
        <v>250</v>
      </c>
      <c r="C123" s="9" t="s">
        <v>251</v>
      </c>
      <c r="D123" s="553">
        <f t="shared" si="5"/>
        <v>0</v>
      </c>
      <c r="E123" s="557">
        <f>'[18]Прот.3-22'!E123+[18]Откл.Пр!E123</f>
        <v>0</v>
      </c>
      <c r="F123" s="557">
        <f>'[18]Прот.3-22'!F123+[18]Откл.Пр!F123</f>
        <v>0</v>
      </c>
      <c r="G123" s="557">
        <f>'[18]Прот.3-22'!H123+[18]Откл.Пр!H123</f>
        <v>0</v>
      </c>
      <c r="H123" s="557">
        <f>'[18]Прот.3-22'!I123+[18]Откл.Пр!I123</f>
        <v>0</v>
      </c>
      <c r="I123" s="557">
        <f>'[18]Прот.3-22'!K123+[18]Откл.Пр!K123</f>
        <v>0</v>
      </c>
      <c r="J123" s="557">
        <f>'[18]Прот.3-22'!L123+[18]Откл.Пр!L123</f>
        <v>0</v>
      </c>
      <c r="K123" s="549">
        <f t="shared" si="6"/>
        <v>0</v>
      </c>
      <c r="L123" s="557">
        <f>'[18]Прот.3-22'!N123+[18]Откл.Пр!N123</f>
        <v>0</v>
      </c>
      <c r="M123" s="557">
        <f>'[18]Прот.3-22'!O123+[18]Откл.Пр!O123</f>
        <v>0</v>
      </c>
      <c r="N123" s="557"/>
      <c r="O123" s="550">
        <v>0</v>
      </c>
      <c r="P123" s="558"/>
      <c r="Q123" s="558"/>
      <c r="R123" s="544"/>
    </row>
    <row r="124" spans="1:18" x14ac:dyDescent="0.2">
      <c r="A124" s="35">
        <v>113</v>
      </c>
      <c r="B124" s="36" t="s">
        <v>252</v>
      </c>
      <c r="C124" s="44" t="s">
        <v>253</v>
      </c>
      <c r="D124" s="553">
        <f t="shared" si="5"/>
        <v>0</v>
      </c>
      <c r="E124" s="557">
        <f>'[18]Прот.3-22'!E124+[18]Откл.Пр!E124</f>
        <v>0</v>
      </c>
      <c r="F124" s="557">
        <f>'[18]Прот.3-22'!F124+[18]Откл.Пр!F124</f>
        <v>0</v>
      </c>
      <c r="G124" s="557">
        <f>'[18]Прот.3-22'!H124+[18]Откл.Пр!H124</f>
        <v>0</v>
      </c>
      <c r="H124" s="557">
        <f>'[18]Прот.3-22'!I124+[18]Откл.Пр!I124</f>
        <v>0</v>
      </c>
      <c r="I124" s="557">
        <f>'[18]Прот.3-22'!K124+[18]Откл.Пр!K124</f>
        <v>0</v>
      </c>
      <c r="J124" s="557">
        <f>'[18]Прот.3-22'!L124+[18]Откл.Пр!L124</f>
        <v>0</v>
      </c>
      <c r="K124" s="549">
        <f t="shared" si="6"/>
        <v>0</v>
      </c>
      <c r="L124" s="557">
        <f>'[18]Прот.3-22'!N124+[18]Откл.Пр!N124</f>
        <v>0</v>
      </c>
      <c r="M124" s="557">
        <f>'[18]Прот.3-22'!O124+[18]Откл.Пр!O124</f>
        <v>0</v>
      </c>
      <c r="N124" s="557"/>
      <c r="O124" s="550">
        <v>0</v>
      </c>
      <c r="P124" s="558"/>
      <c r="Q124" s="558"/>
      <c r="R124" s="544"/>
    </row>
    <row r="125" spans="1:18" ht="24" x14ac:dyDescent="0.2">
      <c r="A125" s="35">
        <v>114</v>
      </c>
      <c r="B125" s="12" t="s">
        <v>254</v>
      </c>
      <c r="C125" s="9" t="s">
        <v>255</v>
      </c>
      <c r="D125" s="553">
        <f t="shared" si="5"/>
        <v>0</v>
      </c>
      <c r="E125" s="557">
        <f>'[18]Прот.3-22'!E125+[18]Откл.Пр!E125</f>
        <v>0</v>
      </c>
      <c r="F125" s="557">
        <f>'[18]Прот.3-22'!F125+[18]Откл.Пр!F125</f>
        <v>0</v>
      </c>
      <c r="G125" s="557">
        <f>'[18]Прот.3-22'!H125+[18]Откл.Пр!H125</f>
        <v>0</v>
      </c>
      <c r="H125" s="557">
        <f>'[18]Прот.3-22'!I125+[18]Откл.Пр!I125</f>
        <v>0</v>
      </c>
      <c r="I125" s="557">
        <f>'[18]Прот.3-22'!K125+[18]Откл.Пр!K125</f>
        <v>0</v>
      </c>
      <c r="J125" s="557">
        <f>'[18]Прот.3-22'!L125+[18]Откл.Пр!L125</f>
        <v>0</v>
      </c>
      <c r="K125" s="549">
        <f t="shared" si="6"/>
        <v>0</v>
      </c>
      <c r="L125" s="557">
        <f>'[18]Прот.3-22'!N125+[18]Откл.Пр!N125</f>
        <v>0</v>
      </c>
      <c r="M125" s="557">
        <f>'[18]Прот.3-22'!O125+[18]Откл.Пр!O125</f>
        <v>0</v>
      </c>
      <c r="N125" s="557"/>
      <c r="O125" s="550">
        <v>0</v>
      </c>
      <c r="P125" s="558"/>
      <c r="Q125" s="558"/>
      <c r="R125" s="544"/>
    </row>
    <row r="126" spans="1:18" x14ac:dyDescent="0.2">
      <c r="A126" s="35">
        <v>115</v>
      </c>
      <c r="B126" s="12" t="s">
        <v>256</v>
      </c>
      <c r="C126" s="9" t="s">
        <v>257</v>
      </c>
      <c r="D126" s="553">
        <f t="shared" si="5"/>
        <v>0</v>
      </c>
      <c r="E126" s="557">
        <f>'[18]Прот.3-22'!E126+[18]Откл.Пр!E126</f>
        <v>0</v>
      </c>
      <c r="F126" s="557">
        <f>'[18]Прот.3-22'!F126+[18]Откл.Пр!F126</f>
        <v>0</v>
      </c>
      <c r="G126" s="557">
        <f>'[18]Прот.3-22'!H126+[18]Откл.Пр!H126</f>
        <v>0</v>
      </c>
      <c r="H126" s="557">
        <f>'[18]Прот.3-22'!I126+[18]Откл.Пр!I126</f>
        <v>0</v>
      </c>
      <c r="I126" s="557">
        <f>'[18]Прот.3-22'!K126+[18]Откл.Пр!K126</f>
        <v>0</v>
      </c>
      <c r="J126" s="557">
        <f>'[18]Прот.3-22'!L126+[18]Откл.Пр!L126</f>
        <v>0</v>
      </c>
      <c r="K126" s="549">
        <f t="shared" si="6"/>
        <v>0</v>
      </c>
      <c r="L126" s="557">
        <f>'[18]Прот.3-22'!N126+[18]Откл.Пр!N126</f>
        <v>0</v>
      </c>
      <c r="M126" s="557">
        <f>'[18]Прот.3-22'!O126+[18]Откл.Пр!O126</f>
        <v>0</v>
      </c>
      <c r="N126" s="557"/>
      <c r="O126" s="550">
        <v>0</v>
      </c>
      <c r="P126" s="558"/>
      <c r="Q126" s="558"/>
      <c r="R126" s="544"/>
    </row>
    <row r="127" spans="1:18" x14ac:dyDescent="0.2">
      <c r="A127" s="35">
        <v>116</v>
      </c>
      <c r="B127" s="38" t="s">
        <v>258</v>
      </c>
      <c r="C127" s="9" t="s">
        <v>259</v>
      </c>
      <c r="D127" s="553">
        <f t="shared" si="5"/>
        <v>0</v>
      </c>
      <c r="E127" s="557">
        <f>'[18]Прот.3-22'!E127+[18]Откл.Пр!E127</f>
        <v>0</v>
      </c>
      <c r="F127" s="557">
        <f>'[18]Прот.3-22'!F127+[18]Откл.Пр!F127</f>
        <v>0</v>
      </c>
      <c r="G127" s="557">
        <f>'[18]Прот.3-22'!H127+[18]Откл.Пр!H127</f>
        <v>0</v>
      </c>
      <c r="H127" s="557">
        <f>'[18]Прот.3-22'!I127+[18]Откл.Пр!I127</f>
        <v>0</v>
      </c>
      <c r="I127" s="557">
        <f>'[18]Прот.3-22'!K127+[18]Откл.Пр!K127</f>
        <v>0</v>
      </c>
      <c r="J127" s="557">
        <f>'[18]Прот.3-22'!L127+[18]Откл.Пр!L127</f>
        <v>0</v>
      </c>
      <c r="K127" s="549">
        <f t="shared" si="6"/>
        <v>0</v>
      </c>
      <c r="L127" s="557">
        <f>'[18]Прот.3-22'!N127+[18]Откл.Пр!N127</f>
        <v>0</v>
      </c>
      <c r="M127" s="557">
        <f>'[18]Прот.3-22'!O127+[18]Откл.Пр!O127</f>
        <v>0</v>
      </c>
      <c r="N127" s="557"/>
      <c r="O127" s="550">
        <v>0</v>
      </c>
      <c r="P127" s="558"/>
      <c r="Q127" s="558"/>
      <c r="R127" s="544"/>
    </row>
    <row r="128" spans="1:18" x14ac:dyDescent="0.2">
      <c r="A128" s="35">
        <v>117</v>
      </c>
      <c r="B128" s="38" t="s">
        <v>260</v>
      </c>
      <c r="C128" s="9" t="s">
        <v>261</v>
      </c>
      <c r="D128" s="553">
        <f t="shared" si="5"/>
        <v>0</v>
      </c>
      <c r="E128" s="557">
        <f>'[18]Прот.3-22'!E128+[18]Откл.Пр!E128</f>
        <v>0</v>
      </c>
      <c r="F128" s="557">
        <f>'[18]Прот.3-22'!F128+[18]Откл.Пр!F128</f>
        <v>0</v>
      </c>
      <c r="G128" s="557">
        <f>'[18]Прот.3-22'!H128+[18]Откл.Пр!H128</f>
        <v>0</v>
      </c>
      <c r="H128" s="557">
        <f>'[18]Прот.3-22'!I128+[18]Откл.Пр!I128</f>
        <v>0</v>
      </c>
      <c r="I128" s="557">
        <f>'[18]Прот.3-22'!K128+[18]Откл.Пр!K128</f>
        <v>0</v>
      </c>
      <c r="J128" s="557">
        <f>'[18]Прот.3-22'!L128+[18]Откл.Пр!L128</f>
        <v>0</v>
      </c>
      <c r="K128" s="549">
        <f t="shared" si="6"/>
        <v>0</v>
      </c>
      <c r="L128" s="557">
        <f>'[18]Прот.3-22'!N128+[18]Откл.Пр!N128</f>
        <v>0</v>
      </c>
      <c r="M128" s="557">
        <f>'[18]Прот.3-22'!O128+[18]Откл.Пр!O128</f>
        <v>0</v>
      </c>
      <c r="N128" s="557"/>
      <c r="O128" s="550">
        <v>0</v>
      </c>
      <c r="P128" s="558"/>
      <c r="Q128" s="558"/>
      <c r="R128" s="544"/>
    </row>
    <row r="129" spans="1:18" x14ac:dyDescent="0.2">
      <c r="A129" s="35">
        <v>118</v>
      </c>
      <c r="B129" s="38" t="s">
        <v>262</v>
      </c>
      <c r="C129" s="9" t="s">
        <v>263</v>
      </c>
      <c r="D129" s="553">
        <f t="shared" si="5"/>
        <v>0</v>
      </c>
      <c r="E129" s="557">
        <f>'[18]Прот.3-22'!E129+[18]Откл.Пр!E129</f>
        <v>0</v>
      </c>
      <c r="F129" s="557">
        <f>'[18]Прот.3-22'!F129+[18]Откл.Пр!F129</f>
        <v>0</v>
      </c>
      <c r="G129" s="557">
        <f>'[18]Прот.3-22'!H129+[18]Откл.Пр!H129</f>
        <v>0</v>
      </c>
      <c r="H129" s="557">
        <f>'[18]Прот.3-22'!I129+[18]Откл.Пр!I129</f>
        <v>0</v>
      </c>
      <c r="I129" s="557">
        <f>'[18]Прот.3-22'!K129+[18]Откл.Пр!K129</f>
        <v>0</v>
      </c>
      <c r="J129" s="557">
        <f>'[18]Прот.3-22'!L129+[18]Откл.Пр!L129</f>
        <v>0</v>
      </c>
      <c r="K129" s="549">
        <f t="shared" si="6"/>
        <v>0</v>
      </c>
      <c r="L129" s="557">
        <f>'[18]Прот.3-22'!N129+[18]Откл.Пр!N129</f>
        <v>0</v>
      </c>
      <c r="M129" s="557">
        <f>'[18]Прот.3-22'!O129+[18]Откл.Пр!O129</f>
        <v>0</v>
      </c>
      <c r="N129" s="557"/>
      <c r="O129" s="550">
        <v>0</v>
      </c>
      <c r="P129" s="558"/>
      <c r="Q129" s="558"/>
      <c r="R129" s="544"/>
    </row>
    <row r="130" spans="1:18" x14ac:dyDescent="0.2">
      <c r="A130" s="35">
        <v>119</v>
      </c>
      <c r="B130" s="36" t="s">
        <v>264</v>
      </c>
      <c r="C130" s="37" t="s">
        <v>265</v>
      </c>
      <c r="D130" s="553">
        <f t="shared" si="5"/>
        <v>1980</v>
      </c>
      <c r="E130" s="557">
        <f>'[18]Прот.3-22'!E130+[18]Откл.Пр!E130</f>
        <v>1980</v>
      </c>
      <c r="F130" s="557">
        <f>'[18]Прот.3-22'!F130+[18]Откл.Пр!F130</f>
        <v>0</v>
      </c>
      <c r="G130" s="557">
        <f>'[18]Прот.3-22'!H130+[18]Откл.Пр!H130</f>
        <v>0</v>
      </c>
      <c r="H130" s="559">
        <f>'[18]Прот.3-22'!I130+[18]Откл.Пр!I130</f>
        <v>0</v>
      </c>
      <c r="I130" s="559">
        <f>'[18]Прот.3-22'!K130+[18]Откл.Пр!K130</f>
        <v>0</v>
      </c>
      <c r="J130" s="559">
        <f>'[18]Прот.3-22'!L130+[18]Откл.Пр!L130</f>
        <v>0</v>
      </c>
      <c r="K130" s="549">
        <f t="shared" si="6"/>
        <v>0</v>
      </c>
      <c r="L130" s="557">
        <f>'[18]Прот.3-22'!N130+[18]Откл.Пр!N130</f>
        <v>0</v>
      </c>
      <c r="M130" s="557">
        <f>'[18]Прот.3-22'!O130+[18]Откл.Пр!O130</f>
        <v>0</v>
      </c>
      <c r="N130" s="557"/>
      <c r="O130" s="550">
        <v>0</v>
      </c>
      <c r="P130" s="558"/>
      <c r="Q130" s="558"/>
      <c r="R130" s="544"/>
    </row>
    <row r="131" spans="1:18" x14ac:dyDescent="0.2">
      <c r="A131" s="35">
        <v>120</v>
      </c>
      <c r="B131" s="38" t="s">
        <v>266</v>
      </c>
      <c r="C131" s="37" t="s">
        <v>267</v>
      </c>
      <c r="D131" s="553">
        <f t="shared" si="5"/>
        <v>0</v>
      </c>
      <c r="E131" s="557">
        <f>'[18]Прот.3-22'!E131+[18]Откл.Пр!E131</f>
        <v>0</v>
      </c>
      <c r="F131" s="557">
        <f>'[18]Прот.3-22'!F131+[18]Откл.Пр!F131</f>
        <v>0</v>
      </c>
      <c r="G131" s="557">
        <f>'[18]Прот.3-22'!H131+[18]Откл.Пр!H131</f>
        <v>0</v>
      </c>
      <c r="H131" s="559">
        <f>'[18]Прот.3-22'!I131+[18]Откл.Пр!I131</f>
        <v>0</v>
      </c>
      <c r="I131" s="559">
        <f>'[18]Прот.3-22'!K131+[18]Откл.Пр!K131</f>
        <v>0</v>
      </c>
      <c r="J131" s="559">
        <f>'[18]Прот.3-22'!L131+[18]Откл.Пр!L131</f>
        <v>0</v>
      </c>
      <c r="K131" s="549">
        <f t="shared" si="6"/>
        <v>0</v>
      </c>
      <c r="L131" s="557">
        <f>'[18]Прот.3-22'!N131+[18]Откл.Пр!N131</f>
        <v>0</v>
      </c>
      <c r="M131" s="557">
        <f>'[18]Прот.3-22'!O131+[18]Откл.Пр!O131</f>
        <v>0</v>
      </c>
      <c r="N131" s="557"/>
      <c r="O131" s="550">
        <v>0</v>
      </c>
      <c r="P131" s="558"/>
      <c r="Q131" s="558"/>
      <c r="R131" s="544"/>
    </row>
    <row r="132" spans="1:18" x14ac:dyDescent="0.2">
      <c r="A132" s="35">
        <v>121</v>
      </c>
      <c r="B132" s="12" t="s">
        <v>268</v>
      </c>
      <c r="C132" s="9" t="s">
        <v>269</v>
      </c>
      <c r="D132" s="553">
        <f t="shared" si="5"/>
        <v>8748</v>
      </c>
      <c r="E132" s="557">
        <f>'[18]Прот.3-22'!E132+[18]Откл.Пр!E132</f>
        <v>8748</v>
      </c>
      <c r="F132" s="557">
        <f>'[18]Прот.3-22'!F132+[18]Откл.Пр!F132</f>
        <v>0</v>
      </c>
      <c r="G132" s="557">
        <f>'[18]Прот.3-22'!H132+[18]Откл.Пр!H132</f>
        <v>0</v>
      </c>
      <c r="H132" s="559">
        <f>'[18]Прот.3-22'!I132+[18]Откл.Пр!I132</f>
        <v>0</v>
      </c>
      <c r="I132" s="559">
        <f>'[18]Прот.3-22'!K132+[18]Откл.Пр!K132</f>
        <v>0</v>
      </c>
      <c r="J132" s="559">
        <f>'[18]Прот.3-22'!L132+[18]Откл.Пр!L132</f>
        <v>0</v>
      </c>
      <c r="K132" s="549">
        <f t="shared" si="6"/>
        <v>0</v>
      </c>
      <c r="L132" s="557">
        <f>'[18]Прот.3-22'!N132+[18]Откл.Пр!N132</f>
        <v>0</v>
      </c>
      <c r="M132" s="557">
        <f>'[18]Прот.3-22'!O132+[18]Откл.Пр!O132</f>
        <v>0</v>
      </c>
      <c r="N132" s="557"/>
      <c r="O132" s="550">
        <v>0</v>
      </c>
      <c r="P132" s="558"/>
      <c r="Q132" s="558"/>
      <c r="R132" s="544"/>
    </row>
    <row r="133" spans="1:18" x14ac:dyDescent="0.2">
      <c r="A133" s="35">
        <v>122</v>
      </c>
      <c r="B133" s="12" t="s">
        <v>270</v>
      </c>
      <c r="C133" s="9" t="s">
        <v>271</v>
      </c>
      <c r="D133" s="553">
        <f t="shared" si="5"/>
        <v>0</v>
      </c>
      <c r="E133" s="557">
        <f>'[18]Прот.3-22'!E133+[18]Откл.Пр!E133</f>
        <v>0</v>
      </c>
      <c r="F133" s="557">
        <f>'[18]Прот.3-22'!F133+[18]Откл.Пр!F133</f>
        <v>0</v>
      </c>
      <c r="G133" s="557">
        <f>'[18]Прот.3-22'!H133+[18]Откл.Пр!H133</f>
        <v>0</v>
      </c>
      <c r="H133" s="559">
        <f>'[18]Прот.3-22'!I133+[18]Откл.Пр!I133</f>
        <v>0</v>
      </c>
      <c r="I133" s="559">
        <f>'[18]Прот.3-22'!K133+[18]Откл.Пр!K133</f>
        <v>0</v>
      </c>
      <c r="J133" s="559">
        <f>'[18]Прот.3-22'!L133+[18]Откл.Пр!L133</f>
        <v>0</v>
      </c>
      <c r="K133" s="549">
        <f t="shared" si="6"/>
        <v>0</v>
      </c>
      <c r="L133" s="557">
        <f>'[18]Прот.3-22'!N133+[18]Откл.Пр!N133</f>
        <v>0</v>
      </c>
      <c r="M133" s="557">
        <f>'[18]Прот.3-22'!O133+[18]Откл.Пр!O133</f>
        <v>0</v>
      </c>
      <c r="N133" s="557"/>
      <c r="O133" s="550">
        <v>0</v>
      </c>
      <c r="P133" s="558"/>
      <c r="Q133" s="558"/>
      <c r="R133" s="544"/>
    </row>
    <row r="134" spans="1:18" x14ac:dyDescent="0.2">
      <c r="A134" s="35">
        <v>123</v>
      </c>
      <c r="B134" s="12" t="s">
        <v>272</v>
      </c>
      <c r="C134" s="9" t="s">
        <v>273</v>
      </c>
      <c r="D134" s="553">
        <f t="shared" si="5"/>
        <v>223900</v>
      </c>
      <c r="E134" s="557">
        <f>'[18]Прот.3-22'!E134+[18]Откл.Пр!E134</f>
        <v>0</v>
      </c>
      <c r="F134" s="557">
        <f>'[18]Прот.3-22'!F134+[18]Откл.Пр!F134</f>
        <v>0</v>
      </c>
      <c r="G134" s="557">
        <f>'[18]Прот.3-22'!H134+[18]Откл.Пр!H134</f>
        <v>0</v>
      </c>
      <c r="H134" s="559">
        <f>'[18]Прот.3-22'!I134+[18]Откл.Пр!I134</f>
        <v>0</v>
      </c>
      <c r="I134" s="559">
        <f>'[18]Прот.3-22'!K134+[18]Откл.Пр!K134</f>
        <v>0</v>
      </c>
      <c r="J134" s="559">
        <f>'[18]Прот.3-22'!L134+[18]Откл.Пр!L134</f>
        <v>0</v>
      </c>
      <c r="K134" s="549">
        <f t="shared" si="6"/>
        <v>223900</v>
      </c>
      <c r="L134" s="557">
        <f>'[18]Прот.3-22'!N134+[18]Откл.Пр!N134</f>
        <v>11035</v>
      </c>
      <c r="M134" s="557">
        <f>'[18]Прот.3-22'!O134+[18]Откл.Пр!O134-4250</f>
        <v>212865</v>
      </c>
      <c r="N134" s="557"/>
      <c r="O134" s="550">
        <v>0</v>
      </c>
      <c r="P134" s="558"/>
      <c r="Q134" s="558"/>
      <c r="R134" s="544"/>
    </row>
    <row r="135" spans="1:18" x14ac:dyDescent="0.2">
      <c r="A135" s="35">
        <v>124</v>
      </c>
      <c r="B135" s="12" t="s">
        <v>161</v>
      </c>
      <c r="C135" s="9" t="s">
        <v>274</v>
      </c>
      <c r="D135" s="553">
        <f t="shared" si="5"/>
        <v>130407</v>
      </c>
      <c r="E135" s="557">
        <f>'[18]Прот.3-22'!E135+[18]Откл.Пр!E135</f>
        <v>0</v>
      </c>
      <c r="F135" s="557">
        <f>'[18]Прот.3-22'!F135+[18]Откл.Пр!F135</f>
        <v>0</v>
      </c>
      <c r="G135" s="557">
        <f>'[18]Прот.3-22'!H135+[18]Откл.Пр!H135</f>
        <v>0</v>
      </c>
      <c r="H135" s="559">
        <f>'[18]Прот.3-22'!I135+[18]Откл.Пр!I135</f>
        <v>0</v>
      </c>
      <c r="I135" s="559">
        <f>'[18]Прот.3-22'!K135+[18]Откл.Пр!K135</f>
        <v>0</v>
      </c>
      <c r="J135" s="559">
        <f>'[18]Прот.3-22'!L135+[18]Откл.Пр!L135</f>
        <v>0</v>
      </c>
      <c r="K135" s="549">
        <f t="shared" si="6"/>
        <v>130407</v>
      </c>
      <c r="L135" s="557">
        <f>'[18]Прот.3-22'!N135+[18]Откл.Пр!N135</f>
        <v>0</v>
      </c>
      <c r="M135" s="557">
        <f>'[18]Прот.3-22'!O135+[18]Откл.Пр!O135+407</f>
        <v>130407</v>
      </c>
      <c r="N135" s="557"/>
      <c r="O135" s="550">
        <v>0</v>
      </c>
      <c r="P135" s="558"/>
      <c r="Q135" s="558"/>
      <c r="R135" s="544"/>
    </row>
    <row r="136" spans="1:18" x14ac:dyDescent="0.2">
      <c r="A136" s="35">
        <v>125</v>
      </c>
      <c r="B136" s="12" t="s">
        <v>275</v>
      </c>
      <c r="C136" s="9" t="s">
        <v>276</v>
      </c>
      <c r="D136" s="553">
        <f t="shared" si="5"/>
        <v>85000</v>
      </c>
      <c r="E136" s="557">
        <f>'[18]Прот.3-22'!E136+[18]Откл.Пр!E136</f>
        <v>0</v>
      </c>
      <c r="F136" s="557">
        <f>'[18]Прот.3-22'!F136+[18]Откл.Пр!F136</f>
        <v>0</v>
      </c>
      <c r="G136" s="557">
        <f>'[18]Прот.3-22'!H136+[18]Откл.Пр!H136</f>
        <v>0</v>
      </c>
      <c r="H136" s="559">
        <f>'[18]Прот.3-22'!I136+[18]Откл.Пр!I136</f>
        <v>0</v>
      </c>
      <c r="I136" s="559">
        <f>'[18]Прот.3-22'!K136+[18]Откл.Пр!K136</f>
        <v>0</v>
      </c>
      <c r="J136" s="559">
        <f>'[18]Прот.3-22'!L136+[18]Откл.Пр!L136</f>
        <v>0</v>
      </c>
      <c r="K136" s="549">
        <f t="shared" si="6"/>
        <v>85000</v>
      </c>
      <c r="L136" s="557">
        <f>'[18]Прот.3-22'!N136+[18]Откл.Пр!N136</f>
        <v>0</v>
      </c>
      <c r="M136" s="557">
        <f>'[18]Прот.3-22'!O136+[18]Откл.Пр!O136</f>
        <v>85000</v>
      </c>
      <c r="N136" s="557">
        <v>520</v>
      </c>
      <c r="O136" s="550">
        <v>0</v>
      </c>
      <c r="P136" s="558"/>
      <c r="Q136" s="558"/>
      <c r="R136" s="544"/>
    </row>
    <row r="137" spans="1:18" x14ac:dyDescent="0.2">
      <c r="A137" s="35">
        <v>126</v>
      </c>
      <c r="B137" s="36" t="s">
        <v>277</v>
      </c>
      <c r="C137" s="37" t="s">
        <v>2</v>
      </c>
      <c r="D137" s="553">
        <f t="shared" si="5"/>
        <v>114040</v>
      </c>
      <c r="E137" s="557">
        <f>'[18]Прот.3-22'!E137+[18]Откл.Пр!E137</f>
        <v>0</v>
      </c>
      <c r="F137" s="557">
        <f>'[18]Прот.3-22'!F137+[18]Откл.Пр!F137</f>
        <v>0</v>
      </c>
      <c r="G137" s="557">
        <f>'[18]Прот.3-22'!H137+[18]Откл.Пр!H137</f>
        <v>0</v>
      </c>
      <c r="H137" s="559">
        <f>'[18]Прот.3-22'!I137+[18]Откл.Пр!I137</f>
        <v>0</v>
      </c>
      <c r="I137" s="559">
        <f>'[18]Прот.3-22'!K137+[18]Откл.Пр!K137</f>
        <v>0</v>
      </c>
      <c r="J137" s="559">
        <f>'[18]Прот.3-22'!L137+[18]Откл.Пр!L137</f>
        <v>0</v>
      </c>
      <c r="K137" s="549">
        <f t="shared" si="6"/>
        <v>114040</v>
      </c>
      <c r="L137" s="557">
        <f>'[18]Прот.3-22'!N137+[18]Откл.Пр!N137</f>
        <v>0</v>
      </c>
      <c r="M137" s="557">
        <f>'[18]Прот.3-22'!O137+[18]Откл.Пр!O137</f>
        <v>114040</v>
      </c>
      <c r="N137" s="557"/>
      <c r="O137" s="550">
        <v>0</v>
      </c>
      <c r="P137" s="558"/>
      <c r="Q137" s="558"/>
      <c r="R137" s="544"/>
    </row>
    <row r="138" spans="1:18" x14ac:dyDescent="0.2">
      <c r="A138" s="35">
        <v>127</v>
      </c>
      <c r="B138" s="12" t="s">
        <v>278</v>
      </c>
      <c r="C138" s="9" t="s">
        <v>279</v>
      </c>
      <c r="D138" s="553">
        <f t="shared" si="5"/>
        <v>8000</v>
      </c>
      <c r="E138" s="557">
        <f>'[18]Прот.3-22'!E138+[18]Откл.Пр!E138</f>
        <v>0</v>
      </c>
      <c r="F138" s="557">
        <f>'[18]Прот.3-22'!F138+[18]Откл.Пр!F138</f>
        <v>0</v>
      </c>
      <c r="G138" s="557">
        <f>'[18]Прот.3-22'!H138+[18]Откл.Пр!H138</f>
        <v>0</v>
      </c>
      <c r="H138" s="559">
        <f>'[18]Прот.3-22'!I138+[18]Откл.Пр!I138</f>
        <v>0</v>
      </c>
      <c r="I138" s="559">
        <f>'[18]Прот.3-22'!K138+[18]Откл.Пр!K138</f>
        <v>0</v>
      </c>
      <c r="J138" s="559">
        <f>'[18]Прот.3-22'!L138+[18]Откл.Пр!L138</f>
        <v>0</v>
      </c>
      <c r="K138" s="549">
        <f t="shared" si="6"/>
        <v>8000</v>
      </c>
      <c r="L138" s="557">
        <f>'[18]Прот.3-22'!N138+[18]Откл.Пр!N138</f>
        <v>0</v>
      </c>
      <c r="M138" s="557">
        <f>'[18]Прот.3-22'!O138+[18]Откл.Пр!O138</f>
        <v>8000</v>
      </c>
      <c r="N138" s="557"/>
      <c r="O138" s="550">
        <v>0</v>
      </c>
      <c r="P138" s="558"/>
      <c r="Q138" s="558"/>
      <c r="R138" s="544"/>
    </row>
    <row r="139" spans="1:18" x14ac:dyDescent="0.2">
      <c r="A139" s="35">
        <v>128</v>
      </c>
      <c r="B139" s="36" t="s">
        <v>280</v>
      </c>
      <c r="C139" s="9" t="s">
        <v>64</v>
      </c>
      <c r="D139" s="553">
        <f t="shared" si="5"/>
        <v>74942</v>
      </c>
      <c r="E139" s="557">
        <f>'[18]Прот.3-22'!E139+[18]Откл.Пр!E139</f>
        <v>9586</v>
      </c>
      <c r="F139" s="557">
        <f>'[18]Прот.3-22'!F139+[18]Откл.Пр!F139</f>
        <v>0</v>
      </c>
      <c r="G139" s="557">
        <f>'[18]Прот.3-22'!H139+[18]Откл.Пр!H139</f>
        <v>0</v>
      </c>
      <c r="H139" s="559">
        <f>'[18]Прот.3-22'!I139+[18]Откл.Пр!I139</f>
        <v>0</v>
      </c>
      <c r="I139" s="559">
        <f>'[18]Прот.3-22'!K139+[18]Откл.Пр!K139</f>
        <v>0</v>
      </c>
      <c r="J139" s="559">
        <f>'[18]Прот.3-22'!L139+[18]Откл.Пр!L139</f>
        <v>0</v>
      </c>
      <c r="K139" s="549">
        <f t="shared" si="6"/>
        <v>65356</v>
      </c>
      <c r="L139" s="557">
        <f>'[18]Прот.3-22'!N139+[18]Откл.Пр!N139</f>
        <v>0</v>
      </c>
      <c r="M139" s="557">
        <f>'[18]Прот.3-22'!O139+[18]Откл.Пр!O139</f>
        <v>65356</v>
      </c>
      <c r="N139" s="557"/>
      <c r="O139" s="550">
        <v>0</v>
      </c>
      <c r="P139" s="558"/>
      <c r="Q139" s="558"/>
      <c r="R139" s="544"/>
    </row>
    <row r="140" spans="1:18" x14ac:dyDescent="0.2">
      <c r="A140" s="35">
        <v>129</v>
      </c>
      <c r="B140" s="39" t="s">
        <v>281</v>
      </c>
      <c r="C140" s="40" t="s">
        <v>22</v>
      </c>
      <c r="D140" s="553">
        <f t="shared" ref="D140:D148" si="7">E140+G140+H140+I140+J140+K140+O140+P140+Q140</f>
        <v>26000</v>
      </c>
      <c r="E140" s="557">
        <f>'[18]Прот.3-22'!E140+[18]Откл.Пр!E140</f>
        <v>22000</v>
      </c>
      <c r="F140" s="557">
        <f>'[18]Прот.3-22'!F140+[18]Откл.Пр!F140</f>
        <v>0</v>
      </c>
      <c r="G140" s="557">
        <f>'[18]Прот.3-22'!H140+[18]Откл.Пр!H140</f>
        <v>0</v>
      </c>
      <c r="H140" s="559">
        <f>'[18]Прот.3-22'!I140+[18]Откл.Пр!I140</f>
        <v>0</v>
      </c>
      <c r="I140" s="559">
        <f>'[18]Прот.3-22'!K140+[18]Откл.Пр!K140</f>
        <v>0</v>
      </c>
      <c r="J140" s="559">
        <f>'[18]Прот.3-22'!L140+[18]Откл.Пр!L140</f>
        <v>0</v>
      </c>
      <c r="K140" s="549">
        <f t="shared" si="6"/>
        <v>4000</v>
      </c>
      <c r="L140" s="557">
        <f>'[18]Прот.3-22'!N140+[18]Откл.Пр!N140</f>
        <v>0</v>
      </c>
      <c r="M140" s="557">
        <f>'[18]Прот.3-22'!O140+[18]Откл.Пр!O140</f>
        <v>4000</v>
      </c>
      <c r="N140" s="557"/>
      <c r="O140" s="550">
        <v>0</v>
      </c>
      <c r="P140" s="558"/>
      <c r="Q140" s="558"/>
      <c r="R140" s="544"/>
    </row>
    <row r="141" spans="1:18" x14ac:dyDescent="0.2">
      <c r="A141" s="35">
        <v>130</v>
      </c>
      <c r="B141" s="12" t="s">
        <v>282</v>
      </c>
      <c r="C141" s="9" t="s">
        <v>283</v>
      </c>
      <c r="D141" s="553">
        <f t="shared" si="7"/>
        <v>78000</v>
      </c>
      <c r="E141" s="557">
        <f>'[18]Прот.3-22'!E141+[18]Откл.Пр!E141</f>
        <v>0</v>
      </c>
      <c r="F141" s="557">
        <f>'[18]Прот.3-22'!F141+[18]Откл.Пр!F141</f>
        <v>0</v>
      </c>
      <c r="G141" s="557">
        <f>'[18]Прот.3-22'!H141+[18]Откл.Пр!H141</f>
        <v>0</v>
      </c>
      <c r="H141" s="559">
        <f>'[18]Прот.3-22'!I141+[18]Откл.Пр!I141</f>
        <v>0</v>
      </c>
      <c r="I141" s="559">
        <f>'[18]Прот.3-22'!K141+[18]Откл.Пр!K141</f>
        <v>0</v>
      </c>
      <c r="J141" s="559">
        <f>'[18]Прот.3-22'!L141+[18]Откл.Пр!L141</f>
        <v>0</v>
      </c>
      <c r="K141" s="549">
        <f t="shared" si="6"/>
        <v>78000</v>
      </c>
      <c r="L141" s="557">
        <f>'[18]Прот.3-22'!N141+[18]Откл.Пр!N141</f>
        <v>0</v>
      </c>
      <c r="M141" s="557">
        <f>'[18]Прот.3-22'!O141+[18]Откл.Пр!O141</f>
        <v>78000</v>
      </c>
      <c r="N141" s="557"/>
      <c r="O141" s="550">
        <v>0</v>
      </c>
      <c r="P141" s="558"/>
      <c r="Q141" s="558"/>
      <c r="R141" s="544"/>
    </row>
    <row r="142" spans="1:18" x14ac:dyDescent="0.2">
      <c r="A142" s="35">
        <v>131</v>
      </c>
      <c r="B142" s="12" t="s">
        <v>284</v>
      </c>
      <c r="C142" s="9" t="s">
        <v>67</v>
      </c>
      <c r="D142" s="553">
        <f t="shared" si="7"/>
        <v>182</v>
      </c>
      <c r="E142" s="557">
        <f>'[18]Прот.3-22'!E142+[18]Откл.Пр!E142</f>
        <v>0</v>
      </c>
      <c r="F142" s="557">
        <f>'[18]Прот.3-22'!F142+[18]Откл.Пр!F142</f>
        <v>0</v>
      </c>
      <c r="G142" s="557">
        <f>'[18]Прот.3-22'!H142+[18]Откл.Пр!H142</f>
        <v>0</v>
      </c>
      <c r="H142" s="559">
        <f>'[18]Прот.3-22'!I142+[18]Откл.Пр!I142</f>
        <v>0</v>
      </c>
      <c r="I142" s="559">
        <f>'[18]Прот.3-22'!K142+[18]Откл.Пр!K142</f>
        <v>0</v>
      </c>
      <c r="J142" s="559">
        <f>'[18]Прот.3-22'!L142+[18]Откл.Пр!L142</f>
        <v>0</v>
      </c>
      <c r="K142" s="549">
        <f t="shared" ref="K142:K148" si="8">L142+M142</f>
        <v>182</v>
      </c>
      <c r="L142" s="557">
        <f>'[18]Прот.3-22'!N142+[18]Откл.Пр!N142</f>
        <v>0</v>
      </c>
      <c r="M142" s="557">
        <f>'[18]Прот.3-22'!O142+[18]Откл.Пр!O142</f>
        <v>182</v>
      </c>
      <c r="N142" s="557"/>
      <c r="O142" s="550">
        <v>0</v>
      </c>
      <c r="P142" s="558"/>
      <c r="Q142" s="558"/>
      <c r="R142" s="544"/>
    </row>
    <row r="143" spans="1:18" x14ac:dyDescent="0.2">
      <c r="A143" s="35">
        <v>132</v>
      </c>
      <c r="B143" s="12" t="s">
        <v>285</v>
      </c>
      <c r="C143" s="9" t="s">
        <v>286</v>
      </c>
      <c r="D143" s="553">
        <f t="shared" si="7"/>
        <v>57392</v>
      </c>
      <c r="E143" s="557">
        <f>'[18]Прот.3-22'!E143+[18]Откл.Пр!E143</f>
        <v>0</v>
      </c>
      <c r="F143" s="557">
        <f>'[18]Прот.3-22'!F143+[18]Откл.Пр!F143</f>
        <v>0</v>
      </c>
      <c r="G143" s="557">
        <f>'[18]Прот.3-22'!H143+[18]Откл.Пр!H143</f>
        <v>0</v>
      </c>
      <c r="H143" s="559">
        <f>'[18]Прот.3-22'!I143+[18]Откл.Пр!I143</f>
        <v>0</v>
      </c>
      <c r="I143" s="559">
        <f>'[18]Прот.3-22'!K143+[18]Откл.Пр!K143</f>
        <v>3075</v>
      </c>
      <c r="J143" s="559">
        <f>'[18]Прот.3-22'!L143+[18]Откл.Пр!L143</f>
        <v>1317</v>
      </c>
      <c r="K143" s="549">
        <f t="shared" si="8"/>
        <v>53000</v>
      </c>
      <c r="L143" s="557">
        <f>'[18]Прот.3-22'!N143+[18]Откл.Пр!N143</f>
        <v>0</v>
      </c>
      <c r="M143" s="557">
        <f>'[18]Прот.3-22'!O143+[18]Откл.Пр!O143</f>
        <v>53000</v>
      </c>
      <c r="N143" s="557"/>
      <c r="O143" s="550">
        <v>0</v>
      </c>
      <c r="P143" s="558"/>
      <c r="Q143" s="558"/>
      <c r="R143" s="544"/>
    </row>
    <row r="144" spans="1:18" x14ac:dyDescent="0.2">
      <c r="A144" s="35">
        <v>133</v>
      </c>
      <c r="B144" s="39" t="s">
        <v>159</v>
      </c>
      <c r="C144" s="40" t="s">
        <v>160</v>
      </c>
      <c r="D144" s="553">
        <f t="shared" si="7"/>
        <v>25991</v>
      </c>
      <c r="E144" s="557">
        <f>'[18]Прот.3-22'!E144+[18]Откл.Пр!E144</f>
        <v>0</v>
      </c>
      <c r="F144" s="557">
        <f>'[18]Прот.3-22'!F144+[18]Откл.Пр!F144</f>
        <v>0</v>
      </c>
      <c r="G144" s="557">
        <f>'[18]Прот.3-22'!H144+[18]Откл.Пр!H144</f>
        <v>6667</v>
      </c>
      <c r="H144" s="559">
        <f>'[18]Прот.3-22'!I144+[18]Откл.Пр!I144</f>
        <v>17709</v>
      </c>
      <c r="I144" s="559">
        <f>'[18]Прот.3-22'!K144+[18]Откл.Пр!K144</f>
        <v>0</v>
      </c>
      <c r="J144" s="559">
        <f>'[18]Прот.3-22'!L144+[18]Откл.Пр!L144</f>
        <v>0</v>
      </c>
      <c r="K144" s="549">
        <f t="shared" si="8"/>
        <v>1615</v>
      </c>
      <c r="L144" s="557">
        <f>'[18]Прот.3-22'!N144+[18]Откл.Пр!N144</f>
        <v>0</v>
      </c>
      <c r="M144" s="557">
        <f>'[18]Прот.3-22'!O144+[18]Откл.Пр!O144</f>
        <v>1615</v>
      </c>
      <c r="N144" s="557"/>
      <c r="O144" s="550">
        <v>0</v>
      </c>
      <c r="P144" s="558"/>
      <c r="Q144" s="558"/>
      <c r="R144" s="544"/>
    </row>
    <row r="145" spans="1:18" x14ac:dyDescent="0.2">
      <c r="A145" s="35">
        <v>134</v>
      </c>
      <c r="B145" s="38" t="s">
        <v>113</v>
      </c>
      <c r="C145" s="40" t="s">
        <v>114</v>
      </c>
      <c r="D145" s="553">
        <f t="shared" si="7"/>
        <v>45255</v>
      </c>
      <c r="E145" s="557">
        <f>'[18]Прот.3-22'!E145+[18]Откл.Пр!E145</f>
        <v>0</v>
      </c>
      <c r="F145" s="557">
        <f>'[18]Прот.3-22'!F145+[18]Откл.Пр!F145</f>
        <v>0</v>
      </c>
      <c r="G145" s="557">
        <f>'[18]Прот.3-22'!H145+[18]Откл.Пр!H145</f>
        <v>10000</v>
      </c>
      <c r="H145" s="559">
        <f>'[18]Прот.3-22'!I145+[18]Откл.Пр!I145+3000</f>
        <v>28000</v>
      </c>
      <c r="I145" s="559">
        <f>'[18]Прот.3-22'!K145+[18]Откл.Пр!K145</f>
        <v>0</v>
      </c>
      <c r="J145" s="559">
        <f>'[18]Прот.3-22'!L145+[18]Откл.Пр!L145</f>
        <v>0</v>
      </c>
      <c r="K145" s="549">
        <f t="shared" si="8"/>
        <v>5655</v>
      </c>
      <c r="L145" s="557">
        <f>'[18]Прот.3-22'!N145+[18]Откл.Пр!N145</f>
        <v>0</v>
      </c>
      <c r="M145" s="557">
        <f>'[18]Прот.3-22'!O145+[18]Откл.Пр!O145</f>
        <v>5655</v>
      </c>
      <c r="N145" s="557"/>
      <c r="O145" s="550">
        <v>0</v>
      </c>
      <c r="P145" s="558">
        <v>0</v>
      </c>
      <c r="Q145" s="558">
        <v>1600</v>
      </c>
      <c r="R145" s="544"/>
    </row>
    <row r="146" spans="1:18" x14ac:dyDescent="0.2">
      <c r="A146" s="35">
        <v>135</v>
      </c>
      <c r="B146" s="12" t="s">
        <v>287</v>
      </c>
      <c r="C146" s="9" t="s">
        <v>288</v>
      </c>
      <c r="D146" s="553">
        <f t="shared" si="7"/>
        <v>17901</v>
      </c>
      <c r="E146" s="557">
        <f>'[18]Прот.3-22'!E146+[18]Откл.Пр!E146</f>
        <v>0</v>
      </c>
      <c r="F146" s="557">
        <f>'[18]Прот.3-22'!F146+[18]Откл.Пр!F146</f>
        <v>0</v>
      </c>
      <c r="G146" s="557">
        <f>'[18]Прот.3-22'!H146+[18]Откл.Пр!H146</f>
        <v>0</v>
      </c>
      <c r="H146" s="559">
        <f>'[18]Прот.3-22'!I146+[18]Откл.Пр!I146</f>
        <v>0</v>
      </c>
      <c r="I146" s="559">
        <f>'[18]Прот.3-22'!K146+[18]Откл.Пр!K146</f>
        <v>0</v>
      </c>
      <c r="J146" s="559">
        <f>'[18]Прот.3-22'!L146+[18]Откл.Пр!L146</f>
        <v>0</v>
      </c>
      <c r="K146" s="549">
        <f t="shared" si="8"/>
        <v>17901</v>
      </c>
      <c r="L146" s="557">
        <f>'[18]Прот.3-22'!N146+[18]Откл.Пр!N146</f>
        <v>0</v>
      </c>
      <c r="M146" s="557">
        <f>'[18]Прот.3-22'!O146+[18]Откл.Пр!O146</f>
        <v>17901</v>
      </c>
      <c r="N146" s="557"/>
      <c r="O146" s="550">
        <v>0</v>
      </c>
      <c r="P146" s="558">
        <v>0</v>
      </c>
      <c r="Q146" s="558">
        <v>0</v>
      </c>
      <c r="R146" s="544"/>
    </row>
    <row r="147" spans="1:18" x14ac:dyDescent="0.2">
      <c r="A147" s="35">
        <v>136</v>
      </c>
      <c r="B147" s="36" t="s">
        <v>289</v>
      </c>
      <c r="C147" s="37" t="s">
        <v>68</v>
      </c>
      <c r="D147" s="553">
        <f t="shared" si="7"/>
        <v>14805</v>
      </c>
      <c r="E147" s="557">
        <f>'[18]Прот.3-22'!E147+[18]Откл.Пр!E147</f>
        <v>0</v>
      </c>
      <c r="F147" s="557">
        <f>'[18]Прот.3-22'!F147+[18]Откл.Пр!F147</f>
        <v>0</v>
      </c>
      <c r="G147" s="557">
        <f>'[18]Прот.3-22'!H147+[18]Откл.Пр!H147</f>
        <v>0</v>
      </c>
      <c r="H147" s="559">
        <f>'[18]Прот.3-22'!I147+[18]Откл.Пр!I147</f>
        <v>0</v>
      </c>
      <c r="I147" s="559">
        <f>'[18]Прот.3-22'!K147+[18]Откл.Пр!K147</f>
        <v>0</v>
      </c>
      <c r="J147" s="559">
        <f>'[18]Прот.3-22'!L147+[18]Откл.Пр!L147</f>
        <v>0</v>
      </c>
      <c r="K147" s="549">
        <f t="shared" si="8"/>
        <v>14805</v>
      </c>
      <c r="L147" s="557">
        <f>'[18]Прот.3-22'!N147+[18]Откл.Пр!N147</f>
        <v>0</v>
      </c>
      <c r="M147" s="557">
        <f>'[18]Прот.3-22'!O147+[18]Откл.Пр!O147+3000</f>
        <v>14805</v>
      </c>
      <c r="N147" s="557"/>
      <c r="O147" s="550">
        <v>0</v>
      </c>
      <c r="P147" s="558">
        <v>0</v>
      </c>
      <c r="Q147" s="558">
        <v>0</v>
      </c>
      <c r="R147" s="544"/>
    </row>
    <row r="148" spans="1:18" ht="12.75" x14ac:dyDescent="0.2">
      <c r="A148" s="35">
        <v>137</v>
      </c>
      <c r="B148" s="45" t="s">
        <v>290</v>
      </c>
      <c r="C148" s="46" t="s">
        <v>291</v>
      </c>
      <c r="D148" s="553">
        <f t="shared" si="7"/>
        <v>0</v>
      </c>
      <c r="E148" s="557">
        <f>'[18]Прот.3-22'!E148+[18]Откл.Пр!E148</f>
        <v>0</v>
      </c>
      <c r="F148" s="557">
        <f>'[18]Прот.3-22'!F148+[18]Откл.Пр!F148</f>
        <v>0</v>
      </c>
      <c r="G148" s="557">
        <f>'[18]Прот.3-22'!H148+[18]Откл.Пр!H148</f>
        <v>0</v>
      </c>
      <c r="H148" s="559">
        <f>'[18]Прот.3-22'!I148+[18]Откл.Пр!I148</f>
        <v>0</v>
      </c>
      <c r="I148" s="559">
        <f>'[18]Прот.3-22'!K148+[18]Откл.Пр!K148</f>
        <v>0</v>
      </c>
      <c r="J148" s="559">
        <f>'[18]Прот.3-22'!L148+[18]Откл.Пр!L148</f>
        <v>0</v>
      </c>
      <c r="K148" s="549">
        <f t="shared" si="8"/>
        <v>0</v>
      </c>
      <c r="L148" s="557">
        <f>'[18]Прот.3-22'!N148+[18]Откл.Пр!N148</f>
        <v>0</v>
      </c>
      <c r="M148" s="557">
        <f>'[18]Прот.3-22'!O148+[18]Откл.Пр!O148</f>
        <v>0</v>
      </c>
      <c r="N148" s="557"/>
      <c r="O148" s="550">
        <v>0</v>
      </c>
      <c r="P148" s="558">
        <v>0</v>
      </c>
      <c r="Q148" s="558">
        <v>0</v>
      </c>
      <c r="R148" s="544"/>
    </row>
    <row r="150" spans="1:18" x14ac:dyDescent="0.2">
      <c r="E150" s="544"/>
      <c r="F150" s="544"/>
      <c r="G150" s="544"/>
      <c r="I150" s="544"/>
      <c r="J150" s="544"/>
    </row>
    <row r="151" spans="1:18" x14ac:dyDescent="0.2">
      <c r="E151" s="544"/>
      <c r="F151" s="544"/>
      <c r="G151" s="544"/>
    </row>
    <row r="153" spans="1:18" x14ac:dyDescent="0.2"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</row>
    <row r="155" spans="1:18" x14ac:dyDescent="0.2">
      <c r="D155" s="544"/>
      <c r="E155" s="544"/>
      <c r="F155" s="544"/>
      <c r="G155" s="544"/>
      <c r="H155" s="544"/>
      <c r="I155" s="544"/>
      <c r="J155" s="544"/>
      <c r="K155" s="544"/>
      <c r="L155" s="544"/>
      <c r="M155" s="544"/>
      <c r="N155" s="544"/>
      <c r="O155" s="544"/>
      <c r="P155" s="544"/>
      <c r="Q155" s="544"/>
    </row>
    <row r="160" spans="1:18" x14ac:dyDescent="0.2">
      <c r="D160" s="544"/>
    </row>
  </sheetData>
  <mergeCells count="29">
    <mergeCell ref="N5:N6"/>
    <mergeCell ref="A8:C8"/>
    <mergeCell ref="A9:C9"/>
    <mergeCell ref="L5:L6"/>
    <mergeCell ref="A10:C10"/>
    <mergeCell ref="A92:A93"/>
    <mergeCell ref="B92:B93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58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52"/>
  <sheetViews>
    <sheetView zoomScaleNormal="100" workbookViewId="0">
      <pane xSplit="3" ySplit="10" topLeftCell="F11" activePane="bottomRight" state="frozen"/>
      <selection pane="topRight" activeCell="D1" sqref="D1"/>
      <selection pane="bottomLeft" activeCell="A10" sqref="A10"/>
      <selection pane="bottomRight" activeCell="M4" sqref="M4"/>
    </sheetView>
  </sheetViews>
  <sheetFormatPr defaultRowHeight="12" x14ac:dyDescent="0.2"/>
  <cols>
    <col min="1" max="1" width="5" style="577" customWidth="1"/>
    <col min="2" max="2" width="8.42578125" style="577" customWidth="1"/>
    <col min="3" max="3" width="36.7109375" style="577" customWidth="1"/>
    <col min="4" max="4" width="9.5703125" style="577" customWidth="1"/>
    <col min="5" max="5" width="12.42578125" style="577" customWidth="1"/>
    <col min="6" max="6" width="12.5703125" style="577" customWidth="1"/>
    <col min="7" max="7" width="12.140625" style="577" customWidth="1"/>
    <col min="8" max="8" width="13.42578125" style="577" customWidth="1"/>
    <col min="9" max="9" width="12.42578125" style="577" customWidth="1"/>
    <col min="10" max="10" width="13.140625" style="577" customWidth="1"/>
    <col min="11" max="11" width="14.85546875" style="577" customWidth="1"/>
    <col min="12" max="13" width="9.140625" style="577"/>
    <col min="14" max="14" width="10" style="577" bestFit="1" customWidth="1"/>
    <col min="15" max="16384" width="9.140625" style="577"/>
  </cols>
  <sheetData>
    <row r="1" spans="1:14" ht="41.25" customHeight="1" x14ac:dyDescent="0.2">
      <c r="A1" s="943" t="s">
        <v>322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576"/>
      <c r="M1" s="576"/>
    </row>
    <row r="2" spans="1:14" ht="21.75" customHeight="1" x14ac:dyDescent="0.2">
      <c r="A2" s="944" t="s">
        <v>0</v>
      </c>
      <c r="B2" s="945" t="s">
        <v>106</v>
      </c>
      <c r="C2" s="944" t="s">
        <v>107</v>
      </c>
      <c r="D2" s="944" t="s">
        <v>323</v>
      </c>
      <c r="E2" s="944"/>
      <c r="F2" s="944"/>
      <c r="G2" s="944"/>
      <c r="H2" s="944"/>
      <c r="I2" s="944"/>
      <c r="J2" s="944"/>
      <c r="K2" s="944"/>
      <c r="L2" s="578"/>
      <c r="M2" s="578"/>
    </row>
    <row r="3" spans="1:14" ht="21.75" customHeight="1" x14ac:dyDescent="0.2">
      <c r="A3" s="944"/>
      <c r="B3" s="946"/>
      <c r="C3" s="944"/>
      <c r="D3" s="947" t="s">
        <v>163</v>
      </c>
      <c r="E3" s="950" t="s">
        <v>164</v>
      </c>
      <c r="F3" s="951"/>
      <c r="G3" s="951"/>
      <c r="H3" s="951"/>
      <c r="I3" s="951"/>
      <c r="J3" s="951"/>
      <c r="K3" s="952"/>
      <c r="L3" s="578"/>
      <c r="M3" s="578"/>
    </row>
    <row r="4" spans="1:14" ht="34.5" customHeight="1" x14ac:dyDescent="0.2">
      <c r="A4" s="944"/>
      <c r="B4" s="946"/>
      <c r="C4" s="944"/>
      <c r="D4" s="948"/>
      <c r="E4" s="935" t="s">
        <v>324</v>
      </c>
      <c r="F4" s="935"/>
      <c r="G4" s="935"/>
      <c r="H4" s="953" t="s">
        <v>312</v>
      </c>
      <c r="I4" s="953"/>
      <c r="J4" s="953"/>
      <c r="K4" s="953" t="s">
        <v>325</v>
      </c>
    </row>
    <row r="5" spans="1:14" ht="27" customHeight="1" x14ac:dyDescent="0.2">
      <c r="A5" s="944"/>
      <c r="B5" s="946"/>
      <c r="C5" s="944"/>
      <c r="D5" s="948"/>
      <c r="E5" s="954" t="s">
        <v>308</v>
      </c>
      <c r="F5" s="939" t="s">
        <v>309</v>
      </c>
      <c r="G5" s="940"/>
      <c r="H5" s="935" t="s">
        <v>308</v>
      </c>
      <c r="I5" s="941" t="s">
        <v>309</v>
      </c>
      <c r="J5" s="942"/>
      <c r="K5" s="935"/>
    </row>
    <row r="6" spans="1:14" ht="49.5" customHeight="1" x14ac:dyDescent="0.2">
      <c r="A6" s="944"/>
      <c r="B6" s="946"/>
      <c r="C6" s="944"/>
      <c r="D6" s="949"/>
      <c r="E6" s="953"/>
      <c r="F6" s="579" t="s">
        <v>314</v>
      </c>
      <c r="G6" s="572" t="s">
        <v>315</v>
      </c>
      <c r="H6" s="935"/>
      <c r="I6" s="572" t="s">
        <v>314</v>
      </c>
      <c r="J6" s="572" t="s">
        <v>315</v>
      </c>
      <c r="K6" s="935"/>
      <c r="L6" s="593"/>
    </row>
    <row r="7" spans="1:14" s="584" customFormat="1" ht="11.25" x14ac:dyDescent="0.2">
      <c r="A7" s="580">
        <v>1</v>
      </c>
      <c r="B7" s="580">
        <v>2</v>
      </c>
      <c r="C7" s="580">
        <v>3</v>
      </c>
      <c r="D7" s="581">
        <v>4</v>
      </c>
      <c r="E7" s="582">
        <v>5</v>
      </c>
      <c r="F7" s="582">
        <v>7</v>
      </c>
      <c r="G7" s="582">
        <v>9</v>
      </c>
      <c r="H7" s="583">
        <v>10</v>
      </c>
      <c r="I7" s="583">
        <v>12</v>
      </c>
      <c r="J7" s="583">
        <v>13</v>
      </c>
      <c r="K7" s="583">
        <v>14</v>
      </c>
    </row>
    <row r="8" spans="1:14" s="584" customFormat="1" x14ac:dyDescent="0.2">
      <c r="A8" s="907" t="s">
        <v>1</v>
      </c>
      <c r="B8" s="907"/>
      <c r="C8" s="907"/>
      <c r="D8" s="585">
        <f>D9+D10</f>
        <v>2870874</v>
      </c>
      <c r="E8" s="585">
        <f>E9+E10</f>
        <v>56773</v>
      </c>
      <c r="F8" s="585">
        <f t="shared" ref="F8:K8" si="0">F9+F10</f>
        <v>531644</v>
      </c>
      <c r="G8" s="585">
        <f t="shared" si="0"/>
        <v>1860633</v>
      </c>
      <c r="H8" s="585">
        <f t="shared" si="0"/>
        <v>100</v>
      </c>
      <c r="I8" s="585">
        <f t="shared" si="0"/>
        <v>36909</v>
      </c>
      <c r="J8" s="585">
        <f t="shared" si="0"/>
        <v>147109</v>
      </c>
      <c r="K8" s="585">
        <f t="shared" si="0"/>
        <v>237706</v>
      </c>
      <c r="L8" s="586"/>
      <c r="M8" s="587"/>
      <c r="N8" s="586"/>
    </row>
    <row r="9" spans="1:14" s="584" customFormat="1" x14ac:dyDescent="0.2">
      <c r="A9" s="911" t="s">
        <v>3</v>
      </c>
      <c r="B9" s="912"/>
      <c r="C9" s="913"/>
      <c r="D9" s="581">
        <f>E9+F9+G9+H9+I9+J9+K9</f>
        <v>0</v>
      </c>
      <c r="E9" s="582">
        <f>'[19]Прот.3-22'!E8+[19]Отклон.Пр.!E8</f>
        <v>0</v>
      </c>
      <c r="F9" s="582">
        <f>'[19]Прот.3-22'!G8+[19]Отклон.Пр.!G8</f>
        <v>0</v>
      </c>
      <c r="G9" s="582">
        <f>'[19]Прот.3-22'!H8+[19]Отклон.Пр.!H8</f>
        <v>0</v>
      </c>
      <c r="H9" s="588">
        <v>0</v>
      </c>
      <c r="I9" s="588">
        <v>0</v>
      </c>
      <c r="J9" s="583">
        <v>0</v>
      </c>
      <c r="K9" s="581">
        <v>0</v>
      </c>
      <c r="L9" s="586"/>
      <c r="M9" s="587"/>
      <c r="N9" s="586"/>
    </row>
    <row r="10" spans="1:14" s="584" customFormat="1" x14ac:dyDescent="0.2">
      <c r="A10" s="911" t="s">
        <v>4</v>
      </c>
      <c r="B10" s="912"/>
      <c r="C10" s="913"/>
      <c r="D10" s="585">
        <f>E10+F10+G10+H10+I10+J10+K10</f>
        <v>2870874</v>
      </c>
      <c r="E10" s="585">
        <f>SUM(E11:E148)</f>
        <v>56773</v>
      </c>
      <c r="F10" s="585">
        <f>SUM(F11:F148)</f>
        <v>531644</v>
      </c>
      <c r="G10" s="585">
        <f>SUM(G11:G148)</f>
        <v>1860633</v>
      </c>
      <c r="H10" s="585">
        <f t="shared" ref="H10:J10" si="1">SUM(H11:H148)</f>
        <v>100</v>
      </c>
      <c r="I10" s="585">
        <f t="shared" si="1"/>
        <v>36909</v>
      </c>
      <c r="J10" s="585">
        <f t="shared" si="1"/>
        <v>147109</v>
      </c>
      <c r="K10" s="585">
        <f>SUM(K11:K148)</f>
        <v>237706</v>
      </c>
      <c r="L10" s="586"/>
      <c r="M10" s="587"/>
      <c r="N10" s="586"/>
    </row>
    <row r="11" spans="1:14" x14ac:dyDescent="0.2">
      <c r="A11" s="35">
        <v>1</v>
      </c>
      <c r="B11" s="36" t="s">
        <v>69</v>
      </c>
      <c r="C11" s="37" t="s">
        <v>29</v>
      </c>
      <c r="D11" s="589">
        <f>E11+F11+G11+H11+I11+J11+K11</f>
        <v>4741</v>
      </c>
      <c r="E11" s="589">
        <f>'[19]Прот.3-22'!E10+[19]Отклон.Пр.!E10</f>
        <v>0</v>
      </c>
      <c r="F11" s="589">
        <f>'[19]Прот.3-22'!G10+[19]Отклон.Пр.!G10</f>
        <v>1354</v>
      </c>
      <c r="G11" s="589">
        <f>'[19]Прот.3-22'!H10+[19]Отклон.Пр.!H10</f>
        <v>2336</v>
      </c>
      <c r="H11" s="589">
        <v>0</v>
      </c>
      <c r="I11" s="589">
        <v>0</v>
      </c>
      <c r="J11" s="589">
        <v>1051</v>
      </c>
      <c r="K11" s="589">
        <v>0</v>
      </c>
      <c r="L11" s="586"/>
      <c r="M11" s="587"/>
      <c r="N11" s="586"/>
    </row>
    <row r="12" spans="1:14" x14ac:dyDescent="0.2">
      <c r="A12" s="35">
        <v>2</v>
      </c>
      <c r="B12" s="38" t="s">
        <v>70</v>
      </c>
      <c r="C12" s="37" t="s">
        <v>31</v>
      </c>
      <c r="D12" s="589">
        <f t="shared" ref="D12:D75" si="2">E12+F12+G12+H12+I12+J12+K12</f>
        <v>4274</v>
      </c>
      <c r="E12" s="589">
        <f>'[19]Прот.3-22'!E11+[19]Отклон.Пр.!E11</f>
        <v>0</v>
      </c>
      <c r="F12" s="589">
        <f>'[19]Прот.3-22'!G11+[19]Отклон.Пр.!G11</f>
        <v>927</v>
      </c>
      <c r="G12" s="589">
        <f>'[19]Прот.3-22'!H11+[19]Отклон.Пр.!H11</f>
        <v>2260</v>
      </c>
      <c r="H12" s="589">
        <v>0</v>
      </c>
      <c r="I12" s="589">
        <v>0</v>
      </c>
      <c r="J12" s="589">
        <v>1087</v>
      </c>
      <c r="K12" s="589">
        <v>0</v>
      </c>
      <c r="L12" s="586"/>
      <c r="M12" s="587"/>
      <c r="N12" s="586"/>
    </row>
    <row r="13" spans="1:14" x14ac:dyDescent="0.2">
      <c r="A13" s="35">
        <v>3</v>
      </c>
      <c r="B13" s="12" t="s">
        <v>71</v>
      </c>
      <c r="C13" s="9" t="s">
        <v>5</v>
      </c>
      <c r="D13" s="589">
        <f t="shared" si="2"/>
        <v>59283</v>
      </c>
      <c r="E13" s="589">
        <f>'[19]Прот.3-22'!E12+[19]Отклон.Пр.!E12</f>
        <v>0</v>
      </c>
      <c r="F13" s="589">
        <f>'[19]Прот.3-22'!G12+[19]Отклон.Пр.!G12</f>
        <v>6267</v>
      </c>
      <c r="G13" s="589">
        <f>'[19]Прот.3-22'!H12+[19]Отклон.Пр.!H12</f>
        <v>41309</v>
      </c>
      <c r="H13" s="589">
        <v>0</v>
      </c>
      <c r="I13" s="589">
        <v>500</v>
      </c>
      <c r="J13" s="589">
        <v>1265</v>
      </c>
      <c r="K13" s="589">
        <v>9942</v>
      </c>
      <c r="L13" s="586"/>
      <c r="M13" s="587"/>
      <c r="N13" s="586"/>
    </row>
    <row r="14" spans="1:14" x14ac:dyDescent="0.2">
      <c r="A14" s="35">
        <v>4</v>
      </c>
      <c r="B14" s="36" t="s">
        <v>72</v>
      </c>
      <c r="C14" s="37" t="s">
        <v>35</v>
      </c>
      <c r="D14" s="589">
        <f t="shared" si="2"/>
        <v>9323</v>
      </c>
      <c r="E14" s="589">
        <f>'[19]Прот.3-22'!E13+[19]Отклон.Пр.!E13</f>
        <v>0</v>
      </c>
      <c r="F14" s="589">
        <f>'[19]Прот.3-22'!G13+[19]Отклон.Пр.!G13</f>
        <v>3137</v>
      </c>
      <c r="G14" s="589">
        <f>'[19]Прот.3-22'!H13+[19]Отклон.Пр.!H13</f>
        <v>4886</v>
      </c>
      <c r="H14" s="589">
        <v>0</v>
      </c>
      <c r="I14" s="589">
        <v>300</v>
      </c>
      <c r="J14" s="589">
        <v>1000</v>
      </c>
      <c r="K14" s="589">
        <v>0</v>
      </c>
      <c r="L14" s="586"/>
      <c r="M14" s="587"/>
      <c r="N14" s="586"/>
    </row>
    <row r="15" spans="1:14" x14ac:dyDescent="0.2">
      <c r="A15" s="35">
        <v>5</v>
      </c>
      <c r="B15" s="36" t="s">
        <v>108</v>
      </c>
      <c r="C15" s="37" t="s">
        <v>37</v>
      </c>
      <c r="D15" s="589">
        <f t="shared" si="2"/>
        <v>15509</v>
      </c>
      <c r="E15" s="589">
        <f>'[19]Прот.3-22'!E14+[19]Отклон.Пр.!E14</f>
        <v>0</v>
      </c>
      <c r="F15" s="589">
        <f>'[19]Прот.3-22'!G14+[19]Отклон.Пр.!G14</f>
        <v>1386</v>
      </c>
      <c r="G15" s="589">
        <f>'[19]Прот.3-22'!H14+[19]Отклон.Пр.!H14</f>
        <v>11688</v>
      </c>
      <c r="H15" s="589">
        <v>0</v>
      </c>
      <c r="I15" s="589">
        <v>300</v>
      </c>
      <c r="J15" s="589">
        <v>2135</v>
      </c>
      <c r="K15" s="589">
        <v>0</v>
      </c>
      <c r="L15" s="586"/>
      <c r="M15" s="587"/>
      <c r="N15" s="586"/>
    </row>
    <row r="16" spans="1:14" x14ac:dyDescent="0.2">
      <c r="A16" s="35">
        <v>6</v>
      </c>
      <c r="B16" s="12" t="s">
        <v>73</v>
      </c>
      <c r="C16" s="9" t="s">
        <v>6</v>
      </c>
      <c r="D16" s="589">
        <f t="shared" si="2"/>
        <v>100408</v>
      </c>
      <c r="E16" s="589">
        <f>'[19]Прот.3-22'!E15+[19]Отклон.Пр.!E15</f>
        <v>0</v>
      </c>
      <c r="F16" s="589">
        <f>'[19]Прот.3-22'!G15+[19]Отклон.Пр.!G15</f>
        <v>24193</v>
      </c>
      <c r="G16" s="589">
        <f>'[19]Прот.3-22'!H15+[19]Отклон.Пр.!H15</f>
        <v>57890</v>
      </c>
      <c r="H16" s="589">
        <v>0</v>
      </c>
      <c r="I16" s="589">
        <v>2000</v>
      </c>
      <c r="J16" s="589">
        <v>0</v>
      </c>
      <c r="K16" s="589">
        <v>16325</v>
      </c>
      <c r="L16" s="586"/>
      <c r="M16" s="587"/>
      <c r="N16" s="586"/>
    </row>
    <row r="17" spans="1:14" x14ac:dyDescent="0.2">
      <c r="A17" s="35">
        <v>7</v>
      </c>
      <c r="B17" s="39" t="s">
        <v>109</v>
      </c>
      <c r="C17" s="40" t="s">
        <v>23</v>
      </c>
      <c r="D17" s="589">
        <f t="shared" si="2"/>
        <v>58812</v>
      </c>
      <c r="E17" s="589">
        <f>'[19]Прот.3-22'!E16+[19]Отклон.Пр.!E16</f>
        <v>0</v>
      </c>
      <c r="F17" s="589">
        <f>'[19]Прот.3-22'!G16+[19]Отклон.Пр.!G16</f>
        <v>6672</v>
      </c>
      <c r="G17" s="589">
        <f>'[19]Прот.3-22'!H16+[19]Отклон.Пр.!H16</f>
        <v>41171</v>
      </c>
      <c r="H17" s="589">
        <v>0</v>
      </c>
      <c r="I17" s="589">
        <v>859</v>
      </c>
      <c r="J17" s="589">
        <v>1540</v>
      </c>
      <c r="K17" s="589">
        <v>8570</v>
      </c>
      <c r="L17" s="586"/>
      <c r="M17" s="587"/>
      <c r="N17" s="586"/>
    </row>
    <row r="18" spans="1:14" x14ac:dyDescent="0.2">
      <c r="A18" s="35">
        <v>8</v>
      </c>
      <c r="B18" s="12" t="s">
        <v>110</v>
      </c>
      <c r="C18" s="9" t="s">
        <v>44</v>
      </c>
      <c r="D18" s="589">
        <f t="shared" si="2"/>
        <v>16650</v>
      </c>
      <c r="E18" s="589">
        <f>'[19]Прот.3-22'!E17+[19]Отклон.Пр.!E17</f>
        <v>0</v>
      </c>
      <c r="F18" s="589">
        <f>'[19]Прот.3-22'!G17+[19]Отклон.Пр.!G17</f>
        <v>6855</v>
      </c>
      <c r="G18" s="589">
        <f>'[19]Прот.3-22'!H17+[19]Отклон.Пр.!H17</f>
        <v>8485</v>
      </c>
      <c r="H18" s="589">
        <v>0</v>
      </c>
      <c r="I18" s="589">
        <v>570</v>
      </c>
      <c r="J18" s="589">
        <v>740</v>
      </c>
      <c r="K18" s="589">
        <v>0</v>
      </c>
      <c r="L18" s="586"/>
      <c r="M18" s="587"/>
      <c r="N18" s="586"/>
    </row>
    <row r="19" spans="1:14" x14ac:dyDescent="0.2">
      <c r="A19" s="35">
        <v>9</v>
      </c>
      <c r="B19" s="12" t="s">
        <v>74</v>
      </c>
      <c r="C19" s="9" t="s">
        <v>45</v>
      </c>
      <c r="D19" s="589">
        <f t="shared" si="2"/>
        <v>12508</v>
      </c>
      <c r="E19" s="589">
        <f>'[19]Прот.3-22'!E18+[19]Отклон.Пр.!E18</f>
        <v>0</v>
      </c>
      <c r="F19" s="589">
        <f>'[19]Прот.3-22'!G18+[19]Отклон.Пр.!G18</f>
        <v>4046</v>
      </c>
      <c r="G19" s="589">
        <f>'[19]Прот.3-22'!H18+[19]Отклон.Пр.!H18</f>
        <v>8262</v>
      </c>
      <c r="H19" s="589">
        <v>0</v>
      </c>
      <c r="I19" s="589">
        <v>200</v>
      </c>
      <c r="J19" s="589">
        <v>0</v>
      </c>
      <c r="K19" s="589">
        <v>0</v>
      </c>
      <c r="L19" s="586"/>
      <c r="M19" s="587"/>
      <c r="N19" s="586"/>
    </row>
    <row r="20" spans="1:14" x14ac:dyDescent="0.2">
      <c r="A20" s="35">
        <v>10</v>
      </c>
      <c r="B20" s="12" t="s">
        <v>111</v>
      </c>
      <c r="C20" s="9" t="s">
        <v>48</v>
      </c>
      <c r="D20" s="589">
        <f t="shared" si="2"/>
        <v>15315</v>
      </c>
      <c r="E20" s="589">
        <f>'[19]Прот.3-22'!E19+[19]Отклон.Пр.!E19</f>
        <v>0</v>
      </c>
      <c r="F20" s="589">
        <f>'[19]Прот.3-22'!G19+[19]Отклон.Пр.!G19</f>
        <v>4772</v>
      </c>
      <c r="G20" s="589">
        <f>'[19]Прот.3-22'!H19+[19]Отклон.Пр.!H19</f>
        <v>4043</v>
      </c>
      <c r="H20" s="589">
        <v>0</v>
      </c>
      <c r="I20" s="589">
        <v>1500</v>
      </c>
      <c r="J20" s="589">
        <v>5000</v>
      </c>
      <c r="K20" s="589">
        <v>0</v>
      </c>
      <c r="L20" s="586"/>
      <c r="M20" s="587"/>
      <c r="N20" s="586"/>
    </row>
    <row r="21" spans="1:14" x14ac:dyDescent="0.2">
      <c r="A21" s="35">
        <v>11</v>
      </c>
      <c r="B21" s="12" t="s">
        <v>75</v>
      </c>
      <c r="C21" s="9" t="s">
        <v>52</v>
      </c>
      <c r="D21" s="589">
        <f t="shared" si="2"/>
        <v>9447</v>
      </c>
      <c r="E21" s="589">
        <f>'[19]Прот.3-22'!E20+[19]Отклон.Пр.!E20</f>
        <v>0</v>
      </c>
      <c r="F21" s="589">
        <f>'[19]Прот.3-22'!G20+[19]Отклон.Пр.!G20</f>
        <v>4456</v>
      </c>
      <c r="G21" s="589">
        <f>'[19]Прот.3-22'!H20+[19]Отклон.Пр.!H20</f>
        <v>4751</v>
      </c>
      <c r="H21" s="589">
        <v>0</v>
      </c>
      <c r="I21" s="589">
        <v>0</v>
      </c>
      <c r="J21" s="589">
        <v>240</v>
      </c>
      <c r="K21" s="589">
        <v>0</v>
      </c>
      <c r="L21" s="586"/>
      <c r="M21" s="587"/>
      <c r="N21" s="586"/>
    </row>
    <row r="22" spans="1:14" x14ac:dyDescent="0.2">
      <c r="A22" s="35">
        <v>12</v>
      </c>
      <c r="B22" s="12" t="s">
        <v>112</v>
      </c>
      <c r="C22" s="9" t="s">
        <v>63</v>
      </c>
      <c r="D22" s="589">
        <f t="shared" si="2"/>
        <v>29114</v>
      </c>
      <c r="E22" s="589">
        <f>'[19]Прот.3-22'!E21+[19]Отклон.Пр.!E21</f>
        <v>0</v>
      </c>
      <c r="F22" s="589">
        <f>'[19]Прот.3-22'!G21+[19]Отклон.Пр.!G21</f>
        <v>5080</v>
      </c>
      <c r="G22" s="589">
        <f>'[19]Прот.3-22'!H21+[19]Отклон.Пр.!H21</f>
        <v>20534</v>
      </c>
      <c r="H22" s="589">
        <v>0</v>
      </c>
      <c r="I22" s="589"/>
      <c r="J22" s="589">
        <v>3500</v>
      </c>
      <c r="K22" s="589">
        <v>0</v>
      </c>
      <c r="L22" s="586"/>
      <c r="M22" s="587"/>
      <c r="N22" s="586"/>
    </row>
    <row r="23" spans="1:14" x14ac:dyDescent="0.2">
      <c r="A23" s="13">
        <v>13</v>
      </c>
      <c r="B23" s="12" t="s">
        <v>2271</v>
      </c>
      <c r="C23" s="9" t="s">
        <v>293</v>
      </c>
      <c r="D23" s="589">
        <f t="shared" si="2"/>
        <v>0</v>
      </c>
      <c r="E23" s="589">
        <f>'[19]Прот.3-22'!E22+[19]Отклон.Пр.!E22</f>
        <v>0</v>
      </c>
      <c r="F23" s="589">
        <f>'[19]Прот.3-22'!G22+[19]Отклон.Пр.!G22</f>
        <v>0</v>
      </c>
      <c r="G23" s="589">
        <f>'[19]Прот.3-22'!H22+[19]Отклон.Пр.!H22</f>
        <v>0</v>
      </c>
      <c r="H23" s="589">
        <v>0</v>
      </c>
      <c r="I23" s="589"/>
      <c r="J23" s="589"/>
      <c r="K23" s="589">
        <v>0</v>
      </c>
      <c r="L23" s="586"/>
      <c r="M23" s="587"/>
      <c r="N23" s="586"/>
    </row>
    <row r="24" spans="1:14" x14ac:dyDescent="0.2">
      <c r="A24" s="35">
        <v>14</v>
      </c>
      <c r="B24" s="36" t="s">
        <v>176</v>
      </c>
      <c r="C24" s="9" t="s">
        <v>177</v>
      </c>
      <c r="D24" s="589">
        <f t="shared" si="2"/>
        <v>0</v>
      </c>
      <c r="E24" s="589">
        <f>'[19]Прот.3-22'!E23+[19]Отклон.Пр.!E23</f>
        <v>0</v>
      </c>
      <c r="F24" s="589">
        <f>'[19]Прот.3-22'!G23+[19]Отклон.Пр.!G23</f>
        <v>0</v>
      </c>
      <c r="G24" s="589">
        <f>'[19]Прот.3-22'!H23+[19]Отклон.Пр.!H23</f>
        <v>0</v>
      </c>
      <c r="H24" s="589">
        <v>0</v>
      </c>
      <c r="I24" s="589"/>
      <c r="J24" s="589"/>
      <c r="K24" s="589">
        <v>0</v>
      </c>
      <c r="L24" s="586"/>
      <c r="M24" s="587"/>
      <c r="N24" s="586"/>
    </row>
    <row r="25" spans="1:14" x14ac:dyDescent="0.2">
      <c r="A25" s="13">
        <v>15</v>
      </c>
      <c r="B25" s="12" t="s">
        <v>115</v>
      </c>
      <c r="C25" s="9" t="s">
        <v>26</v>
      </c>
      <c r="D25" s="589">
        <f t="shared" si="2"/>
        <v>36848</v>
      </c>
      <c r="E25" s="589">
        <f>'[19]Прот.3-22'!E24+[19]Отклон.Пр.!E24</f>
        <v>0</v>
      </c>
      <c r="F25" s="589">
        <f>'[19]Прот.3-22'!G24+[19]Отклон.Пр.!G24</f>
        <v>1778</v>
      </c>
      <c r="G25" s="589">
        <f>'[19]Прот.3-22'!H24+[19]Отклон.Пр.!H24</f>
        <v>29054</v>
      </c>
      <c r="H25" s="589">
        <v>0</v>
      </c>
      <c r="I25" s="589">
        <v>1601</v>
      </c>
      <c r="J25" s="589">
        <v>4415</v>
      </c>
      <c r="K25" s="589">
        <v>0</v>
      </c>
      <c r="L25" s="586"/>
      <c r="M25" s="587"/>
      <c r="N25" s="586"/>
    </row>
    <row r="26" spans="1:14" x14ac:dyDescent="0.2">
      <c r="A26" s="35">
        <v>16</v>
      </c>
      <c r="B26" s="12" t="s">
        <v>116</v>
      </c>
      <c r="C26" s="9" t="s">
        <v>28</v>
      </c>
      <c r="D26" s="589">
        <f t="shared" si="2"/>
        <v>38478</v>
      </c>
      <c r="E26" s="589">
        <f>'[19]Прот.3-22'!E25+[19]Отклон.Пр.!E25</f>
        <v>0</v>
      </c>
      <c r="F26" s="589">
        <f>'[19]Прот.3-22'!G25+[19]Отклон.Пр.!G25</f>
        <v>1490</v>
      </c>
      <c r="G26" s="589">
        <f>'[19]Прот.3-22'!H25+[19]Отклон.Пр.!H25</f>
        <v>33633</v>
      </c>
      <c r="H26" s="589">
        <v>0</v>
      </c>
      <c r="I26" s="589">
        <v>0</v>
      </c>
      <c r="J26" s="589">
        <v>3355</v>
      </c>
      <c r="K26" s="589">
        <v>0</v>
      </c>
      <c r="L26" s="586"/>
      <c r="M26" s="587"/>
      <c r="N26" s="586"/>
    </row>
    <row r="27" spans="1:14" x14ac:dyDescent="0.2">
      <c r="A27" s="13">
        <v>17</v>
      </c>
      <c r="B27" s="12" t="s">
        <v>117</v>
      </c>
      <c r="C27" s="9" t="s">
        <v>24</v>
      </c>
      <c r="D27" s="589">
        <f t="shared" si="2"/>
        <v>44678</v>
      </c>
      <c r="E27" s="589">
        <f>'[19]Прот.3-22'!E26+[19]Отклон.Пр.!E26</f>
        <v>0</v>
      </c>
      <c r="F27" s="589">
        <f>'[19]Прот.3-22'!G26+[19]Отклон.Пр.!G26</f>
        <v>10546</v>
      </c>
      <c r="G27" s="589">
        <f>'[19]Прот.3-22'!H26+[19]Отклон.Пр.!H26</f>
        <v>29032</v>
      </c>
      <c r="H27" s="589">
        <v>0</v>
      </c>
      <c r="I27" s="589">
        <v>1000</v>
      </c>
      <c r="J27" s="589">
        <v>4100</v>
      </c>
      <c r="K27" s="589">
        <v>0</v>
      </c>
      <c r="L27" s="586"/>
      <c r="M27" s="587"/>
      <c r="N27" s="586"/>
    </row>
    <row r="28" spans="1:14" x14ac:dyDescent="0.2">
      <c r="A28" s="35">
        <v>18</v>
      </c>
      <c r="B28" s="12" t="s">
        <v>76</v>
      </c>
      <c r="C28" s="9" t="s">
        <v>7</v>
      </c>
      <c r="D28" s="589">
        <f t="shared" si="2"/>
        <v>94992</v>
      </c>
      <c r="E28" s="589">
        <f>'[19]Прот.3-22'!E27+[19]Отклон.Пр.!E27</f>
        <v>0</v>
      </c>
      <c r="F28" s="589">
        <f>'[19]Прот.3-22'!G27+[19]Отклон.Пр.!G27</f>
        <v>20426</v>
      </c>
      <c r="G28" s="589">
        <f>'[19]Прот.3-22'!H27+[19]Отклон.Пр.!H27</f>
        <v>39522</v>
      </c>
      <c r="H28" s="589">
        <v>0</v>
      </c>
      <c r="I28" s="589"/>
      <c r="J28" s="589">
        <v>20500</v>
      </c>
      <c r="K28" s="589">
        <v>14544</v>
      </c>
      <c r="L28" s="586"/>
      <c r="M28" s="587"/>
      <c r="N28" s="586"/>
    </row>
    <row r="29" spans="1:14" x14ac:dyDescent="0.2">
      <c r="A29" s="13">
        <v>19</v>
      </c>
      <c r="B29" s="36" t="s">
        <v>118</v>
      </c>
      <c r="C29" s="37" t="s">
        <v>36</v>
      </c>
      <c r="D29" s="589">
        <f t="shared" si="2"/>
        <v>10751</v>
      </c>
      <c r="E29" s="589">
        <f>'[19]Прот.3-22'!E28+[19]Отклон.Пр.!E28</f>
        <v>0</v>
      </c>
      <c r="F29" s="589">
        <f>'[19]Прот.3-22'!G28+[19]Отклон.Пр.!G28</f>
        <v>3729</v>
      </c>
      <c r="G29" s="589">
        <f>'[19]Прот.3-22'!H28+[19]Отклон.Пр.!H28</f>
        <v>6335</v>
      </c>
      <c r="H29" s="589">
        <v>0</v>
      </c>
      <c r="I29" s="589">
        <v>387</v>
      </c>
      <c r="J29" s="589">
        <v>300</v>
      </c>
      <c r="K29" s="589">
        <v>0</v>
      </c>
      <c r="L29" s="586"/>
      <c r="M29" s="587"/>
      <c r="N29" s="586"/>
    </row>
    <row r="30" spans="1:14" x14ac:dyDescent="0.2">
      <c r="A30" s="35">
        <v>20</v>
      </c>
      <c r="B30" s="36" t="s">
        <v>119</v>
      </c>
      <c r="C30" s="37" t="s">
        <v>41</v>
      </c>
      <c r="D30" s="589">
        <f t="shared" si="2"/>
        <v>15111</v>
      </c>
      <c r="E30" s="589">
        <f>'[19]Прот.3-22'!E29+[19]Отклон.Пр.!E29</f>
        <v>0</v>
      </c>
      <c r="F30" s="589">
        <f>'[19]Прот.3-22'!G29+[19]Отклон.Пр.!G29</f>
        <v>2073</v>
      </c>
      <c r="G30" s="589">
        <f>'[19]Прот.3-22'!H29+[19]Отклон.Пр.!H29</f>
        <v>12118</v>
      </c>
      <c r="H30" s="589">
        <v>0</v>
      </c>
      <c r="I30" s="589">
        <v>100</v>
      </c>
      <c r="J30" s="589">
        <v>820</v>
      </c>
      <c r="K30" s="589">
        <v>0</v>
      </c>
      <c r="L30" s="586"/>
      <c r="M30" s="587"/>
      <c r="N30" s="586"/>
    </row>
    <row r="31" spans="1:14" x14ac:dyDescent="0.2">
      <c r="A31" s="13">
        <v>21</v>
      </c>
      <c r="B31" s="36" t="s">
        <v>120</v>
      </c>
      <c r="C31" s="37" t="s">
        <v>8</v>
      </c>
      <c r="D31" s="589">
        <f t="shared" si="2"/>
        <v>50423</v>
      </c>
      <c r="E31" s="589">
        <f>'[19]Прот.3-22'!E30+[19]Отклон.Пр.!E30</f>
        <v>0</v>
      </c>
      <c r="F31" s="589">
        <f>'[19]Прот.3-22'!G30+[19]Отклон.Пр.!G30</f>
        <v>19864</v>
      </c>
      <c r="G31" s="589">
        <f>'[19]Прот.3-22'!H30+[19]Отклон.Пр.!H30</f>
        <v>22265</v>
      </c>
      <c r="H31" s="589">
        <v>0</v>
      </c>
      <c r="I31" s="589">
        <v>1000</v>
      </c>
      <c r="J31" s="589">
        <v>7294</v>
      </c>
      <c r="K31" s="589">
        <v>0</v>
      </c>
      <c r="L31" s="586"/>
      <c r="M31" s="587"/>
      <c r="N31" s="586"/>
    </row>
    <row r="32" spans="1:14" x14ac:dyDescent="0.2">
      <c r="A32" s="35">
        <v>22</v>
      </c>
      <c r="B32" s="36" t="s">
        <v>77</v>
      </c>
      <c r="C32" s="37" t="s">
        <v>9</v>
      </c>
      <c r="D32" s="589">
        <f t="shared" si="2"/>
        <v>43737</v>
      </c>
      <c r="E32" s="589">
        <f>'[19]Прот.3-22'!E31+[19]Отклон.Пр.!E31</f>
        <v>0</v>
      </c>
      <c r="F32" s="589">
        <f>'[19]Прот.3-22'!G31+[19]Отклон.Пр.!G31</f>
        <v>4621</v>
      </c>
      <c r="G32" s="589">
        <f>'[19]Прот.3-22'!H31+[19]Отклон.Пр.!H31</f>
        <v>28387</v>
      </c>
      <c r="H32" s="589">
        <v>0</v>
      </c>
      <c r="I32" s="589">
        <v>100</v>
      </c>
      <c r="J32" s="589">
        <v>1026</v>
      </c>
      <c r="K32" s="589">
        <v>9603</v>
      </c>
      <c r="L32" s="586"/>
      <c r="M32" s="587"/>
      <c r="N32" s="586"/>
    </row>
    <row r="33" spans="1:14" x14ac:dyDescent="0.2">
      <c r="A33" s="13">
        <v>23</v>
      </c>
      <c r="B33" s="12" t="s">
        <v>78</v>
      </c>
      <c r="C33" s="9" t="s">
        <v>79</v>
      </c>
      <c r="D33" s="589">
        <f t="shared" si="2"/>
        <v>11898</v>
      </c>
      <c r="E33" s="589">
        <f>'[19]Прот.3-22'!E32+[19]Отклон.Пр.!E32</f>
        <v>0</v>
      </c>
      <c r="F33" s="589">
        <f>'[19]Прот.3-22'!G32+[19]Отклон.Пр.!G32</f>
        <v>1232</v>
      </c>
      <c r="G33" s="589">
        <f>'[19]Прот.3-22'!H32+[19]Отклон.Пр.!H32</f>
        <v>8132</v>
      </c>
      <c r="H33" s="589">
        <v>0</v>
      </c>
      <c r="I33" s="589">
        <v>420</v>
      </c>
      <c r="J33" s="589">
        <v>2114</v>
      </c>
      <c r="K33" s="589">
        <v>0</v>
      </c>
      <c r="L33" s="586"/>
      <c r="M33" s="587"/>
      <c r="N33" s="586"/>
    </row>
    <row r="34" spans="1:14" x14ac:dyDescent="0.2">
      <c r="A34" s="35">
        <v>24</v>
      </c>
      <c r="B34" s="12" t="s">
        <v>178</v>
      </c>
      <c r="C34" s="9" t="s">
        <v>179</v>
      </c>
      <c r="D34" s="589">
        <f t="shared" si="2"/>
        <v>0</v>
      </c>
      <c r="E34" s="589">
        <f>'[19]Прот.3-22'!E33+[19]Отклон.Пр.!E33</f>
        <v>0</v>
      </c>
      <c r="F34" s="589">
        <f>'[19]Прот.3-22'!G33+[19]Отклон.Пр.!G33</f>
        <v>0</v>
      </c>
      <c r="G34" s="589">
        <f>'[19]Прот.3-22'!H33+[19]Отклон.Пр.!H33</f>
        <v>0</v>
      </c>
      <c r="H34" s="589">
        <v>0</v>
      </c>
      <c r="I34" s="589"/>
      <c r="J34" s="589"/>
      <c r="K34" s="589">
        <v>0</v>
      </c>
      <c r="L34" s="586"/>
      <c r="M34" s="587"/>
      <c r="N34" s="586"/>
    </row>
    <row r="35" spans="1:14" ht="24" x14ac:dyDescent="0.2">
      <c r="A35" s="13">
        <v>25</v>
      </c>
      <c r="B35" s="12" t="s">
        <v>180</v>
      </c>
      <c r="C35" s="9" t="s">
        <v>181</v>
      </c>
      <c r="D35" s="589">
        <f t="shared" si="2"/>
        <v>0</v>
      </c>
      <c r="E35" s="589">
        <f>'[19]Прот.3-22'!E34+[19]Отклон.Пр.!E34</f>
        <v>0</v>
      </c>
      <c r="F35" s="589">
        <f>'[19]Прот.3-22'!G34+[19]Отклон.Пр.!G34</f>
        <v>0</v>
      </c>
      <c r="G35" s="589">
        <f>'[19]Прот.3-22'!H34+[19]Отклон.Пр.!H34</f>
        <v>0</v>
      </c>
      <c r="H35" s="589">
        <v>0</v>
      </c>
      <c r="I35" s="589"/>
      <c r="J35" s="589"/>
      <c r="K35" s="589">
        <v>0</v>
      </c>
      <c r="L35" s="586"/>
      <c r="M35" s="587"/>
      <c r="N35" s="586"/>
    </row>
    <row r="36" spans="1:14" x14ac:dyDescent="0.2">
      <c r="A36" s="35">
        <v>26</v>
      </c>
      <c r="B36" s="36" t="s">
        <v>123</v>
      </c>
      <c r="C36" s="40" t="s">
        <v>124</v>
      </c>
      <c r="D36" s="589">
        <f t="shared" si="2"/>
        <v>57522</v>
      </c>
      <c r="E36" s="589">
        <f>'[19]Прот.3-22'!E35+[19]Отклон.Пр.!E35</f>
        <v>0</v>
      </c>
      <c r="F36" s="589">
        <f>'[19]Прот.3-22'!G35+[19]Отклон.Пр.!G35</f>
        <v>22019</v>
      </c>
      <c r="G36" s="589">
        <f>'[19]Прот.3-22'!H35+[19]Отклон.Пр.!H35</f>
        <v>14582</v>
      </c>
      <c r="H36" s="589">
        <v>0</v>
      </c>
      <c r="I36" s="589"/>
      <c r="J36" s="589">
        <v>500</v>
      </c>
      <c r="K36" s="589">
        <v>20421</v>
      </c>
      <c r="L36" s="586"/>
      <c r="M36" s="587"/>
      <c r="N36" s="586"/>
    </row>
    <row r="37" spans="1:14" x14ac:dyDescent="0.2">
      <c r="A37" s="13">
        <v>27</v>
      </c>
      <c r="B37" s="12" t="s">
        <v>121</v>
      </c>
      <c r="C37" s="9" t="s">
        <v>122</v>
      </c>
      <c r="D37" s="589">
        <f t="shared" si="2"/>
        <v>100048</v>
      </c>
      <c r="E37" s="589">
        <f>'[19]Прот.3-22'!E36+[19]Отклон.Пр.!E36</f>
        <v>0</v>
      </c>
      <c r="F37" s="589">
        <f>'[19]Прот.3-22'!G36+[19]Отклон.Пр.!G36-1500</f>
        <v>18629</v>
      </c>
      <c r="G37" s="589">
        <f>'[19]Прот.3-22'!H36+[19]Отклон.Пр.!H36-21000-8610</f>
        <v>62811</v>
      </c>
      <c r="H37" s="589">
        <v>0</v>
      </c>
      <c r="I37" s="589">
        <v>0</v>
      </c>
      <c r="J37" s="589">
        <v>18608</v>
      </c>
      <c r="K37" s="589">
        <v>0</v>
      </c>
      <c r="L37" s="586"/>
      <c r="M37" s="587"/>
      <c r="N37" s="586"/>
    </row>
    <row r="38" spans="1:14" x14ac:dyDescent="0.2">
      <c r="A38" s="35">
        <v>28</v>
      </c>
      <c r="B38" s="12" t="s">
        <v>182</v>
      </c>
      <c r="C38" s="9" t="s">
        <v>183</v>
      </c>
      <c r="D38" s="589">
        <f t="shared" si="2"/>
        <v>105125</v>
      </c>
      <c r="E38" s="589">
        <f>'[19]Прот.3-22'!E37+[19]Отклон.Пр.!E37</f>
        <v>0</v>
      </c>
      <c r="F38" s="589">
        <f>'[19]Прот.3-22'!G37+[19]Отклон.Пр.!G37</f>
        <v>1405</v>
      </c>
      <c r="G38" s="589">
        <f>'[19]Прот.3-22'!H37+[19]Отклон.Пр.!H37</f>
        <v>94536</v>
      </c>
      <c r="H38" s="589">
        <v>0</v>
      </c>
      <c r="I38" s="589"/>
      <c r="J38" s="589">
        <v>3000</v>
      </c>
      <c r="K38" s="589">
        <v>6184</v>
      </c>
      <c r="L38" s="586"/>
      <c r="M38" s="587"/>
      <c r="N38" s="586"/>
    </row>
    <row r="39" spans="1:14" x14ac:dyDescent="0.2">
      <c r="A39" s="13">
        <v>29</v>
      </c>
      <c r="B39" s="38" t="s">
        <v>184</v>
      </c>
      <c r="C39" s="40" t="s">
        <v>65</v>
      </c>
      <c r="D39" s="589">
        <f t="shared" si="2"/>
        <v>0</v>
      </c>
      <c r="E39" s="589">
        <f>'[19]Прот.3-22'!E38+[19]Отклон.Пр.!E38</f>
        <v>0</v>
      </c>
      <c r="F39" s="589">
        <f>'[19]Прот.3-22'!G38+[19]Отклон.Пр.!G38</f>
        <v>0</v>
      </c>
      <c r="G39" s="589">
        <f>'[19]Прот.3-22'!H38+[19]Отклон.Пр.!H38</f>
        <v>0</v>
      </c>
      <c r="H39" s="589">
        <v>0</v>
      </c>
      <c r="I39" s="589"/>
      <c r="J39" s="589"/>
      <c r="K39" s="589">
        <v>0</v>
      </c>
      <c r="L39" s="586"/>
      <c r="M39" s="587"/>
      <c r="N39" s="586"/>
    </row>
    <row r="40" spans="1:14" ht="24" x14ac:dyDescent="0.2">
      <c r="A40" s="35">
        <v>30</v>
      </c>
      <c r="B40" s="36" t="s">
        <v>80</v>
      </c>
      <c r="C40" s="37" t="s">
        <v>81</v>
      </c>
      <c r="D40" s="589">
        <f t="shared" si="2"/>
        <v>0</v>
      </c>
      <c r="E40" s="589">
        <f>'[19]Прот.3-22'!E39+[19]Отклон.Пр.!E39</f>
        <v>0</v>
      </c>
      <c r="F40" s="589">
        <f>'[19]Прот.3-22'!G39+[19]Отклон.Пр.!G39</f>
        <v>0</v>
      </c>
      <c r="G40" s="589">
        <f>'[19]Прот.3-22'!H39+[19]Отклон.Пр.!H39</f>
        <v>0</v>
      </c>
      <c r="H40" s="589">
        <v>0</v>
      </c>
      <c r="I40" s="589"/>
      <c r="J40" s="589"/>
      <c r="K40" s="589">
        <v>0</v>
      </c>
      <c r="L40" s="586"/>
      <c r="M40" s="587"/>
      <c r="N40" s="586"/>
    </row>
    <row r="41" spans="1:14" x14ac:dyDescent="0.2">
      <c r="A41" s="13">
        <v>31</v>
      </c>
      <c r="B41" s="12" t="s">
        <v>131</v>
      </c>
      <c r="C41" s="9" t="s">
        <v>185</v>
      </c>
      <c r="D41" s="589">
        <f t="shared" si="2"/>
        <v>1304</v>
      </c>
      <c r="E41" s="589">
        <f>'[19]Прот.3-22'!E40+[19]Отклон.Пр.!E40</f>
        <v>0</v>
      </c>
      <c r="F41" s="589">
        <f>'[19]Прот.3-22'!G40+[19]Отклон.Пр.!G40</f>
        <v>134</v>
      </c>
      <c r="G41" s="589">
        <f>'[19]Прот.3-22'!H40+[19]Отклон.Пр.!H40</f>
        <v>1070</v>
      </c>
      <c r="H41" s="589">
        <v>0</v>
      </c>
      <c r="I41" s="589">
        <v>100</v>
      </c>
      <c r="J41" s="589"/>
      <c r="K41" s="589">
        <v>0</v>
      </c>
      <c r="L41" s="586"/>
      <c r="M41" s="587"/>
      <c r="N41" s="586"/>
    </row>
    <row r="42" spans="1:14" ht="18" customHeight="1" x14ac:dyDescent="0.2">
      <c r="A42" s="35">
        <v>32</v>
      </c>
      <c r="B42" s="38" t="s">
        <v>82</v>
      </c>
      <c r="C42" s="37" t="s">
        <v>10</v>
      </c>
      <c r="D42" s="589">
        <f t="shared" si="2"/>
        <v>69590</v>
      </c>
      <c r="E42" s="589">
        <f>'[19]Прот.3-22'!E41+[19]Отклон.Пр.!E41</f>
        <v>0</v>
      </c>
      <c r="F42" s="589">
        <f>'[19]Прот.3-22'!G41+[19]Отклон.Пр.!G41</f>
        <v>15429</v>
      </c>
      <c r="G42" s="589">
        <f>'[19]Прот.3-22'!H41+[19]Отклон.Пр.!H41</f>
        <v>44154</v>
      </c>
      <c r="H42" s="589">
        <v>0</v>
      </c>
      <c r="I42" s="589">
        <v>559</v>
      </c>
      <c r="J42" s="589">
        <v>1200</v>
      </c>
      <c r="K42" s="589">
        <v>8248</v>
      </c>
      <c r="L42" s="586"/>
      <c r="M42" s="587"/>
      <c r="N42" s="586"/>
    </row>
    <row r="43" spans="1:14" x14ac:dyDescent="0.2">
      <c r="A43" s="13">
        <v>33</v>
      </c>
      <c r="B43" s="39" t="s">
        <v>83</v>
      </c>
      <c r="C43" s="40" t="s">
        <v>11</v>
      </c>
      <c r="D43" s="589">
        <f t="shared" si="2"/>
        <v>97097</v>
      </c>
      <c r="E43" s="589">
        <f>'[19]Прот.3-22'!E42+[19]Отклон.Пр.!E42</f>
        <v>0</v>
      </c>
      <c r="F43" s="589">
        <f>'[19]Прот.3-22'!G42+[19]Отклон.Пр.!G42-6000</f>
        <v>14169</v>
      </c>
      <c r="G43" s="589">
        <f>'[19]Прот.3-22'!H42+[19]Отклон.Пр.!H42</f>
        <v>57606</v>
      </c>
      <c r="H43" s="589">
        <v>0</v>
      </c>
      <c r="I43" s="589">
        <v>3594</v>
      </c>
      <c r="J43" s="589">
        <v>7820</v>
      </c>
      <c r="K43" s="589">
        <v>13908</v>
      </c>
      <c r="L43" s="586"/>
      <c r="M43" s="587"/>
      <c r="N43" s="586"/>
    </row>
    <row r="44" spans="1:14" x14ac:dyDescent="0.2">
      <c r="A44" s="35">
        <v>34</v>
      </c>
      <c r="B44" s="38" t="s">
        <v>125</v>
      </c>
      <c r="C44" s="37" t="s">
        <v>43</v>
      </c>
      <c r="D44" s="589">
        <f t="shared" si="2"/>
        <v>19729</v>
      </c>
      <c r="E44" s="589">
        <f>'[19]Прот.3-22'!E43+[19]Отклон.Пр.!E43</f>
        <v>0</v>
      </c>
      <c r="F44" s="589">
        <f>'[19]Прот.3-22'!G43+[19]Отклон.Пр.!G43</f>
        <v>6018</v>
      </c>
      <c r="G44" s="589">
        <f>'[19]Прот.3-22'!H43+[19]Отклон.Пр.!H43</f>
        <v>10466</v>
      </c>
      <c r="H44" s="589">
        <v>0</v>
      </c>
      <c r="I44" s="589">
        <v>800</v>
      </c>
      <c r="J44" s="589">
        <v>2445</v>
      </c>
      <c r="K44" s="589">
        <v>0</v>
      </c>
      <c r="L44" s="586"/>
      <c r="M44" s="587"/>
      <c r="N44" s="586"/>
    </row>
    <row r="45" spans="1:14" x14ac:dyDescent="0.2">
      <c r="A45" s="13">
        <v>35</v>
      </c>
      <c r="B45" s="12" t="s">
        <v>84</v>
      </c>
      <c r="C45" s="9" t="s">
        <v>12</v>
      </c>
      <c r="D45" s="589">
        <f t="shared" si="2"/>
        <v>63301</v>
      </c>
      <c r="E45" s="589">
        <f>'[19]Прот.3-22'!E44+[19]Отклон.Пр.!E44</f>
        <v>0</v>
      </c>
      <c r="F45" s="589">
        <f>'[19]Прот.3-22'!G44+[19]Отклон.Пр.!G44</f>
        <v>16598</v>
      </c>
      <c r="G45" s="589">
        <f>'[19]Прот.3-22'!H44+[19]Отклон.Пр.!H44</f>
        <v>35532</v>
      </c>
      <c r="H45" s="589">
        <v>0</v>
      </c>
      <c r="I45" s="589">
        <v>1296</v>
      </c>
      <c r="J45" s="589">
        <v>4932</v>
      </c>
      <c r="K45" s="589">
        <v>4943</v>
      </c>
      <c r="L45" s="586"/>
      <c r="M45" s="587"/>
      <c r="N45" s="586"/>
    </row>
    <row r="46" spans="1:14" x14ac:dyDescent="0.2">
      <c r="A46" s="35">
        <v>36</v>
      </c>
      <c r="B46" s="38" t="s">
        <v>85</v>
      </c>
      <c r="C46" s="37" t="s">
        <v>49</v>
      </c>
      <c r="D46" s="589">
        <f t="shared" si="2"/>
        <v>10534</v>
      </c>
      <c r="E46" s="589">
        <f>'[19]Прот.3-22'!E45+[19]Отклон.Пр.!E45</f>
        <v>0</v>
      </c>
      <c r="F46" s="589">
        <f>'[19]Прот.3-22'!G45+[19]Отклон.Пр.!G45</f>
        <v>571</v>
      </c>
      <c r="G46" s="589">
        <f>'[19]Прот.3-22'!H45+[19]Отклон.Пр.!H45</f>
        <v>8082</v>
      </c>
      <c r="H46" s="589">
        <v>0</v>
      </c>
      <c r="I46" s="589">
        <v>500</v>
      </c>
      <c r="J46" s="589">
        <v>1381</v>
      </c>
      <c r="K46" s="589">
        <v>0</v>
      </c>
      <c r="L46" s="586"/>
      <c r="M46" s="587"/>
      <c r="N46" s="586"/>
    </row>
    <row r="47" spans="1:14" x14ac:dyDescent="0.2">
      <c r="A47" s="13">
        <v>37</v>
      </c>
      <c r="B47" s="36" t="s">
        <v>126</v>
      </c>
      <c r="C47" s="37" t="s">
        <v>25</v>
      </c>
      <c r="D47" s="589">
        <f t="shared" si="2"/>
        <v>45129</v>
      </c>
      <c r="E47" s="589">
        <f>'[19]Прот.3-22'!E46+[19]Отклон.Пр.!E46</f>
        <v>0</v>
      </c>
      <c r="F47" s="589">
        <f>'[19]Прот.3-22'!G46+[19]Отклон.Пр.!G46</f>
        <v>6779</v>
      </c>
      <c r="G47" s="589">
        <f>'[19]Прот.3-22'!H46+[19]Отклон.Пр.!H46</f>
        <v>38350</v>
      </c>
      <c r="H47" s="589">
        <v>0</v>
      </c>
      <c r="I47" s="589"/>
      <c r="J47" s="589"/>
      <c r="K47" s="589">
        <v>0</v>
      </c>
      <c r="L47" s="586"/>
      <c r="M47" s="587"/>
      <c r="N47" s="586"/>
    </row>
    <row r="48" spans="1:14" x14ac:dyDescent="0.2">
      <c r="A48" s="35">
        <v>38</v>
      </c>
      <c r="B48" s="41" t="s">
        <v>127</v>
      </c>
      <c r="C48" s="42" t="s">
        <v>54</v>
      </c>
      <c r="D48" s="589">
        <f t="shared" si="2"/>
        <v>26985</v>
      </c>
      <c r="E48" s="589">
        <f>'[19]Прот.3-22'!E47+[19]Отклон.Пр.!E47</f>
        <v>0</v>
      </c>
      <c r="F48" s="589">
        <f>'[19]Прот.3-22'!G47+[19]Отклон.Пр.!G47</f>
        <v>2118</v>
      </c>
      <c r="G48" s="589">
        <f>'[19]Прот.3-22'!H47+[19]Отклон.Пр.!H47</f>
        <v>21922</v>
      </c>
      <c r="H48" s="589">
        <v>0</v>
      </c>
      <c r="I48" s="589">
        <v>945</v>
      </c>
      <c r="J48" s="589">
        <v>2000</v>
      </c>
      <c r="K48" s="589">
        <v>0</v>
      </c>
      <c r="L48" s="586"/>
      <c r="M48" s="587"/>
      <c r="N48" s="586"/>
    </row>
    <row r="49" spans="1:14" x14ac:dyDescent="0.2">
      <c r="A49" s="13">
        <v>39</v>
      </c>
      <c r="B49" s="36" t="s">
        <v>86</v>
      </c>
      <c r="C49" s="37" t="s">
        <v>57</v>
      </c>
      <c r="D49" s="589">
        <f t="shared" si="2"/>
        <v>12978</v>
      </c>
      <c r="E49" s="589">
        <f>'[19]Прот.3-22'!E48+[19]Отклон.Пр.!E48</f>
        <v>0</v>
      </c>
      <c r="F49" s="589">
        <f>'[19]Прот.3-22'!G48+[19]Отклон.Пр.!G48</f>
        <v>234</v>
      </c>
      <c r="G49" s="589">
        <f>'[19]Прот.3-22'!H48+[19]Отклон.Пр.!H48</f>
        <v>11244</v>
      </c>
      <c r="H49" s="589">
        <v>0</v>
      </c>
      <c r="I49" s="589">
        <v>1500</v>
      </c>
      <c r="J49" s="589">
        <v>0</v>
      </c>
      <c r="K49" s="589">
        <v>0</v>
      </c>
      <c r="L49" s="586"/>
      <c r="M49" s="587"/>
      <c r="N49" s="586"/>
    </row>
    <row r="50" spans="1:14" x14ac:dyDescent="0.2">
      <c r="A50" s="35">
        <v>40</v>
      </c>
      <c r="B50" s="39" t="s">
        <v>87</v>
      </c>
      <c r="C50" s="40" t="s">
        <v>58</v>
      </c>
      <c r="D50" s="589">
        <f t="shared" si="2"/>
        <v>20731</v>
      </c>
      <c r="E50" s="589">
        <f>'[19]Прот.3-22'!E49+[19]Отклон.Пр.!E49</f>
        <v>0</v>
      </c>
      <c r="F50" s="589">
        <f>'[19]Прот.3-22'!G49+[19]Отклон.Пр.!G49</f>
        <v>1622</v>
      </c>
      <c r="G50" s="589">
        <f>'[19]Прот.3-22'!H49+[19]Отклон.Пр.!H49</f>
        <v>19109</v>
      </c>
      <c r="H50" s="589">
        <v>0</v>
      </c>
      <c r="I50" s="589">
        <v>0</v>
      </c>
      <c r="J50" s="589">
        <v>0</v>
      </c>
      <c r="K50" s="589">
        <v>0</v>
      </c>
      <c r="L50" s="586"/>
      <c r="M50" s="587"/>
      <c r="N50" s="586"/>
    </row>
    <row r="51" spans="1:14" x14ac:dyDescent="0.2">
      <c r="A51" s="13">
        <v>41</v>
      </c>
      <c r="B51" s="12" t="s">
        <v>128</v>
      </c>
      <c r="C51" s="9" t="s">
        <v>59</v>
      </c>
      <c r="D51" s="589">
        <f t="shared" si="2"/>
        <v>12316</v>
      </c>
      <c r="E51" s="589">
        <f>'[19]Прот.3-22'!E50+[19]Отклон.Пр.!E50</f>
        <v>0</v>
      </c>
      <c r="F51" s="589">
        <f>'[19]Прот.3-22'!G50+[19]Отклон.Пр.!G50</f>
        <v>2188</v>
      </c>
      <c r="G51" s="589">
        <f>'[19]Прот.3-22'!H50+[19]Отклон.Пр.!H50</f>
        <v>6621</v>
      </c>
      <c r="H51" s="589">
        <v>0</v>
      </c>
      <c r="I51" s="589">
        <v>840</v>
      </c>
      <c r="J51" s="589">
        <v>2667</v>
      </c>
      <c r="K51" s="589">
        <v>0</v>
      </c>
      <c r="L51" s="586"/>
      <c r="M51" s="587"/>
      <c r="N51" s="586"/>
    </row>
    <row r="52" spans="1:14" x14ac:dyDescent="0.2">
      <c r="A52" s="35">
        <v>42</v>
      </c>
      <c r="B52" s="38" t="s">
        <v>129</v>
      </c>
      <c r="C52" s="37" t="s">
        <v>130</v>
      </c>
      <c r="D52" s="589">
        <f t="shared" si="2"/>
        <v>2699</v>
      </c>
      <c r="E52" s="589">
        <f>'[19]Прот.3-22'!E51+[19]Отклон.Пр.!E51</f>
        <v>0</v>
      </c>
      <c r="F52" s="589">
        <f>'[19]Прот.3-22'!G51+[19]Отклон.Пр.!G51</f>
        <v>1855</v>
      </c>
      <c r="G52" s="589">
        <f>'[19]Прот.3-22'!H51+[19]Отклон.Пр.!H51</f>
        <v>844</v>
      </c>
      <c r="H52" s="589">
        <v>0</v>
      </c>
      <c r="I52" s="589"/>
      <c r="J52" s="589"/>
      <c r="K52" s="589">
        <v>0</v>
      </c>
      <c r="L52" s="586"/>
      <c r="M52" s="587"/>
      <c r="N52" s="586"/>
    </row>
    <row r="53" spans="1:14" x14ac:dyDescent="0.2">
      <c r="A53" s="13">
        <v>43</v>
      </c>
      <c r="B53" s="12" t="s">
        <v>88</v>
      </c>
      <c r="C53" s="9" t="s">
        <v>13</v>
      </c>
      <c r="D53" s="589">
        <f t="shared" si="2"/>
        <v>96874</v>
      </c>
      <c r="E53" s="589">
        <f>'[19]Прот.3-22'!E52+[19]Отклон.Пр.!E52</f>
        <v>0</v>
      </c>
      <c r="F53" s="589">
        <f>'[19]Прот.3-22'!G52+[19]Отклон.Пр.!G52</f>
        <v>22045</v>
      </c>
      <c r="G53" s="589">
        <f>'[19]Прот.3-22'!H52+[19]Отклон.Пр.!H52</f>
        <v>46306</v>
      </c>
      <c r="H53" s="589">
        <v>0</v>
      </c>
      <c r="I53" s="589">
        <v>5635</v>
      </c>
      <c r="J53" s="589">
        <v>360</v>
      </c>
      <c r="K53" s="589">
        <v>22528</v>
      </c>
      <c r="L53" s="586"/>
      <c r="M53" s="587"/>
      <c r="N53" s="586"/>
    </row>
    <row r="54" spans="1:14" x14ac:dyDescent="0.2">
      <c r="A54" s="35">
        <v>44</v>
      </c>
      <c r="B54" s="36" t="s">
        <v>132</v>
      </c>
      <c r="C54" s="37" t="s">
        <v>30</v>
      </c>
      <c r="D54" s="589">
        <f t="shared" si="2"/>
        <v>11583</v>
      </c>
      <c r="E54" s="589">
        <f>'[19]Прот.3-22'!E53+[19]Отклон.Пр.!E53</f>
        <v>0</v>
      </c>
      <c r="F54" s="589">
        <f>'[19]Прот.3-22'!G53+[19]Отклон.Пр.!G53</f>
        <v>3221</v>
      </c>
      <c r="G54" s="589">
        <f>'[19]Прот.3-22'!H53+[19]Отклон.Пр.!H53</f>
        <v>5358</v>
      </c>
      <c r="H54" s="589">
        <v>0</v>
      </c>
      <c r="I54" s="589"/>
      <c r="J54" s="589">
        <v>3004</v>
      </c>
      <c r="K54" s="589">
        <v>0</v>
      </c>
      <c r="L54" s="586"/>
      <c r="M54" s="587"/>
      <c r="N54" s="586"/>
    </row>
    <row r="55" spans="1:14" x14ac:dyDescent="0.2">
      <c r="A55" s="13">
        <v>45</v>
      </c>
      <c r="B55" s="36" t="s">
        <v>133</v>
      </c>
      <c r="C55" s="37" t="s">
        <v>14</v>
      </c>
      <c r="D55" s="589">
        <f t="shared" si="2"/>
        <v>52325</v>
      </c>
      <c r="E55" s="589">
        <f>'[19]Прот.3-22'!E54+[19]Отклон.Пр.!E54</f>
        <v>0</v>
      </c>
      <c r="F55" s="589">
        <f>'[19]Прот.3-22'!G54+[19]Отклон.Пр.!G54</f>
        <v>14818</v>
      </c>
      <c r="G55" s="589">
        <f>'[19]Прот.3-22'!H54+[19]Отклон.Пр.!H54</f>
        <v>33123</v>
      </c>
      <c r="H55" s="589">
        <v>0</v>
      </c>
      <c r="I55" s="589">
        <v>1397</v>
      </c>
      <c r="J55" s="589">
        <v>2987</v>
      </c>
      <c r="K55" s="589">
        <v>0</v>
      </c>
      <c r="L55" s="586"/>
      <c r="M55" s="587"/>
      <c r="N55" s="586"/>
    </row>
    <row r="56" spans="1:14" x14ac:dyDescent="0.2">
      <c r="A56" s="35">
        <v>46</v>
      </c>
      <c r="B56" s="12" t="s">
        <v>134</v>
      </c>
      <c r="C56" s="9" t="s">
        <v>33</v>
      </c>
      <c r="D56" s="589">
        <f t="shared" si="2"/>
        <v>16533</v>
      </c>
      <c r="E56" s="589">
        <f>'[19]Прот.3-22'!E55+[19]Отклон.Пр.!E55</f>
        <v>0</v>
      </c>
      <c r="F56" s="589">
        <f>'[19]Прот.3-22'!G55+[19]Отклон.Пр.!G55</f>
        <v>4518</v>
      </c>
      <c r="G56" s="589">
        <f>'[19]Прот.3-22'!H55+[19]Отклон.Пр.!H55</f>
        <v>10287</v>
      </c>
      <c r="H56" s="589">
        <v>0</v>
      </c>
      <c r="I56" s="589">
        <v>0</v>
      </c>
      <c r="J56" s="589">
        <v>1728</v>
      </c>
      <c r="K56" s="589">
        <v>0</v>
      </c>
      <c r="L56" s="586"/>
      <c r="M56" s="587"/>
      <c r="N56" s="586"/>
    </row>
    <row r="57" spans="1:14" x14ac:dyDescent="0.2">
      <c r="A57" s="13">
        <v>47</v>
      </c>
      <c r="B57" s="12" t="s">
        <v>89</v>
      </c>
      <c r="C57" s="9" t="s">
        <v>38</v>
      </c>
      <c r="D57" s="589">
        <f t="shared" si="2"/>
        <v>23532</v>
      </c>
      <c r="E57" s="589">
        <f>'[19]Прот.3-22'!E56+[19]Отклон.Пр.!E56</f>
        <v>0</v>
      </c>
      <c r="F57" s="589">
        <f>'[19]Прот.3-22'!G56+[19]Отклон.Пр.!G56</f>
        <v>3958</v>
      </c>
      <c r="G57" s="589">
        <f>'[19]Прот.3-22'!H56+[19]Отклон.Пр.!H56</f>
        <v>16745</v>
      </c>
      <c r="H57" s="589">
        <v>0</v>
      </c>
      <c r="I57" s="589">
        <v>1374</v>
      </c>
      <c r="J57" s="589">
        <v>1455</v>
      </c>
      <c r="K57" s="589">
        <v>0</v>
      </c>
      <c r="L57" s="586"/>
      <c r="M57" s="587"/>
      <c r="N57" s="586"/>
    </row>
    <row r="58" spans="1:14" x14ac:dyDescent="0.2">
      <c r="A58" s="35">
        <v>48</v>
      </c>
      <c r="B58" s="38" t="s">
        <v>90</v>
      </c>
      <c r="C58" s="37" t="s">
        <v>39</v>
      </c>
      <c r="D58" s="589">
        <f t="shared" si="2"/>
        <v>13860</v>
      </c>
      <c r="E58" s="589">
        <f>'[19]Прот.3-22'!E57+[19]Отклон.Пр.!E57</f>
        <v>0</v>
      </c>
      <c r="F58" s="589">
        <f>'[19]Прот.3-22'!G57+[19]Отклон.Пр.!G57</f>
        <v>567</v>
      </c>
      <c r="G58" s="589">
        <f>'[19]Прот.3-22'!H57+[19]Отклон.Пр.!H57</f>
        <v>13133</v>
      </c>
      <c r="H58" s="589">
        <v>0</v>
      </c>
      <c r="I58" s="589"/>
      <c r="J58" s="589">
        <v>160</v>
      </c>
      <c r="K58" s="589">
        <v>0</v>
      </c>
      <c r="L58" s="586"/>
      <c r="M58" s="587"/>
      <c r="N58" s="586"/>
    </row>
    <row r="59" spans="1:14" x14ac:dyDescent="0.2">
      <c r="A59" s="13">
        <v>49</v>
      </c>
      <c r="B59" s="12" t="s">
        <v>135</v>
      </c>
      <c r="C59" s="9" t="s">
        <v>40</v>
      </c>
      <c r="D59" s="589">
        <f t="shared" si="2"/>
        <v>10129</v>
      </c>
      <c r="E59" s="589">
        <f>'[19]Прот.3-22'!E58+[19]Отклон.Пр.!E58</f>
        <v>0</v>
      </c>
      <c r="F59" s="589">
        <f>'[19]Прот.3-22'!G58+[19]Отклон.Пр.!G58</f>
        <v>2529</v>
      </c>
      <c r="G59" s="589">
        <f>'[19]Прот.3-22'!H58+[19]Отклон.Пр.!H58</f>
        <v>7584</v>
      </c>
      <c r="H59" s="589">
        <v>0</v>
      </c>
      <c r="I59" s="589">
        <v>16</v>
      </c>
      <c r="J59" s="589"/>
      <c r="K59" s="589">
        <v>0</v>
      </c>
      <c r="L59" s="586"/>
      <c r="M59" s="587"/>
      <c r="N59" s="586"/>
    </row>
    <row r="60" spans="1:14" x14ac:dyDescent="0.2">
      <c r="A60" s="35">
        <v>50</v>
      </c>
      <c r="B60" s="38" t="s">
        <v>91</v>
      </c>
      <c r="C60" s="37" t="s">
        <v>53</v>
      </c>
      <c r="D60" s="589">
        <f t="shared" si="2"/>
        <v>19270</v>
      </c>
      <c r="E60" s="589">
        <f>'[19]Прот.3-22'!E59+[19]Отклон.Пр.!E59</f>
        <v>0</v>
      </c>
      <c r="F60" s="589">
        <f>'[19]Прот.3-22'!G59+[19]Отклон.Пр.!G59</f>
        <v>4328</v>
      </c>
      <c r="G60" s="589">
        <f>'[19]Прот.3-22'!H59+[19]Отклон.Пр.!H59</f>
        <v>13492</v>
      </c>
      <c r="H60" s="589">
        <v>0</v>
      </c>
      <c r="I60" s="589">
        <v>450</v>
      </c>
      <c r="J60" s="589">
        <v>1000</v>
      </c>
      <c r="K60" s="589">
        <v>0</v>
      </c>
      <c r="L60" s="586"/>
      <c r="M60" s="587"/>
      <c r="N60" s="586"/>
    </row>
    <row r="61" spans="1:14" x14ac:dyDescent="0.2">
      <c r="A61" s="13">
        <v>51</v>
      </c>
      <c r="B61" s="12" t="s">
        <v>92</v>
      </c>
      <c r="C61" s="9" t="s">
        <v>56</v>
      </c>
      <c r="D61" s="589">
        <f t="shared" si="2"/>
        <v>37761</v>
      </c>
      <c r="E61" s="589">
        <f>'[19]Прот.3-22'!E60+[19]Отклон.Пр.!E60</f>
        <v>0</v>
      </c>
      <c r="F61" s="589">
        <f>'[19]Прот.3-22'!G60+[19]Отклон.Пр.!G60</f>
        <v>7502</v>
      </c>
      <c r="G61" s="589">
        <f>'[19]Прот.3-22'!H60+[19]Отклон.Пр.!H60</f>
        <v>28456</v>
      </c>
      <c r="H61" s="589">
        <v>0</v>
      </c>
      <c r="I61" s="589">
        <v>531</v>
      </c>
      <c r="J61" s="589">
        <v>1272</v>
      </c>
      <c r="K61" s="589">
        <v>0</v>
      </c>
      <c r="L61" s="586"/>
      <c r="M61" s="587"/>
      <c r="N61" s="586"/>
    </row>
    <row r="62" spans="1:14" x14ac:dyDescent="0.2">
      <c r="A62" s="35">
        <v>52</v>
      </c>
      <c r="B62" s="12" t="s">
        <v>136</v>
      </c>
      <c r="C62" s="9" t="s">
        <v>15</v>
      </c>
      <c r="D62" s="589">
        <f t="shared" si="2"/>
        <v>67693</v>
      </c>
      <c r="E62" s="589">
        <f>'[19]Прот.3-22'!E61+[19]Отклон.Пр.!E61</f>
        <v>0</v>
      </c>
      <c r="F62" s="589">
        <f>'[19]Прот.3-22'!G61+[19]Отклон.Пр.!G61</f>
        <v>26971</v>
      </c>
      <c r="G62" s="589">
        <f>'[19]Прот.3-22'!H61+[19]Отклон.Пр.!H61</f>
        <v>30358</v>
      </c>
      <c r="H62" s="589">
        <v>0</v>
      </c>
      <c r="I62" s="589">
        <v>250</v>
      </c>
      <c r="J62" s="589">
        <v>7000</v>
      </c>
      <c r="K62" s="589">
        <v>3114</v>
      </c>
      <c r="L62" s="586"/>
      <c r="M62" s="587"/>
      <c r="N62" s="586"/>
    </row>
    <row r="63" spans="1:14" x14ac:dyDescent="0.2">
      <c r="A63" s="13">
        <v>53</v>
      </c>
      <c r="B63" s="12" t="s">
        <v>137</v>
      </c>
      <c r="C63" s="9" t="s">
        <v>61</v>
      </c>
      <c r="D63" s="589">
        <f t="shared" si="2"/>
        <v>18624</v>
      </c>
      <c r="E63" s="589">
        <f>'[19]Прот.3-22'!E62+[19]Отклон.Пр.!E62</f>
        <v>0</v>
      </c>
      <c r="F63" s="589">
        <f>'[19]Прот.3-22'!G62+[19]Отклон.Пр.!G62</f>
        <v>5574</v>
      </c>
      <c r="G63" s="589">
        <f>'[19]Прот.3-22'!H62+[19]Отклон.Пр.!H62</f>
        <v>12720</v>
      </c>
      <c r="H63" s="589">
        <v>0</v>
      </c>
      <c r="I63" s="589"/>
      <c r="J63" s="589">
        <v>330</v>
      </c>
      <c r="K63" s="589">
        <v>0</v>
      </c>
      <c r="L63" s="586"/>
      <c r="M63" s="587"/>
      <c r="N63" s="586"/>
    </row>
    <row r="64" spans="1:14" x14ac:dyDescent="0.2">
      <c r="A64" s="35">
        <v>54</v>
      </c>
      <c r="B64" s="12" t="s">
        <v>186</v>
      </c>
      <c r="C64" s="9" t="s">
        <v>187</v>
      </c>
      <c r="D64" s="589">
        <f t="shared" si="2"/>
        <v>0</v>
      </c>
      <c r="E64" s="589">
        <f>'[19]Прот.3-22'!E63+[19]Отклон.Пр.!E63</f>
        <v>0</v>
      </c>
      <c r="F64" s="589">
        <f>'[19]Прот.3-22'!G63+[19]Отклон.Пр.!G63</f>
        <v>0</v>
      </c>
      <c r="G64" s="589">
        <f>'[19]Прот.3-22'!H63+[19]Отклон.Пр.!H63</f>
        <v>0</v>
      </c>
      <c r="H64" s="589">
        <v>0</v>
      </c>
      <c r="I64" s="589"/>
      <c r="J64" s="589"/>
      <c r="K64" s="589">
        <v>0</v>
      </c>
      <c r="L64" s="586"/>
      <c r="M64" s="587"/>
      <c r="N64" s="586"/>
    </row>
    <row r="65" spans="1:14" x14ac:dyDescent="0.2">
      <c r="A65" s="13">
        <v>55</v>
      </c>
      <c r="B65" s="12" t="s">
        <v>188</v>
      </c>
      <c r="C65" s="9" t="s">
        <v>189</v>
      </c>
      <c r="D65" s="589">
        <f t="shared" si="2"/>
        <v>0</v>
      </c>
      <c r="E65" s="589">
        <f>'[19]Прот.3-22'!E64+[19]Отклон.Пр.!E64</f>
        <v>0</v>
      </c>
      <c r="F65" s="589">
        <f>'[19]Прот.3-22'!G64+[19]Отклон.Пр.!G64</f>
        <v>0</v>
      </c>
      <c r="G65" s="589">
        <f>'[19]Прот.3-22'!H64+[19]Отклон.Пр.!H64</f>
        <v>0</v>
      </c>
      <c r="H65" s="589">
        <v>0</v>
      </c>
      <c r="I65" s="589"/>
      <c r="J65" s="589"/>
      <c r="K65" s="589">
        <v>0</v>
      </c>
      <c r="L65" s="586"/>
      <c r="M65" s="587"/>
      <c r="N65" s="586"/>
    </row>
    <row r="66" spans="1:14" x14ac:dyDescent="0.2">
      <c r="A66" s="35">
        <v>56</v>
      </c>
      <c r="B66" s="12" t="s">
        <v>190</v>
      </c>
      <c r="C66" s="9" t="s">
        <v>191</v>
      </c>
      <c r="D66" s="589">
        <f t="shared" si="2"/>
        <v>82453</v>
      </c>
      <c r="E66" s="589">
        <f>'[19]Прот.3-22'!E65+[19]Отклон.Пр.!E65</f>
        <v>0</v>
      </c>
      <c r="F66" s="589">
        <f>'[19]Прот.3-22'!G65+[19]Отклон.Пр.!G65</f>
        <v>6320</v>
      </c>
      <c r="G66" s="589">
        <f>'[19]Прот.3-22'!H65+[19]Отклон.Пр.!H65</f>
        <v>76133</v>
      </c>
      <c r="H66" s="589">
        <v>0</v>
      </c>
      <c r="I66" s="589"/>
      <c r="J66" s="589"/>
      <c r="K66" s="589">
        <v>0</v>
      </c>
      <c r="L66" s="586"/>
      <c r="M66" s="587"/>
      <c r="N66" s="586"/>
    </row>
    <row r="67" spans="1:14" x14ac:dyDescent="0.2">
      <c r="A67" s="13">
        <v>57</v>
      </c>
      <c r="B67" s="38" t="s">
        <v>192</v>
      </c>
      <c r="C67" s="9" t="s">
        <v>193</v>
      </c>
      <c r="D67" s="589">
        <f t="shared" si="2"/>
        <v>59336</v>
      </c>
      <c r="E67" s="589">
        <f>'[19]Прот.3-22'!E66+[19]Отклон.Пр.!E66</f>
        <v>0</v>
      </c>
      <c r="F67" s="589">
        <f>'[19]Прот.3-22'!G66+[19]Отклон.Пр.!G66</f>
        <v>2433</v>
      </c>
      <c r="G67" s="589">
        <f>'[19]Прот.3-22'!H66+[19]Отклон.Пр.!H66</f>
        <v>56903</v>
      </c>
      <c r="H67" s="589">
        <v>0</v>
      </c>
      <c r="I67" s="589"/>
      <c r="J67" s="589"/>
      <c r="K67" s="589">
        <v>0</v>
      </c>
      <c r="L67" s="586"/>
      <c r="M67" s="587"/>
      <c r="N67" s="586"/>
    </row>
    <row r="68" spans="1:14" x14ac:dyDescent="0.2">
      <c r="A68" s="35">
        <v>58</v>
      </c>
      <c r="B68" s="39" t="s">
        <v>194</v>
      </c>
      <c r="C68" s="40" t="s">
        <v>195</v>
      </c>
      <c r="D68" s="589">
        <f t="shared" si="2"/>
        <v>65627</v>
      </c>
      <c r="E68" s="589">
        <f>'[19]Прот.3-22'!E67+[19]Отклон.Пр.!E67</f>
        <v>0</v>
      </c>
      <c r="F68" s="589">
        <f>'[19]Прот.3-22'!G67+[19]Отклон.Пр.!G67</f>
        <v>2337</v>
      </c>
      <c r="G68" s="589">
        <f>'[19]Прот.3-22'!H67+[19]Отклон.Пр.!H67</f>
        <v>63290</v>
      </c>
      <c r="H68" s="589">
        <v>0</v>
      </c>
      <c r="I68" s="589"/>
      <c r="J68" s="589"/>
      <c r="K68" s="589">
        <v>0</v>
      </c>
      <c r="L68" s="586"/>
      <c r="M68" s="587"/>
      <c r="N68" s="586"/>
    </row>
    <row r="69" spans="1:14" x14ac:dyDescent="0.2">
      <c r="A69" s="13">
        <v>59</v>
      </c>
      <c r="B69" s="38" t="s">
        <v>196</v>
      </c>
      <c r="C69" s="9" t="s">
        <v>197</v>
      </c>
      <c r="D69" s="589">
        <f t="shared" si="2"/>
        <v>112253</v>
      </c>
      <c r="E69" s="589">
        <f>'[19]Прот.3-22'!E68+[19]Отклон.Пр.!E68</f>
        <v>0</v>
      </c>
      <c r="F69" s="589">
        <f>'[19]Прот.3-22'!G68+[19]Отклон.Пр.!G68</f>
        <v>17327</v>
      </c>
      <c r="G69" s="589">
        <f>'[19]Прот.3-22'!H68+[19]Отклон.Пр.!H68</f>
        <v>85796</v>
      </c>
      <c r="H69" s="589">
        <v>0</v>
      </c>
      <c r="I69" s="589"/>
      <c r="J69" s="589"/>
      <c r="K69" s="589">
        <v>9130</v>
      </c>
      <c r="L69" s="586"/>
      <c r="M69" s="587"/>
      <c r="N69" s="586"/>
    </row>
    <row r="70" spans="1:14" ht="24" x14ac:dyDescent="0.2">
      <c r="A70" s="35">
        <v>60</v>
      </c>
      <c r="B70" s="12" t="s">
        <v>198</v>
      </c>
      <c r="C70" s="9" t="s">
        <v>199</v>
      </c>
      <c r="D70" s="589">
        <f t="shared" si="2"/>
        <v>34761</v>
      </c>
      <c r="E70" s="589">
        <f>'[19]Прот.3-22'!E69+[19]Отклон.Пр.!E69</f>
        <v>0</v>
      </c>
      <c r="F70" s="589">
        <f>'[19]Прот.3-22'!G69+[19]Отклон.Пр.!G69</f>
        <v>2560</v>
      </c>
      <c r="G70" s="589">
        <f>'[19]Прот.3-22'!H69+[19]Отклон.Пр.!H69</f>
        <v>32201</v>
      </c>
      <c r="H70" s="589">
        <v>0</v>
      </c>
      <c r="I70" s="589"/>
      <c r="J70" s="589"/>
      <c r="K70" s="589">
        <v>0</v>
      </c>
      <c r="L70" s="586"/>
      <c r="M70" s="587"/>
      <c r="N70" s="586"/>
    </row>
    <row r="71" spans="1:14" ht="24" x14ac:dyDescent="0.2">
      <c r="A71" s="13">
        <v>61</v>
      </c>
      <c r="B71" s="36" t="s">
        <v>200</v>
      </c>
      <c r="C71" s="9" t="s">
        <v>201</v>
      </c>
      <c r="D71" s="589">
        <f t="shared" si="2"/>
        <v>0</v>
      </c>
      <c r="E71" s="589">
        <f>'[19]Прот.3-22'!E70+[19]Отклон.Пр.!E70</f>
        <v>0</v>
      </c>
      <c r="F71" s="589">
        <f>'[19]Прот.3-22'!G70+[19]Отклон.Пр.!G70</f>
        <v>0</v>
      </c>
      <c r="G71" s="589">
        <f>'[19]Прот.3-22'!H70+[19]Отклон.Пр.!H70</f>
        <v>0</v>
      </c>
      <c r="H71" s="589">
        <v>0</v>
      </c>
      <c r="I71" s="589"/>
      <c r="J71" s="589"/>
      <c r="K71" s="589">
        <v>0</v>
      </c>
      <c r="L71" s="586"/>
      <c r="M71" s="587"/>
      <c r="N71" s="586"/>
    </row>
    <row r="72" spans="1:14" ht="24" x14ac:dyDescent="0.2">
      <c r="A72" s="35">
        <v>62</v>
      </c>
      <c r="B72" s="36" t="s">
        <v>202</v>
      </c>
      <c r="C72" s="9" t="s">
        <v>203</v>
      </c>
      <c r="D72" s="589">
        <f t="shared" si="2"/>
        <v>0</v>
      </c>
      <c r="E72" s="589">
        <f>'[19]Прот.3-22'!E71+[19]Отклон.Пр.!E71</f>
        <v>0</v>
      </c>
      <c r="F72" s="589">
        <f>'[19]Прот.3-22'!G71+[19]Отклон.Пр.!G71</f>
        <v>0</v>
      </c>
      <c r="G72" s="589">
        <f>'[19]Прот.3-22'!H71+[19]Отклон.Пр.!H71</f>
        <v>0</v>
      </c>
      <c r="H72" s="589">
        <v>0</v>
      </c>
      <c r="I72" s="589"/>
      <c r="J72" s="589"/>
      <c r="K72" s="589">
        <v>0</v>
      </c>
      <c r="L72" s="586"/>
      <c r="M72" s="587"/>
      <c r="N72" s="586"/>
    </row>
    <row r="73" spans="1:14" x14ac:dyDescent="0.2">
      <c r="A73" s="13">
        <v>63</v>
      </c>
      <c r="B73" s="38" t="s">
        <v>151</v>
      </c>
      <c r="C73" s="9" t="s">
        <v>204</v>
      </c>
      <c r="D73" s="589">
        <f t="shared" si="2"/>
        <v>10503</v>
      </c>
      <c r="E73" s="589">
        <f>'[19]Прот.3-22'!E72+[19]Отклон.Пр.!E72</f>
        <v>0</v>
      </c>
      <c r="F73" s="589">
        <f>'[19]Прот.3-22'!G72+[19]Отклон.Пр.!G72</f>
        <v>4471</v>
      </c>
      <c r="G73" s="589">
        <f>'[19]Прот.3-22'!H72+[19]Отклон.Пр.!H72</f>
        <v>6032</v>
      </c>
      <c r="H73" s="589">
        <v>0</v>
      </c>
      <c r="I73" s="589"/>
      <c r="J73" s="589"/>
      <c r="K73" s="589">
        <v>0</v>
      </c>
      <c r="L73" s="586"/>
      <c r="M73" s="587"/>
      <c r="N73" s="586"/>
    </row>
    <row r="74" spans="1:14" x14ac:dyDescent="0.2">
      <c r="A74" s="35">
        <v>64</v>
      </c>
      <c r="B74" s="38" t="s">
        <v>152</v>
      </c>
      <c r="C74" s="37" t="s">
        <v>153</v>
      </c>
      <c r="D74" s="589">
        <f t="shared" si="2"/>
        <v>13554</v>
      </c>
      <c r="E74" s="589">
        <f>'[19]Прот.3-22'!E73+[19]Отклон.Пр.!E73</f>
        <v>0</v>
      </c>
      <c r="F74" s="589">
        <f>'[19]Прот.3-22'!G73+[19]Отклон.Пр.!G73</f>
        <v>2603</v>
      </c>
      <c r="G74" s="589">
        <f>'[19]Прот.3-22'!H73+[19]Отклон.Пр.!H73</f>
        <v>787</v>
      </c>
      <c r="H74" s="589">
        <v>0</v>
      </c>
      <c r="I74" s="589"/>
      <c r="J74" s="589"/>
      <c r="K74" s="589">
        <v>10164</v>
      </c>
      <c r="L74" s="586"/>
      <c r="M74" s="587"/>
      <c r="N74" s="586"/>
    </row>
    <row r="75" spans="1:14" x14ac:dyDescent="0.2">
      <c r="A75" s="13">
        <v>65</v>
      </c>
      <c r="B75" s="38" t="s">
        <v>154</v>
      </c>
      <c r="C75" s="9" t="s">
        <v>205</v>
      </c>
      <c r="D75" s="589">
        <f t="shared" si="2"/>
        <v>8515</v>
      </c>
      <c r="E75" s="589">
        <f>'[19]Прот.3-22'!E74+[19]Отклон.Пр.!E74</f>
        <v>0</v>
      </c>
      <c r="F75" s="589">
        <f>'[19]Прот.3-22'!G74+[19]Отклон.Пр.!G74</f>
        <v>7205</v>
      </c>
      <c r="G75" s="589">
        <f>'[19]Прот.3-22'!H74+[19]Отклон.Пр.!H74</f>
        <v>1310</v>
      </c>
      <c r="H75" s="589">
        <v>0</v>
      </c>
      <c r="I75" s="589"/>
      <c r="J75" s="589"/>
      <c r="K75" s="589">
        <v>0</v>
      </c>
      <c r="L75" s="586"/>
      <c r="M75" s="587"/>
      <c r="N75" s="586"/>
    </row>
    <row r="76" spans="1:14" ht="24" x14ac:dyDescent="0.2">
      <c r="A76" s="35">
        <v>66</v>
      </c>
      <c r="B76" s="38" t="s">
        <v>206</v>
      </c>
      <c r="C76" s="9" t="s">
        <v>207</v>
      </c>
      <c r="D76" s="589">
        <f t="shared" ref="D76:D139" si="3">E76+F76+G76+H76+I76+J76+K76</f>
        <v>300</v>
      </c>
      <c r="E76" s="589">
        <f>'[19]Прот.3-22'!E75+[19]Отклон.Пр.!E75</f>
        <v>300</v>
      </c>
      <c r="F76" s="589">
        <f>'[19]Прот.3-22'!G75+[19]Отклон.Пр.!G75</f>
        <v>0</v>
      </c>
      <c r="G76" s="589">
        <f>'[19]Прот.3-22'!H75+[19]Отклон.Пр.!H75</f>
        <v>0</v>
      </c>
      <c r="H76" s="589">
        <v>0</v>
      </c>
      <c r="I76" s="589"/>
      <c r="J76" s="589"/>
      <c r="K76" s="589">
        <v>0</v>
      </c>
      <c r="L76" s="586"/>
      <c r="M76" s="587"/>
      <c r="N76" s="586"/>
    </row>
    <row r="77" spans="1:14" ht="24" x14ac:dyDescent="0.2">
      <c r="A77" s="13">
        <v>67</v>
      </c>
      <c r="B77" s="36" t="s">
        <v>208</v>
      </c>
      <c r="C77" s="9" t="s">
        <v>209</v>
      </c>
      <c r="D77" s="589">
        <f t="shared" si="3"/>
        <v>100</v>
      </c>
      <c r="E77" s="589">
        <f>'[19]Прот.3-22'!E76+[19]Отклон.Пр.!E76</f>
        <v>100</v>
      </c>
      <c r="F77" s="589">
        <f>'[19]Прот.3-22'!G76+[19]Отклон.Пр.!G76</f>
        <v>0</v>
      </c>
      <c r="G77" s="589">
        <f>'[19]Прот.3-22'!H76+[19]Отклон.Пр.!H76</f>
        <v>0</v>
      </c>
      <c r="H77" s="589">
        <v>0</v>
      </c>
      <c r="I77" s="589"/>
      <c r="J77" s="589"/>
      <c r="K77" s="589">
        <v>0</v>
      </c>
      <c r="L77" s="586"/>
      <c r="M77" s="587"/>
      <c r="N77" s="586"/>
    </row>
    <row r="78" spans="1:14" ht="24" x14ac:dyDescent="0.2">
      <c r="A78" s="35">
        <v>68</v>
      </c>
      <c r="B78" s="38" t="s">
        <v>210</v>
      </c>
      <c r="C78" s="9" t="s">
        <v>211</v>
      </c>
      <c r="D78" s="589">
        <f t="shared" si="3"/>
        <v>100</v>
      </c>
      <c r="E78" s="589">
        <f>'[19]Прот.3-22'!E77+[19]Отклон.Пр.!E77</f>
        <v>100</v>
      </c>
      <c r="F78" s="589">
        <f>'[19]Прот.3-22'!G77+[19]Отклон.Пр.!G77</f>
        <v>0</v>
      </c>
      <c r="G78" s="589">
        <f>'[19]Прот.3-22'!H77+[19]Отклон.Пр.!H77</f>
        <v>0</v>
      </c>
      <c r="H78" s="589">
        <v>0</v>
      </c>
      <c r="I78" s="589"/>
      <c r="J78" s="589"/>
      <c r="K78" s="589">
        <v>0</v>
      </c>
      <c r="L78" s="586"/>
      <c r="M78" s="587"/>
      <c r="N78" s="586"/>
    </row>
    <row r="79" spans="1:14" ht="24" x14ac:dyDescent="0.2">
      <c r="A79" s="13">
        <v>69</v>
      </c>
      <c r="B79" s="38" t="s">
        <v>212</v>
      </c>
      <c r="C79" s="9" t="s">
        <v>213</v>
      </c>
      <c r="D79" s="589">
        <f t="shared" si="3"/>
        <v>290</v>
      </c>
      <c r="E79" s="589">
        <f>'[19]Прот.3-22'!E78+[19]Отклон.Пр.!E78</f>
        <v>290</v>
      </c>
      <c r="F79" s="589">
        <f>'[19]Прот.3-22'!G78+[19]Отклон.Пр.!G78</f>
        <v>0</v>
      </c>
      <c r="G79" s="589">
        <f>'[19]Прот.3-22'!H78+[19]Отклон.Пр.!H78</f>
        <v>0</v>
      </c>
      <c r="H79" s="589">
        <v>0</v>
      </c>
      <c r="I79" s="589"/>
      <c r="J79" s="589"/>
      <c r="K79" s="589">
        <v>0</v>
      </c>
      <c r="L79" s="586"/>
      <c r="M79" s="587"/>
      <c r="N79" s="586"/>
    </row>
    <row r="80" spans="1:14" ht="24" x14ac:dyDescent="0.2">
      <c r="A80" s="35">
        <v>70</v>
      </c>
      <c r="B80" s="36" t="s">
        <v>214</v>
      </c>
      <c r="C80" s="9" t="s">
        <v>215</v>
      </c>
      <c r="D80" s="589">
        <f t="shared" si="3"/>
        <v>1600</v>
      </c>
      <c r="E80" s="589">
        <f>'[19]Прот.3-22'!E79+[19]Отклон.Пр.!E79</f>
        <v>1600</v>
      </c>
      <c r="F80" s="589">
        <f>'[19]Прот.3-22'!G79+[19]Отклон.Пр.!G79</f>
        <v>0</v>
      </c>
      <c r="G80" s="589">
        <f>'[19]Прот.3-22'!H79+[19]Отклон.Пр.!H79</f>
        <v>0</v>
      </c>
      <c r="H80" s="589">
        <v>0</v>
      </c>
      <c r="I80" s="589"/>
      <c r="J80" s="589"/>
      <c r="K80" s="589">
        <v>0</v>
      </c>
      <c r="L80" s="586"/>
      <c r="M80" s="587"/>
      <c r="N80" s="586"/>
    </row>
    <row r="81" spans="1:14" ht="24" x14ac:dyDescent="0.2">
      <c r="A81" s="13">
        <v>71</v>
      </c>
      <c r="B81" s="36" t="s">
        <v>216</v>
      </c>
      <c r="C81" s="9" t="s">
        <v>217</v>
      </c>
      <c r="D81" s="589">
        <f t="shared" si="3"/>
        <v>250</v>
      </c>
      <c r="E81" s="589">
        <f>'[19]Прот.3-22'!E80+[19]Отклон.Пр.!E80</f>
        <v>150</v>
      </c>
      <c r="F81" s="589">
        <f>'[19]Прот.3-22'!G80+[19]Отклон.Пр.!G80</f>
        <v>0</v>
      </c>
      <c r="G81" s="589">
        <f>'[19]Прот.3-22'!H80+[19]Отклон.Пр.!H80</f>
        <v>0</v>
      </c>
      <c r="H81" s="589">
        <v>100</v>
      </c>
      <c r="I81" s="589"/>
      <c r="J81" s="589"/>
      <c r="K81" s="589">
        <v>0</v>
      </c>
      <c r="L81" s="586"/>
      <c r="M81" s="587"/>
      <c r="N81" s="586"/>
    </row>
    <row r="82" spans="1:14" ht="24" x14ac:dyDescent="0.2">
      <c r="A82" s="35">
        <v>72</v>
      </c>
      <c r="B82" s="36" t="s">
        <v>218</v>
      </c>
      <c r="C82" s="9" t="s">
        <v>219</v>
      </c>
      <c r="D82" s="589">
        <f t="shared" si="3"/>
        <v>0</v>
      </c>
      <c r="E82" s="589">
        <f>'[19]Прот.3-22'!E81+[19]Отклон.Пр.!E81</f>
        <v>0</v>
      </c>
      <c r="F82" s="589">
        <f>'[19]Прот.3-22'!G81+[19]Отклон.Пр.!G81</f>
        <v>0</v>
      </c>
      <c r="G82" s="589">
        <f>'[19]Прот.3-22'!H81+[19]Отклон.Пр.!H81</f>
        <v>0</v>
      </c>
      <c r="H82" s="589">
        <v>0</v>
      </c>
      <c r="I82" s="589"/>
      <c r="J82" s="589"/>
      <c r="K82" s="589">
        <v>0</v>
      </c>
      <c r="L82" s="586"/>
      <c r="M82" s="587"/>
      <c r="N82" s="586"/>
    </row>
    <row r="83" spans="1:14" x14ac:dyDescent="0.2">
      <c r="A83" s="13">
        <v>73</v>
      </c>
      <c r="B83" s="12" t="s">
        <v>148</v>
      </c>
      <c r="C83" s="9" t="s">
        <v>16</v>
      </c>
      <c r="D83" s="589">
        <f t="shared" si="3"/>
        <v>95362</v>
      </c>
      <c r="E83" s="589">
        <f>'[19]Прот.3-22'!E82+[19]Отклон.Пр.!E82</f>
        <v>0</v>
      </c>
      <c r="F83" s="589">
        <f>'[19]Прот.3-22'!G82+[19]Отклон.Пр.!G82</f>
        <v>18104</v>
      </c>
      <c r="G83" s="589">
        <f>'[19]Прот.3-22'!H82+[19]Отклон.Пр.!H82</f>
        <v>65057</v>
      </c>
      <c r="H83" s="589">
        <v>0</v>
      </c>
      <c r="I83" s="589">
        <v>1000</v>
      </c>
      <c r="J83" s="589">
        <v>2000</v>
      </c>
      <c r="K83" s="589">
        <v>9201</v>
      </c>
      <c r="L83" s="586"/>
      <c r="M83" s="587"/>
      <c r="N83" s="586"/>
    </row>
    <row r="84" spans="1:14" x14ac:dyDescent="0.2">
      <c r="A84" s="35">
        <v>74</v>
      </c>
      <c r="B84" s="36" t="s">
        <v>145</v>
      </c>
      <c r="C84" s="9" t="s">
        <v>220</v>
      </c>
      <c r="D84" s="589">
        <f t="shared" si="3"/>
        <v>37597</v>
      </c>
      <c r="E84" s="589">
        <f>'[19]Прот.3-22'!E83+[19]Отклон.Пр.!E83</f>
        <v>0</v>
      </c>
      <c r="F84" s="589">
        <f>'[19]Прот.3-22'!G83+[19]Отклон.Пр.!G83</f>
        <v>5801</v>
      </c>
      <c r="G84" s="589">
        <f>'[19]Прот.3-22'!H83+[19]Отклон.Пр.!H83</f>
        <v>31659</v>
      </c>
      <c r="H84" s="589">
        <v>0</v>
      </c>
      <c r="I84" s="589">
        <v>0</v>
      </c>
      <c r="J84" s="589">
        <v>137</v>
      </c>
      <c r="K84" s="589">
        <v>0</v>
      </c>
      <c r="L84" s="586"/>
      <c r="M84" s="587"/>
      <c r="N84" s="586"/>
    </row>
    <row r="85" spans="1:14" x14ac:dyDescent="0.2">
      <c r="A85" s="13">
        <v>75</v>
      </c>
      <c r="B85" s="12" t="s">
        <v>146</v>
      </c>
      <c r="C85" s="9" t="s">
        <v>147</v>
      </c>
      <c r="D85" s="589">
        <f t="shared" si="3"/>
        <v>24608</v>
      </c>
      <c r="E85" s="589">
        <f>'[19]Прот.3-22'!E84+[19]Отклон.Пр.!E84</f>
        <v>0</v>
      </c>
      <c r="F85" s="589">
        <f>'[19]Прот.3-22'!G84+[19]Отклон.Пр.!G84</f>
        <v>4727</v>
      </c>
      <c r="G85" s="589">
        <f>'[19]Прот.3-22'!H84+[19]Отклон.Пр.!H84</f>
        <v>9054</v>
      </c>
      <c r="H85" s="589">
        <v>0</v>
      </c>
      <c r="I85" s="589">
        <v>985</v>
      </c>
      <c r="J85" s="589">
        <v>750</v>
      </c>
      <c r="K85" s="589">
        <v>9092</v>
      </c>
      <c r="L85" s="586"/>
      <c r="M85" s="587"/>
      <c r="N85" s="586"/>
    </row>
    <row r="86" spans="1:14" x14ac:dyDescent="0.2">
      <c r="A86" s="35">
        <v>76</v>
      </c>
      <c r="B86" s="39" t="s">
        <v>140</v>
      </c>
      <c r="C86" s="40" t="s">
        <v>141</v>
      </c>
      <c r="D86" s="589">
        <f t="shared" si="3"/>
        <v>1456</v>
      </c>
      <c r="E86" s="589">
        <f>'[19]Прот.3-22'!E85+[19]Отклон.Пр.!E85</f>
        <v>0</v>
      </c>
      <c r="F86" s="589">
        <f>'[19]Прот.3-22'!G85+[19]Отклон.Пр.!G85</f>
        <v>325</v>
      </c>
      <c r="G86" s="589">
        <f>'[19]Прот.3-22'!H85+[19]Отклон.Пр.!H85</f>
        <v>1131</v>
      </c>
      <c r="H86" s="589">
        <v>0</v>
      </c>
      <c r="I86" s="589"/>
      <c r="J86" s="589"/>
      <c r="K86" s="589">
        <v>0</v>
      </c>
      <c r="L86" s="586"/>
      <c r="M86" s="587"/>
      <c r="N86" s="586"/>
    </row>
    <row r="87" spans="1:14" x14ac:dyDescent="0.2">
      <c r="A87" s="13">
        <v>77</v>
      </c>
      <c r="B87" s="36" t="s">
        <v>142</v>
      </c>
      <c r="C87" s="9" t="s">
        <v>143</v>
      </c>
      <c r="D87" s="589">
        <f t="shared" si="3"/>
        <v>32516</v>
      </c>
      <c r="E87" s="589">
        <f>'[19]Прот.3-22'!E86+[19]Отклон.Пр.!E86</f>
        <v>0</v>
      </c>
      <c r="F87" s="589">
        <f>'[19]Прот.3-22'!G86+[19]Отклон.Пр.!G86</f>
        <v>14360</v>
      </c>
      <c r="G87" s="589">
        <f>'[19]Прот.3-22'!H86+[19]Отклон.Пр.!H86</f>
        <v>18156</v>
      </c>
      <c r="H87" s="589">
        <v>0</v>
      </c>
      <c r="I87" s="589">
        <v>0</v>
      </c>
      <c r="J87" s="589">
        <v>0</v>
      </c>
      <c r="K87" s="589">
        <v>0</v>
      </c>
      <c r="L87" s="586"/>
      <c r="M87" s="587"/>
      <c r="N87" s="586"/>
    </row>
    <row r="88" spans="1:14" x14ac:dyDescent="0.2">
      <c r="A88" s="35">
        <v>78</v>
      </c>
      <c r="B88" s="39" t="s">
        <v>221</v>
      </c>
      <c r="C88" s="40" t="s">
        <v>222</v>
      </c>
      <c r="D88" s="589">
        <f t="shared" si="3"/>
        <v>64359</v>
      </c>
      <c r="E88" s="589">
        <f>'[19]Прот.3-22'!E87+[19]Отклон.Пр.!E87</f>
        <v>0</v>
      </c>
      <c r="F88" s="589">
        <f>'[19]Прот.3-22'!G87+[19]Отклон.Пр.!G87</f>
        <v>2525</v>
      </c>
      <c r="G88" s="589">
        <f>'[19]Прот.3-22'!H87+[19]Отклон.Пр.!H87</f>
        <v>55897</v>
      </c>
      <c r="H88" s="589">
        <v>0</v>
      </c>
      <c r="I88" s="589"/>
      <c r="J88" s="589"/>
      <c r="K88" s="589">
        <v>5937</v>
      </c>
      <c r="L88" s="586"/>
      <c r="M88" s="587"/>
      <c r="N88" s="586"/>
    </row>
    <row r="89" spans="1:14" x14ac:dyDescent="0.2">
      <c r="A89" s="13">
        <v>79</v>
      </c>
      <c r="B89" s="36" t="s">
        <v>144</v>
      </c>
      <c r="C89" s="9" t="s">
        <v>223</v>
      </c>
      <c r="D89" s="589">
        <f t="shared" si="3"/>
        <v>55877</v>
      </c>
      <c r="E89" s="589">
        <f>'[19]Прот.3-22'!E88+[19]Отклон.Пр.!E88</f>
        <v>0</v>
      </c>
      <c r="F89" s="589">
        <f>'[19]Прот.3-22'!G88+[19]Отклон.Пр.!G88</f>
        <v>7220</v>
      </c>
      <c r="G89" s="589">
        <f>'[19]Прот.3-22'!H88+[19]Отклон.Пр.!H88</f>
        <v>10907</v>
      </c>
      <c r="H89" s="589">
        <v>0</v>
      </c>
      <c r="I89" s="589"/>
      <c r="J89" s="589">
        <v>36</v>
      </c>
      <c r="K89" s="589">
        <v>37714</v>
      </c>
      <c r="L89" s="586"/>
      <c r="M89" s="587"/>
      <c r="N89" s="586"/>
    </row>
    <row r="90" spans="1:14" x14ac:dyDescent="0.2">
      <c r="A90" s="35">
        <v>80</v>
      </c>
      <c r="B90" s="39" t="s">
        <v>224</v>
      </c>
      <c r="C90" s="40" t="s">
        <v>225</v>
      </c>
      <c r="D90" s="589">
        <f t="shared" si="3"/>
        <v>20438</v>
      </c>
      <c r="E90" s="589">
        <f>'[19]Прот.3-22'!E89+[19]Отклон.Пр.!E89</f>
        <v>20438</v>
      </c>
      <c r="F90" s="589">
        <f>'[19]Прот.3-22'!G89+[19]Отклон.Пр.!G89</f>
        <v>0</v>
      </c>
      <c r="G90" s="589">
        <f>'[19]Прот.3-22'!H89+[19]Отклон.Пр.!H89</f>
        <v>0</v>
      </c>
      <c r="H90" s="589">
        <v>0</v>
      </c>
      <c r="I90" s="589"/>
      <c r="J90" s="589"/>
      <c r="K90" s="589">
        <v>0</v>
      </c>
      <c r="L90" s="586"/>
      <c r="M90" s="587"/>
      <c r="N90" s="586"/>
    </row>
    <row r="91" spans="1:14" x14ac:dyDescent="0.2">
      <c r="A91" s="13">
        <v>81</v>
      </c>
      <c r="B91" s="38" t="s">
        <v>93</v>
      </c>
      <c r="C91" s="9" t="s">
        <v>94</v>
      </c>
      <c r="D91" s="589">
        <f t="shared" si="3"/>
        <v>0</v>
      </c>
      <c r="E91" s="589">
        <f>'[19]Прот.3-22'!E90+[19]Отклон.Пр.!E90</f>
        <v>0</v>
      </c>
      <c r="F91" s="589">
        <f>'[19]Прот.3-22'!G90+[19]Отклон.Пр.!G90</f>
        <v>0</v>
      </c>
      <c r="G91" s="589">
        <f>'[19]Прот.3-22'!H90+[19]Отклон.Пр.!H90</f>
        <v>0</v>
      </c>
      <c r="H91" s="589">
        <v>0</v>
      </c>
      <c r="I91" s="589"/>
      <c r="J91" s="589"/>
      <c r="K91" s="589">
        <v>0</v>
      </c>
      <c r="L91" s="586"/>
      <c r="M91" s="587"/>
      <c r="N91" s="586"/>
    </row>
    <row r="92" spans="1:14" ht="24" x14ac:dyDescent="0.2">
      <c r="A92" s="914">
        <v>82</v>
      </c>
      <c r="B92" s="916" t="s">
        <v>157</v>
      </c>
      <c r="C92" s="9" t="s">
        <v>2272</v>
      </c>
      <c r="D92" s="589">
        <f t="shared" si="3"/>
        <v>1475</v>
      </c>
      <c r="E92" s="589">
        <f>'[19]Прот.3-22'!E91+[19]Отклон.Пр.!E91</f>
        <v>0</v>
      </c>
      <c r="F92" s="589">
        <f>'[19]Прот.3-22'!G91+[19]Отклон.Пр.!G91</f>
        <v>0</v>
      </c>
      <c r="G92" s="589">
        <f>'[19]Прот.3-22'!H91+[19]Отклон.Пр.!H91</f>
        <v>1475</v>
      </c>
      <c r="H92" s="589">
        <v>0</v>
      </c>
      <c r="I92" s="589"/>
      <c r="J92" s="589"/>
      <c r="K92" s="589">
        <v>0</v>
      </c>
      <c r="L92" s="586"/>
      <c r="M92" s="587"/>
      <c r="N92" s="586"/>
    </row>
    <row r="93" spans="1:14" ht="24" x14ac:dyDescent="0.2">
      <c r="A93" s="915"/>
      <c r="B93" s="917"/>
      <c r="C93" s="9" t="s">
        <v>66</v>
      </c>
      <c r="D93" s="589">
        <f t="shared" si="3"/>
        <v>0</v>
      </c>
      <c r="E93" s="589">
        <f>'[19]Прот.3-22'!E92+[19]Отклон.Пр.!E92</f>
        <v>0</v>
      </c>
      <c r="F93" s="589">
        <f>'[19]Прот.3-22'!G92+[19]Отклон.Пр.!G92</f>
        <v>0</v>
      </c>
      <c r="G93" s="589">
        <f>'[19]Прот.3-22'!H92+[19]Отклон.Пр.!H92</f>
        <v>0</v>
      </c>
      <c r="H93" s="589">
        <v>0</v>
      </c>
      <c r="I93" s="589"/>
      <c r="J93" s="589"/>
      <c r="K93" s="589">
        <v>0</v>
      </c>
      <c r="L93" s="586"/>
      <c r="M93" s="587"/>
      <c r="N93" s="586"/>
    </row>
    <row r="94" spans="1:14" ht="24" x14ac:dyDescent="0.2">
      <c r="A94" s="35">
        <v>83</v>
      </c>
      <c r="B94" s="38" t="s">
        <v>226</v>
      </c>
      <c r="C94" s="37" t="s">
        <v>227</v>
      </c>
      <c r="D94" s="589">
        <f t="shared" si="3"/>
        <v>0</v>
      </c>
      <c r="E94" s="589">
        <f>'[19]Прот.3-22'!E93+[19]Отклон.Пр.!E93</f>
        <v>0</v>
      </c>
      <c r="F94" s="589">
        <f>'[19]Прот.3-22'!G93+[19]Отклон.Пр.!G93</f>
        <v>0</v>
      </c>
      <c r="G94" s="589">
        <f>'[19]Прот.3-22'!H93+[19]Отклон.Пр.!H93</f>
        <v>0</v>
      </c>
      <c r="H94" s="589">
        <v>0</v>
      </c>
      <c r="I94" s="589"/>
      <c r="J94" s="589"/>
      <c r="K94" s="589">
        <v>0</v>
      </c>
      <c r="L94" s="586"/>
      <c r="M94" s="587"/>
      <c r="N94" s="586"/>
    </row>
    <row r="95" spans="1:14" x14ac:dyDescent="0.2">
      <c r="A95" s="35">
        <v>84</v>
      </c>
      <c r="B95" s="38" t="s">
        <v>155</v>
      </c>
      <c r="C95" s="40" t="s">
        <v>156</v>
      </c>
      <c r="D95" s="589">
        <f t="shared" si="3"/>
        <v>2999</v>
      </c>
      <c r="E95" s="589">
        <f>'[19]Прот.3-22'!E94+[19]Отклон.Пр.!E94</f>
        <v>0</v>
      </c>
      <c r="F95" s="589">
        <f>'[19]Прот.3-22'!G94+[19]Отклон.Пр.!G94</f>
        <v>126</v>
      </c>
      <c r="G95" s="589">
        <f>'[19]Прот.3-22'!H94+[19]Отклон.Пр.!H94</f>
        <v>2873</v>
      </c>
      <c r="H95" s="589">
        <v>0</v>
      </c>
      <c r="I95" s="589"/>
      <c r="J95" s="589"/>
      <c r="K95" s="589">
        <v>0</v>
      </c>
      <c r="L95" s="586"/>
      <c r="M95" s="587"/>
      <c r="N95" s="586"/>
    </row>
    <row r="96" spans="1:14" x14ac:dyDescent="0.2">
      <c r="A96" s="35">
        <v>85</v>
      </c>
      <c r="B96" s="12" t="s">
        <v>158</v>
      </c>
      <c r="C96" s="9" t="s">
        <v>228</v>
      </c>
      <c r="D96" s="589">
        <f t="shared" si="3"/>
        <v>4103</v>
      </c>
      <c r="E96" s="589">
        <f>'[19]Прот.3-22'!E95+[19]Отклон.Пр.!E95</f>
        <v>0</v>
      </c>
      <c r="F96" s="589">
        <f>'[19]Прот.3-22'!G95+[19]Отклон.Пр.!G95</f>
        <v>147</v>
      </c>
      <c r="G96" s="589">
        <f>'[19]Прот.3-22'!H95+[19]Отклон.Пр.!H95</f>
        <v>3881</v>
      </c>
      <c r="H96" s="589">
        <v>0</v>
      </c>
      <c r="I96" s="589"/>
      <c r="J96" s="589">
        <v>75</v>
      </c>
      <c r="K96" s="589">
        <v>0</v>
      </c>
      <c r="L96" s="586"/>
      <c r="M96" s="587"/>
      <c r="N96" s="586"/>
    </row>
    <row r="97" spans="1:14" x14ac:dyDescent="0.2">
      <c r="A97" s="35">
        <v>86</v>
      </c>
      <c r="B97" s="38" t="s">
        <v>95</v>
      </c>
      <c r="C97" s="37" t="s">
        <v>27</v>
      </c>
      <c r="D97" s="589">
        <f t="shared" si="3"/>
        <v>11392</v>
      </c>
      <c r="E97" s="589">
        <f>'[19]Прот.3-22'!E96+[19]Отклон.Пр.!E96</f>
        <v>0</v>
      </c>
      <c r="F97" s="589">
        <f>'[19]Прот.3-22'!G96+[19]Отклон.Пр.!G96</f>
        <v>3385</v>
      </c>
      <c r="G97" s="589">
        <f>'[19]Прот.3-22'!H96+[19]Отклон.Пр.!H96</f>
        <v>7557</v>
      </c>
      <c r="H97" s="589">
        <v>0</v>
      </c>
      <c r="I97" s="589">
        <v>100</v>
      </c>
      <c r="J97" s="589">
        <v>350</v>
      </c>
      <c r="K97" s="589">
        <v>0</v>
      </c>
      <c r="L97" s="586"/>
      <c r="M97" s="587"/>
      <c r="N97" s="586"/>
    </row>
    <row r="98" spans="1:14" x14ac:dyDescent="0.2">
      <c r="A98" s="35">
        <v>87</v>
      </c>
      <c r="B98" s="12" t="s">
        <v>138</v>
      </c>
      <c r="C98" s="9" t="s">
        <v>32</v>
      </c>
      <c r="D98" s="589">
        <f t="shared" si="3"/>
        <v>9550</v>
      </c>
      <c r="E98" s="589">
        <f>'[19]Прот.3-22'!E97+[19]Отклон.Пр.!E97</f>
        <v>0</v>
      </c>
      <c r="F98" s="589">
        <f>'[19]Прот.3-22'!G97+[19]Отклон.Пр.!G97</f>
        <v>1360</v>
      </c>
      <c r="G98" s="589">
        <f>'[19]Прот.3-22'!H97+[19]Отклон.Пр.!H97</f>
        <v>8190</v>
      </c>
      <c r="H98" s="589">
        <v>0</v>
      </c>
      <c r="I98" s="589">
        <v>0</v>
      </c>
      <c r="J98" s="589">
        <v>0</v>
      </c>
      <c r="K98" s="589">
        <v>0</v>
      </c>
      <c r="L98" s="586"/>
      <c r="M98" s="587"/>
      <c r="N98" s="586"/>
    </row>
    <row r="99" spans="1:14" x14ac:dyDescent="0.2">
      <c r="A99" s="35">
        <v>88</v>
      </c>
      <c r="B99" s="12" t="s">
        <v>96</v>
      </c>
      <c r="C99" s="9" t="s">
        <v>18</v>
      </c>
      <c r="D99" s="589">
        <f t="shared" si="3"/>
        <v>36562</v>
      </c>
      <c r="E99" s="589">
        <f>'[19]Прот.3-22'!E98+[19]Отклон.Пр.!E98</f>
        <v>0</v>
      </c>
      <c r="F99" s="589">
        <f>'[19]Прот.3-22'!G98+[19]Отклон.Пр.!G98</f>
        <v>7702</v>
      </c>
      <c r="G99" s="589">
        <f>'[19]Прот.3-22'!H98+[19]Отклон.Пр.!H98</f>
        <v>27060</v>
      </c>
      <c r="H99" s="589">
        <v>0</v>
      </c>
      <c r="I99" s="589">
        <v>750</v>
      </c>
      <c r="J99" s="589">
        <v>1050</v>
      </c>
      <c r="K99" s="589">
        <v>0</v>
      </c>
      <c r="L99" s="586"/>
      <c r="M99" s="587"/>
      <c r="N99" s="586"/>
    </row>
    <row r="100" spans="1:14" x14ac:dyDescent="0.2">
      <c r="A100" s="35">
        <v>89</v>
      </c>
      <c r="B100" s="38" t="s">
        <v>139</v>
      </c>
      <c r="C100" s="40" t="s">
        <v>19</v>
      </c>
      <c r="D100" s="589">
        <f t="shared" si="3"/>
        <v>13423</v>
      </c>
      <c r="E100" s="589">
        <f>'[19]Прот.3-22'!E99+[19]Отклон.Пр.!E99</f>
        <v>0</v>
      </c>
      <c r="F100" s="589">
        <f>'[19]Прот.3-22'!G99+[19]Отклон.Пр.!G99</f>
        <v>1227</v>
      </c>
      <c r="G100" s="589">
        <f>'[19]Прот.3-22'!H99+[19]Отклон.Пр.!H99</f>
        <v>11396</v>
      </c>
      <c r="H100" s="589">
        <v>0</v>
      </c>
      <c r="I100" s="589">
        <v>50</v>
      </c>
      <c r="J100" s="589">
        <v>750</v>
      </c>
      <c r="K100" s="589">
        <v>0</v>
      </c>
      <c r="L100" s="586"/>
      <c r="M100" s="587"/>
      <c r="N100" s="586"/>
    </row>
    <row r="101" spans="1:14" x14ac:dyDescent="0.2">
      <c r="A101" s="35">
        <v>90</v>
      </c>
      <c r="B101" s="38" t="s">
        <v>97</v>
      </c>
      <c r="C101" s="37" t="s">
        <v>34</v>
      </c>
      <c r="D101" s="589">
        <f t="shared" si="3"/>
        <v>9287</v>
      </c>
      <c r="E101" s="589">
        <f>'[19]Прот.3-22'!E100+[19]Отклон.Пр.!E100</f>
        <v>0</v>
      </c>
      <c r="F101" s="589">
        <f>'[19]Прот.3-22'!G100+[19]Отклон.Пр.!G100</f>
        <v>6542</v>
      </c>
      <c r="G101" s="589">
        <f>'[19]Прот.3-22'!H100+[19]Отклон.Пр.!H100</f>
        <v>1245</v>
      </c>
      <c r="H101" s="589">
        <v>0</v>
      </c>
      <c r="I101" s="589">
        <v>500</v>
      </c>
      <c r="J101" s="589">
        <v>1000</v>
      </c>
      <c r="K101" s="589">
        <v>0</v>
      </c>
      <c r="L101" s="586"/>
      <c r="M101" s="587"/>
      <c r="N101" s="586"/>
    </row>
    <row r="102" spans="1:14" x14ac:dyDescent="0.2">
      <c r="A102" s="35">
        <v>91</v>
      </c>
      <c r="B102" s="36" t="s">
        <v>98</v>
      </c>
      <c r="C102" s="37" t="s">
        <v>42</v>
      </c>
      <c r="D102" s="589">
        <f t="shared" si="3"/>
        <v>34750</v>
      </c>
      <c r="E102" s="589">
        <f>'[19]Прот.3-22'!E101+[19]Отклон.Пр.!E101</f>
        <v>0</v>
      </c>
      <c r="F102" s="589">
        <f>'[19]Прот.3-22'!G101+[19]Отклон.Пр.!G101</f>
        <v>4054</v>
      </c>
      <c r="G102" s="589">
        <f>'[19]Прот.3-22'!H101+[19]Отклон.Пр.!H101</f>
        <v>28896</v>
      </c>
      <c r="H102" s="589">
        <v>0</v>
      </c>
      <c r="I102" s="589">
        <v>300</v>
      </c>
      <c r="J102" s="589">
        <v>1500</v>
      </c>
      <c r="K102" s="589">
        <v>0</v>
      </c>
      <c r="L102" s="586"/>
      <c r="M102" s="587"/>
      <c r="N102" s="586"/>
    </row>
    <row r="103" spans="1:14" x14ac:dyDescent="0.2">
      <c r="A103" s="35">
        <v>92</v>
      </c>
      <c r="B103" s="36" t="s">
        <v>99</v>
      </c>
      <c r="C103" s="37" t="s">
        <v>46</v>
      </c>
      <c r="D103" s="589">
        <f t="shared" si="3"/>
        <v>28185</v>
      </c>
      <c r="E103" s="589">
        <f>'[19]Прот.3-22'!E102+[19]Отклон.Пр.!E102</f>
        <v>0</v>
      </c>
      <c r="F103" s="589">
        <f>'[19]Прот.3-22'!G102+[19]Отклон.Пр.!G102</f>
        <v>12021</v>
      </c>
      <c r="G103" s="589">
        <f>'[19]Прот.3-22'!H102+[19]Отклон.Пр.!H102</f>
        <v>9704</v>
      </c>
      <c r="H103" s="589">
        <v>0</v>
      </c>
      <c r="I103" s="589">
        <v>700</v>
      </c>
      <c r="J103" s="589">
        <v>5760</v>
      </c>
      <c r="K103" s="589">
        <v>0</v>
      </c>
      <c r="L103" s="586"/>
      <c r="M103" s="587"/>
      <c r="N103" s="586"/>
    </row>
    <row r="104" spans="1:14" ht="21" customHeight="1" x14ac:dyDescent="0.2">
      <c r="A104" s="35">
        <v>93</v>
      </c>
      <c r="B104" s="12" t="s">
        <v>149</v>
      </c>
      <c r="C104" s="9" t="s">
        <v>47</v>
      </c>
      <c r="D104" s="589">
        <f t="shared" si="3"/>
        <v>12002</v>
      </c>
      <c r="E104" s="589">
        <f>'[19]Прот.3-22'!E103+[19]Отклон.Пр.!E103</f>
        <v>0</v>
      </c>
      <c r="F104" s="589">
        <f>'[19]Прот.3-22'!G103+[19]Отклон.Пр.!G103</f>
        <v>1024</v>
      </c>
      <c r="G104" s="589">
        <f>'[19]Прот.3-22'!H103+[19]Отклон.Пр.!H103</f>
        <v>10578</v>
      </c>
      <c r="H104" s="589">
        <v>0</v>
      </c>
      <c r="I104" s="589">
        <v>400</v>
      </c>
      <c r="J104" s="589">
        <v>0</v>
      </c>
      <c r="K104" s="589">
        <v>0</v>
      </c>
      <c r="L104" s="586"/>
      <c r="M104" s="587"/>
      <c r="N104" s="586"/>
    </row>
    <row r="105" spans="1:14" x14ac:dyDescent="0.2">
      <c r="A105" s="35">
        <v>94</v>
      </c>
      <c r="B105" s="39" t="s">
        <v>100</v>
      </c>
      <c r="C105" s="40" t="s">
        <v>50</v>
      </c>
      <c r="D105" s="589">
        <f t="shared" si="3"/>
        <v>22701</v>
      </c>
      <c r="E105" s="589">
        <f>'[19]Прот.3-22'!E104+[19]Отклон.Пр.!E104</f>
        <v>0</v>
      </c>
      <c r="F105" s="589">
        <f>'[19]Прот.3-22'!G104+[19]Отклон.Пр.!G104</f>
        <v>5751</v>
      </c>
      <c r="G105" s="589">
        <f>'[19]Прот.3-22'!H104+[19]Отклон.Пр.!H104</f>
        <v>15450</v>
      </c>
      <c r="H105" s="589">
        <v>0</v>
      </c>
      <c r="I105" s="589">
        <v>0</v>
      </c>
      <c r="J105" s="589">
        <v>1500</v>
      </c>
      <c r="K105" s="589">
        <v>0</v>
      </c>
      <c r="L105" s="586"/>
      <c r="M105" s="587"/>
      <c r="N105" s="586"/>
    </row>
    <row r="106" spans="1:14" x14ac:dyDescent="0.2">
      <c r="A106" s="35">
        <v>95</v>
      </c>
      <c r="B106" s="36" t="s">
        <v>150</v>
      </c>
      <c r="C106" s="37" t="s">
        <v>51</v>
      </c>
      <c r="D106" s="589">
        <f t="shared" si="3"/>
        <v>23320</v>
      </c>
      <c r="E106" s="589">
        <f>'[19]Прот.3-22'!E105+[19]Отклон.Пр.!E105</f>
        <v>0</v>
      </c>
      <c r="F106" s="589">
        <f>'[19]Прот.3-22'!G105+[19]Отклон.Пр.!G105</f>
        <v>2186</v>
      </c>
      <c r="G106" s="589">
        <f>'[19]Прот.3-22'!H105+[19]Отклон.Пр.!H105</f>
        <v>19514</v>
      </c>
      <c r="H106" s="589">
        <v>0</v>
      </c>
      <c r="I106" s="589"/>
      <c r="J106" s="589">
        <v>1620</v>
      </c>
      <c r="K106" s="589">
        <v>0</v>
      </c>
      <c r="L106" s="586"/>
      <c r="M106" s="587"/>
      <c r="N106" s="586"/>
    </row>
    <row r="107" spans="1:14" x14ac:dyDescent="0.2">
      <c r="A107" s="35">
        <v>96</v>
      </c>
      <c r="B107" s="38" t="s">
        <v>101</v>
      </c>
      <c r="C107" s="37" t="s">
        <v>20</v>
      </c>
      <c r="D107" s="589">
        <f t="shared" si="3"/>
        <v>29985</v>
      </c>
      <c r="E107" s="589">
        <f>'[19]Прот.3-22'!E106+[19]Отклон.Пр.!E106</f>
        <v>0</v>
      </c>
      <c r="F107" s="589">
        <f>'[19]Прот.3-22'!G106+[19]Отклон.Пр.!G106</f>
        <v>3897</v>
      </c>
      <c r="G107" s="589">
        <f>'[19]Прот.3-22'!H106+[19]Отклон.Пр.!H106</f>
        <v>17212</v>
      </c>
      <c r="H107" s="589">
        <v>0</v>
      </c>
      <c r="I107" s="589">
        <v>0</v>
      </c>
      <c r="J107" s="589">
        <v>2250</v>
      </c>
      <c r="K107" s="589">
        <v>6626</v>
      </c>
      <c r="L107" s="586"/>
      <c r="M107" s="587"/>
      <c r="N107" s="586"/>
    </row>
    <row r="108" spans="1:14" x14ac:dyDescent="0.2">
      <c r="A108" s="35">
        <v>97</v>
      </c>
      <c r="B108" s="12" t="s">
        <v>102</v>
      </c>
      <c r="C108" s="9" t="s">
        <v>55</v>
      </c>
      <c r="D108" s="589">
        <f t="shared" si="3"/>
        <v>14437</v>
      </c>
      <c r="E108" s="589">
        <f>'[19]Прот.3-22'!E107+[19]Отклон.Пр.!E107</f>
        <v>0</v>
      </c>
      <c r="F108" s="589">
        <f>'[19]Прот.3-22'!G107+[19]Отклон.Пр.!G107</f>
        <v>5177</v>
      </c>
      <c r="G108" s="589">
        <f>'[19]Прот.3-22'!H107+[19]Отклон.Пр.!H107</f>
        <v>9110</v>
      </c>
      <c r="H108" s="589">
        <v>0</v>
      </c>
      <c r="I108" s="589">
        <v>150</v>
      </c>
      <c r="J108" s="589"/>
      <c r="K108" s="589">
        <v>0</v>
      </c>
      <c r="L108" s="586"/>
      <c r="M108" s="587"/>
      <c r="N108" s="586"/>
    </row>
    <row r="109" spans="1:14" x14ac:dyDescent="0.2">
      <c r="A109" s="35">
        <v>98</v>
      </c>
      <c r="B109" s="12" t="s">
        <v>103</v>
      </c>
      <c r="C109" s="9" t="s">
        <v>60</v>
      </c>
      <c r="D109" s="589">
        <f t="shared" si="3"/>
        <v>24687</v>
      </c>
      <c r="E109" s="589">
        <f>'[19]Прот.3-22'!E108+[19]Отклон.Пр.!E108</f>
        <v>0</v>
      </c>
      <c r="F109" s="589">
        <f>'[19]Прот.3-22'!G108+[19]Отклон.Пр.!G108</f>
        <v>3051</v>
      </c>
      <c r="G109" s="589">
        <f>'[19]Прот.3-22'!H108+[19]Отклон.Пр.!H108</f>
        <v>21636</v>
      </c>
      <c r="H109" s="589">
        <v>0</v>
      </c>
      <c r="I109" s="589">
        <v>0</v>
      </c>
      <c r="J109" s="589">
        <v>0</v>
      </c>
      <c r="K109" s="589">
        <v>0</v>
      </c>
      <c r="L109" s="586"/>
      <c r="M109" s="587"/>
      <c r="N109" s="586"/>
    </row>
    <row r="110" spans="1:14" x14ac:dyDescent="0.2">
      <c r="A110" s="35">
        <v>99</v>
      </c>
      <c r="B110" s="36" t="s">
        <v>104</v>
      </c>
      <c r="C110" s="37" t="s">
        <v>21</v>
      </c>
      <c r="D110" s="589">
        <f t="shared" si="3"/>
        <v>23206</v>
      </c>
      <c r="E110" s="589">
        <f>'[19]Прот.3-22'!E109+[19]Отклон.Пр.!E109</f>
        <v>0</v>
      </c>
      <c r="F110" s="589">
        <f>'[19]Прот.3-22'!G109+[19]Отклон.Пр.!G109</f>
        <v>8551</v>
      </c>
      <c r="G110" s="589">
        <f>'[19]Прот.3-22'!H109+[19]Отклон.Пр.!H109</f>
        <v>10985</v>
      </c>
      <c r="H110" s="589">
        <v>0</v>
      </c>
      <c r="I110" s="589">
        <v>1170</v>
      </c>
      <c r="J110" s="589">
        <v>2500</v>
      </c>
      <c r="K110" s="589">
        <v>0</v>
      </c>
      <c r="L110" s="586"/>
      <c r="M110" s="587"/>
      <c r="N110" s="586"/>
    </row>
    <row r="111" spans="1:14" x14ac:dyDescent="0.2">
      <c r="A111" s="35">
        <v>100</v>
      </c>
      <c r="B111" s="38" t="s">
        <v>105</v>
      </c>
      <c r="C111" s="37" t="s">
        <v>62</v>
      </c>
      <c r="D111" s="589">
        <f t="shared" si="3"/>
        <v>5732</v>
      </c>
      <c r="E111" s="589">
        <f>'[19]Прот.3-22'!E110+[19]Отклон.Пр.!E110</f>
        <v>0</v>
      </c>
      <c r="F111" s="589">
        <f>'[19]Прот.3-22'!G110+[19]Отклон.Пр.!G110</f>
        <v>2057</v>
      </c>
      <c r="G111" s="589">
        <f>'[19]Прот.3-22'!H110+[19]Отклон.Пр.!H110</f>
        <v>2995</v>
      </c>
      <c r="H111" s="589">
        <v>0</v>
      </c>
      <c r="I111" s="589">
        <v>180</v>
      </c>
      <c r="J111" s="589">
        <v>500</v>
      </c>
      <c r="K111" s="589">
        <v>0</v>
      </c>
      <c r="L111" s="586"/>
      <c r="M111" s="587"/>
      <c r="N111" s="586"/>
    </row>
    <row r="112" spans="1:14" x14ac:dyDescent="0.2">
      <c r="A112" s="35">
        <v>101</v>
      </c>
      <c r="B112" s="36" t="s">
        <v>229</v>
      </c>
      <c r="C112" s="9" t="s">
        <v>230</v>
      </c>
      <c r="D112" s="589">
        <f t="shared" si="3"/>
        <v>0</v>
      </c>
      <c r="E112" s="589">
        <f>'[19]Прот.3-22'!E111+[19]Отклон.Пр.!E111</f>
        <v>0</v>
      </c>
      <c r="F112" s="589">
        <f>'[19]Прот.3-22'!G111+[19]Отклон.Пр.!G111</f>
        <v>0</v>
      </c>
      <c r="G112" s="589">
        <f>'[19]Прот.3-22'!H111+[19]Отклон.Пр.!H111</f>
        <v>0</v>
      </c>
      <c r="H112" s="589">
        <v>0</v>
      </c>
      <c r="I112" s="589"/>
      <c r="J112" s="589"/>
      <c r="K112" s="589">
        <v>0</v>
      </c>
      <c r="L112" s="586"/>
      <c r="M112" s="587"/>
      <c r="N112" s="586"/>
    </row>
    <row r="113" spans="1:14" x14ac:dyDescent="0.2">
      <c r="A113" s="35">
        <v>102</v>
      </c>
      <c r="B113" s="36" t="s">
        <v>231</v>
      </c>
      <c r="C113" s="37" t="s">
        <v>232</v>
      </c>
      <c r="D113" s="589">
        <f t="shared" si="3"/>
        <v>0</v>
      </c>
      <c r="E113" s="589">
        <f>'[19]Прот.3-22'!E112+[19]Отклон.Пр.!E112</f>
        <v>0</v>
      </c>
      <c r="F113" s="589">
        <f>'[19]Прот.3-22'!G112+[19]Отклон.Пр.!G112</f>
        <v>0</v>
      </c>
      <c r="G113" s="589">
        <f>'[19]Прот.3-22'!H112+[19]Отклон.Пр.!H112</f>
        <v>0</v>
      </c>
      <c r="H113" s="589">
        <v>0</v>
      </c>
      <c r="I113" s="589"/>
      <c r="J113" s="589"/>
      <c r="K113" s="589">
        <v>0</v>
      </c>
      <c r="L113" s="586"/>
      <c r="M113" s="587"/>
      <c r="N113" s="586"/>
    </row>
    <row r="114" spans="1:14" x14ac:dyDescent="0.2">
      <c r="A114" s="35">
        <v>103</v>
      </c>
      <c r="B114" s="12" t="s">
        <v>233</v>
      </c>
      <c r="C114" s="9" t="s">
        <v>234</v>
      </c>
      <c r="D114" s="589">
        <f t="shared" si="3"/>
        <v>0</v>
      </c>
      <c r="E114" s="589">
        <f>'[19]Прот.3-22'!E113+[19]Отклон.Пр.!E113</f>
        <v>0</v>
      </c>
      <c r="F114" s="589">
        <f>'[19]Прот.3-22'!G113+[19]Отклон.Пр.!G113</f>
        <v>0</v>
      </c>
      <c r="G114" s="589">
        <f>'[19]Прот.3-22'!H113+[19]Отклон.Пр.!H113</f>
        <v>0</v>
      </c>
      <c r="H114" s="589">
        <v>0</v>
      </c>
      <c r="I114" s="589"/>
      <c r="J114" s="589"/>
      <c r="K114" s="589">
        <v>0</v>
      </c>
      <c r="L114" s="586"/>
      <c r="M114" s="587"/>
      <c r="N114" s="586"/>
    </row>
    <row r="115" spans="1:14" x14ac:dyDescent="0.2">
      <c r="A115" s="35">
        <v>104</v>
      </c>
      <c r="B115" s="12" t="s">
        <v>235</v>
      </c>
      <c r="C115" s="9" t="s">
        <v>236</v>
      </c>
      <c r="D115" s="589">
        <f t="shared" si="3"/>
        <v>0</v>
      </c>
      <c r="E115" s="589">
        <f>'[19]Прот.3-22'!E114+[19]Отклон.Пр.!E114</f>
        <v>0</v>
      </c>
      <c r="F115" s="589">
        <f>'[19]Прот.3-22'!G114+[19]Отклон.Пр.!G114</f>
        <v>0</v>
      </c>
      <c r="G115" s="589">
        <f>'[19]Прот.3-22'!H114+[19]Отклон.Пр.!H114</f>
        <v>0</v>
      </c>
      <c r="H115" s="589">
        <v>0</v>
      </c>
      <c r="I115" s="589"/>
      <c r="J115" s="589"/>
      <c r="K115" s="589">
        <v>0</v>
      </c>
      <c r="L115" s="586"/>
      <c r="M115" s="587"/>
      <c r="N115" s="586"/>
    </row>
    <row r="116" spans="1:14" x14ac:dyDescent="0.2">
      <c r="A116" s="35">
        <v>105</v>
      </c>
      <c r="B116" s="12" t="s">
        <v>237</v>
      </c>
      <c r="C116" s="9" t="s">
        <v>238</v>
      </c>
      <c r="D116" s="589">
        <f t="shared" si="3"/>
        <v>0</v>
      </c>
      <c r="E116" s="589">
        <f>'[19]Прот.3-22'!E115+[19]Отклон.Пр.!E115</f>
        <v>0</v>
      </c>
      <c r="F116" s="589">
        <f>'[19]Прот.3-22'!G115+[19]Отклон.Пр.!G115</f>
        <v>0</v>
      </c>
      <c r="G116" s="589">
        <f>'[19]Прот.3-22'!H115+[19]Отклон.Пр.!H115</f>
        <v>0</v>
      </c>
      <c r="H116" s="589">
        <v>0</v>
      </c>
      <c r="I116" s="589"/>
      <c r="J116" s="589"/>
      <c r="K116" s="589">
        <v>0</v>
      </c>
      <c r="L116" s="586"/>
      <c r="M116" s="587"/>
      <c r="N116" s="586"/>
    </row>
    <row r="117" spans="1:14" x14ac:dyDescent="0.2">
      <c r="A117" s="35">
        <v>106</v>
      </c>
      <c r="B117" s="12" t="s">
        <v>239</v>
      </c>
      <c r="C117" s="9" t="s">
        <v>240</v>
      </c>
      <c r="D117" s="589">
        <f t="shared" si="3"/>
        <v>0</v>
      </c>
      <c r="E117" s="589">
        <f>'[19]Прот.3-22'!E116+[19]Отклон.Пр.!E116</f>
        <v>0</v>
      </c>
      <c r="F117" s="589">
        <f>'[19]Прот.3-22'!G116+[19]Отклон.Пр.!G116</f>
        <v>0</v>
      </c>
      <c r="G117" s="589">
        <f>'[19]Прот.3-22'!H116+[19]Отклон.Пр.!H116</f>
        <v>0</v>
      </c>
      <c r="H117" s="589">
        <v>0</v>
      </c>
      <c r="I117" s="589"/>
      <c r="J117" s="589"/>
      <c r="K117" s="589">
        <v>0</v>
      </c>
      <c r="L117" s="586"/>
      <c r="M117" s="587"/>
      <c r="N117" s="586"/>
    </row>
    <row r="118" spans="1:14" x14ac:dyDescent="0.2">
      <c r="A118" s="35">
        <v>107</v>
      </c>
      <c r="B118" s="12" t="s">
        <v>241</v>
      </c>
      <c r="C118" s="9" t="s">
        <v>242</v>
      </c>
      <c r="D118" s="589">
        <f t="shared" si="3"/>
        <v>0</v>
      </c>
      <c r="E118" s="589">
        <f>'[19]Прот.3-22'!E117+[19]Отклон.Пр.!E117</f>
        <v>0</v>
      </c>
      <c r="F118" s="589">
        <f>'[19]Прот.3-22'!G117+[19]Отклон.Пр.!G117</f>
        <v>0</v>
      </c>
      <c r="G118" s="589">
        <f>'[19]Прот.3-22'!H117+[19]Отклон.Пр.!H117</f>
        <v>0</v>
      </c>
      <c r="H118" s="589">
        <v>0</v>
      </c>
      <c r="I118" s="589"/>
      <c r="J118" s="589"/>
      <c r="K118" s="589">
        <v>0</v>
      </c>
      <c r="L118" s="586"/>
      <c r="M118" s="587"/>
      <c r="N118" s="586"/>
    </row>
    <row r="119" spans="1:14" x14ac:dyDescent="0.2">
      <c r="A119" s="35">
        <v>108</v>
      </c>
      <c r="B119" s="12" t="s">
        <v>243</v>
      </c>
      <c r="C119" s="9" t="s">
        <v>244</v>
      </c>
      <c r="D119" s="589">
        <f t="shared" si="3"/>
        <v>0</v>
      </c>
      <c r="E119" s="589">
        <f>'[19]Прот.3-22'!E118+[19]Отклон.Пр.!E118</f>
        <v>0</v>
      </c>
      <c r="F119" s="589">
        <f>'[19]Прот.3-22'!G118+[19]Отклон.Пр.!G118</f>
        <v>0</v>
      </c>
      <c r="G119" s="589">
        <f>'[19]Прот.3-22'!H118+[19]Отклон.Пр.!H118</f>
        <v>0</v>
      </c>
      <c r="H119" s="589">
        <v>0</v>
      </c>
      <c r="I119" s="589"/>
      <c r="J119" s="589"/>
      <c r="K119" s="589">
        <v>0</v>
      </c>
      <c r="L119" s="586"/>
      <c r="M119" s="587"/>
      <c r="N119" s="586"/>
    </row>
    <row r="120" spans="1:14" x14ac:dyDescent="0.2">
      <c r="A120" s="35">
        <v>109</v>
      </c>
      <c r="B120" s="43" t="s">
        <v>245</v>
      </c>
      <c r="C120" s="11" t="s">
        <v>246</v>
      </c>
      <c r="D120" s="589">
        <f t="shared" si="3"/>
        <v>0</v>
      </c>
      <c r="E120" s="589">
        <f>'[19]Прот.3-22'!E119+[19]Отклон.Пр.!E119</f>
        <v>0</v>
      </c>
      <c r="F120" s="589">
        <f>'[19]Прот.3-22'!G119+[19]Отклон.Пр.!G119</f>
        <v>0</v>
      </c>
      <c r="G120" s="589">
        <f>'[19]Прот.3-22'!H119+[19]Отклон.Пр.!H119</f>
        <v>0</v>
      </c>
      <c r="H120" s="589">
        <v>0</v>
      </c>
      <c r="I120" s="589"/>
      <c r="J120" s="589"/>
      <c r="K120" s="589">
        <v>0</v>
      </c>
      <c r="L120" s="586"/>
      <c r="M120" s="587"/>
      <c r="N120" s="586"/>
    </row>
    <row r="121" spans="1:14" x14ac:dyDescent="0.2">
      <c r="A121" s="35">
        <v>110</v>
      </c>
      <c r="B121" s="43" t="s">
        <v>2270</v>
      </c>
      <c r="C121" s="11" t="s">
        <v>247</v>
      </c>
      <c r="D121" s="589">
        <f t="shared" si="3"/>
        <v>0</v>
      </c>
      <c r="E121" s="589">
        <f>'[19]Прот.3-22'!E120+[19]Отклон.Пр.!E120</f>
        <v>0</v>
      </c>
      <c r="F121" s="589">
        <f>'[19]Прот.3-22'!G120+[19]Отклон.Пр.!G120</f>
        <v>0</v>
      </c>
      <c r="G121" s="589">
        <f>'[19]Прот.3-22'!H120+[19]Отклон.Пр.!H120</f>
        <v>0</v>
      </c>
      <c r="H121" s="589">
        <v>0</v>
      </c>
      <c r="I121" s="589"/>
      <c r="J121" s="589"/>
      <c r="K121" s="589">
        <v>0</v>
      </c>
      <c r="L121" s="586"/>
      <c r="M121" s="587"/>
      <c r="N121" s="586"/>
    </row>
    <row r="122" spans="1:14" x14ac:dyDescent="0.2">
      <c r="A122" s="35">
        <v>111</v>
      </c>
      <c r="B122" s="38" t="s">
        <v>248</v>
      </c>
      <c r="C122" s="37" t="s">
        <v>249</v>
      </c>
      <c r="D122" s="589">
        <f t="shared" si="3"/>
        <v>0</v>
      </c>
      <c r="E122" s="589">
        <f>'[19]Прот.3-22'!E121+[19]Отклон.Пр.!E121</f>
        <v>0</v>
      </c>
      <c r="F122" s="589">
        <f>'[19]Прот.3-22'!G121+[19]Отклон.Пр.!G121</f>
        <v>0</v>
      </c>
      <c r="G122" s="589">
        <f>'[19]Прот.3-22'!H121+[19]Отклон.Пр.!H121</f>
        <v>0</v>
      </c>
      <c r="H122" s="589">
        <v>0</v>
      </c>
      <c r="I122" s="589"/>
      <c r="J122" s="589"/>
      <c r="K122" s="589">
        <v>0</v>
      </c>
      <c r="L122" s="586"/>
      <c r="M122" s="587"/>
      <c r="N122" s="586"/>
    </row>
    <row r="123" spans="1:14" x14ac:dyDescent="0.2">
      <c r="A123" s="35">
        <v>112</v>
      </c>
      <c r="B123" s="12" t="s">
        <v>250</v>
      </c>
      <c r="C123" s="9" t="s">
        <v>251</v>
      </c>
      <c r="D123" s="589">
        <f t="shared" si="3"/>
        <v>0</v>
      </c>
      <c r="E123" s="589">
        <f>'[19]Прот.3-22'!E122+[19]Отклон.Пр.!E122</f>
        <v>0</v>
      </c>
      <c r="F123" s="589">
        <f>'[19]Прот.3-22'!G122+[19]Отклон.Пр.!G122</f>
        <v>0</v>
      </c>
      <c r="G123" s="589">
        <f>'[19]Прот.3-22'!H122+[19]Отклон.Пр.!H122</f>
        <v>0</v>
      </c>
      <c r="H123" s="589">
        <v>0</v>
      </c>
      <c r="I123" s="589"/>
      <c r="J123" s="589"/>
      <c r="K123" s="589">
        <v>0</v>
      </c>
      <c r="L123" s="586"/>
      <c r="M123" s="587"/>
      <c r="N123" s="586"/>
    </row>
    <row r="124" spans="1:14" x14ac:dyDescent="0.2">
      <c r="A124" s="35">
        <v>113</v>
      </c>
      <c r="B124" s="36" t="s">
        <v>252</v>
      </c>
      <c r="C124" s="44" t="s">
        <v>253</v>
      </c>
      <c r="D124" s="589">
        <f t="shared" si="3"/>
        <v>0</v>
      </c>
      <c r="E124" s="589">
        <f>'[19]Прот.3-22'!E123+[19]Отклон.Пр.!E123</f>
        <v>0</v>
      </c>
      <c r="F124" s="589">
        <f>'[19]Прот.3-22'!G123+[19]Отклон.Пр.!G123</f>
        <v>0</v>
      </c>
      <c r="G124" s="589">
        <f>'[19]Прот.3-22'!H123+[19]Отклон.Пр.!H123</f>
        <v>0</v>
      </c>
      <c r="H124" s="589">
        <v>0</v>
      </c>
      <c r="I124" s="589"/>
      <c r="J124" s="589"/>
      <c r="K124" s="589">
        <v>0</v>
      </c>
      <c r="L124" s="586"/>
      <c r="M124" s="587"/>
      <c r="N124" s="586"/>
    </row>
    <row r="125" spans="1:14" ht="24" x14ac:dyDescent="0.2">
      <c r="A125" s="35">
        <v>114</v>
      </c>
      <c r="B125" s="12" t="s">
        <v>254</v>
      </c>
      <c r="C125" s="9" t="s">
        <v>255</v>
      </c>
      <c r="D125" s="589">
        <f t="shared" si="3"/>
        <v>0</v>
      </c>
      <c r="E125" s="589">
        <f>'[19]Прот.3-22'!E124+[19]Отклон.Пр.!E124</f>
        <v>0</v>
      </c>
      <c r="F125" s="589">
        <f>'[19]Прот.3-22'!G124+[19]Отклон.Пр.!G124</f>
        <v>0</v>
      </c>
      <c r="G125" s="589">
        <f>'[19]Прот.3-22'!H124+[19]Отклон.Пр.!H124</f>
        <v>0</v>
      </c>
      <c r="H125" s="589">
        <v>0</v>
      </c>
      <c r="I125" s="589"/>
      <c r="J125" s="589"/>
      <c r="K125" s="589">
        <v>0</v>
      </c>
      <c r="L125" s="586"/>
      <c r="M125" s="587"/>
      <c r="N125" s="586"/>
    </row>
    <row r="126" spans="1:14" x14ac:dyDescent="0.2">
      <c r="A126" s="35">
        <v>115</v>
      </c>
      <c r="B126" s="12" t="s">
        <v>256</v>
      </c>
      <c r="C126" s="9" t="s">
        <v>257</v>
      </c>
      <c r="D126" s="589">
        <f t="shared" si="3"/>
        <v>0</v>
      </c>
      <c r="E126" s="589">
        <f>'[19]Прот.3-22'!E125+[19]Отклон.Пр.!E125</f>
        <v>0</v>
      </c>
      <c r="F126" s="589">
        <f>'[19]Прот.3-22'!G125+[19]Отклон.Пр.!G125</f>
        <v>0</v>
      </c>
      <c r="G126" s="589">
        <f>'[19]Прот.3-22'!H125+[19]Отклон.Пр.!H125</f>
        <v>0</v>
      </c>
      <c r="H126" s="589">
        <v>0</v>
      </c>
      <c r="I126" s="589"/>
      <c r="J126" s="589"/>
      <c r="K126" s="589">
        <v>0</v>
      </c>
      <c r="L126" s="586"/>
      <c r="M126" s="587"/>
      <c r="N126" s="586"/>
    </row>
    <row r="127" spans="1:14" x14ac:dyDescent="0.2">
      <c r="A127" s="35">
        <v>116</v>
      </c>
      <c r="B127" s="38" t="s">
        <v>258</v>
      </c>
      <c r="C127" s="9" t="s">
        <v>259</v>
      </c>
      <c r="D127" s="589">
        <f t="shared" si="3"/>
        <v>0</v>
      </c>
      <c r="E127" s="589">
        <f>'[19]Прот.3-22'!E126+[19]Отклон.Пр.!E126</f>
        <v>0</v>
      </c>
      <c r="F127" s="589">
        <f>'[19]Прот.3-22'!G126+[19]Отклон.Пр.!G126</f>
        <v>0</v>
      </c>
      <c r="G127" s="589">
        <f>'[19]Прот.3-22'!H126+[19]Отклон.Пр.!H126</f>
        <v>0</v>
      </c>
      <c r="H127" s="589">
        <v>0</v>
      </c>
      <c r="I127" s="589"/>
      <c r="J127" s="589"/>
      <c r="K127" s="589">
        <v>0</v>
      </c>
      <c r="L127" s="586"/>
      <c r="M127" s="587"/>
      <c r="N127" s="586"/>
    </row>
    <row r="128" spans="1:14" x14ac:dyDescent="0.2">
      <c r="A128" s="35">
        <v>117</v>
      </c>
      <c r="B128" s="38" t="s">
        <v>260</v>
      </c>
      <c r="C128" s="9" t="s">
        <v>261</v>
      </c>
      <c r="D128" s="589">
        <f t="shared" si="3"/>
        <v>0</v>
      </c>
      <c r="E128" s="589">
        <f>'[19]Прот.3-22'!E127+[19]Отклон.Пр.!E127</f>
        <v>0</v>
      </c>
      <c r="F128" s="589">
        <f>'[19]Прот.3-22'!G127+[19]Отклон.Пр.!G127</f>
        <v>0</v>
      </c>
      <c r="G128" s="589">
        <f>'[19]Прот.3-22'!H127+[19]Отклон.Пр.!H127</f>
        <v>0</v>
      </c>
      <c r="H128" s="589">
        <v>0</v>
      </c>
      <c r="I128" s="589"/>
      <c r="J128" s="589"/>
      <c r="K128" s="589">
        <v>0</v>
      </c>
      <c r="L128" s="586"/>
      <c r="M128" s="587"/>
      <c r="N128" s="586"/>
    </row>
    <row r="129" spans="1:14" x14ac:dyDescent="0.2">
      <c r="A129" s="35">
        <v>118</v>
      </c>
      <c r="B129" s="38" t="s">
        <v>262</v>
      </c>
      <c r="C129" s="9" t="s">
        <v>263</v>
      </c>
      <c r="D129" s="589">
        <f t="shared" si="3"/>
        <v>0</v>
      </c>
      <c r="E129" s="589">
        <f>'[19]Прот.3-22'!E128+[19]Отклон.Пр.!E128</f>
        <v>0</v>
      </c>
      <c r="F129" s="589">
        <f>'[19]Прот.3-22'!G128+[19]Отклон.Пр.!G128</f>
        <v>0</v>
      </c>
      <c r="G129" s="589">
        <f>'[19]Прот.3-22'!H128+[19]Отклон.Пр.!H128</f>
        <v>0</v>
      </c>
      <c r="H129" s="589">
        <v>0</v>
      </c>
      <c r="I129" s="589"/>
      <c r="J129" s="589"/>
      <c r="K129" s="589">
        <v>0</v>
      </c>
      <c r="L129" s="586"/>
      <c r="M129" s="587"/>
      <c r="N129" s="586"/>
    </row>
    <row r="130" spans="1:14" x14ac:dyDescent="0.2">
      <c r="A130" s="35">
        <v>119</v>
      </c>
      <c r="B130" s="36" t="s">
        <v>264</v>
      </c>
      <c r="C130" s="37" t="s">
        <v>265</v>
      </c>
      <c r="D130" s="589">
        <f t="shared" si="3"/>
        <v>0</v>
      </c>
      <c r="E130" s="589">
        <f>'[19]Прот.3-22'!E129+[19]Отклон.Пр.!E129</f>
        <v>0</v>
      </c>
      <c r="F130" s="589">
        <f>'[19]Прот.3-22'!G129+[19]Отклон.Пр.!G129</f>
        <v>0</v>
      </c>
      <c r="G130" s="590">
        <f>'[19]Прот.3-22'!H129+[19]Отклон.Пр.!H129</f>
        <v>0</v>
      </c>
      <c r="H130" s="589">
        <v>0</v>
      </c>
      <c r="I130" s="589"/>
      <c r="J130" s="589"/>
      <c r="K130" s="589">
        <v>0</v>
      </c>
      <c r="L130" s="586"/>
      <c r="M130" s="587"/>
      <c r="N130" s="586"/>
    </row>
    <row r="131" spans="1:14" x14ac:dyDescent="0.2">
      <c r="A131" s="35">
        <v>120</v>
      </c>
      <c r="B131" s="38" t="s">
        <v>266</v>
      </c>
      <c r="C131" s="37" t="s">
        <v>267</v>
      </c>
      <c r="D131" s="589">
        <f t="shared" si="3"/>
        <v>0</v>
      </c>
      <c r="E131" s="589">
        <f>'[19]Прот.3-22'!E130+[19]Отклон.Пр.!E130</f>
        <v>0</v>
      </c>
      <c r="F131" s="589">
        <f>'[19]Прот.3-22'!G130+[19]Отклон.Пр.!G130</f>
        <v>0</v>
      </c>
      <c r="G131" s="590">
        <f>'[19]Прот.3-22'!H130+[19]Отклон.Пр.!H130</f>
        <v>0</v>
      </c>
      <c r="H131" s="589">
        <v>0</v>
      </c>
      <c r="I131" s="589"/>
      <c r="J131" s="589"/>
      <c r="K131" s="589">
        <v>0</v>
      </c>
      <c r="L131" s="586"/>
      <c r="M131" s="587"/>
      <c r="N131" s="586"/>
    </row>
    <row r="132" spans="1:14" x14ac:dyDescent="0.2">
      <c r="A132" s="35">
        <v>121</v>
      </c>
      <c r="B132" s="12" t="s">
        <v>268</v>
      </c>
      <c r="C132" s="9" t="s">
        <v>269</v>
      </c>
      <c r="D132" s="589">
        <f t="shared" si="3"/>
        <v>0</v>
      </c>
      <c r="E132" s="589">
        <f>'[19]Прот.3-22'!E131+[19]Отклон.Пр.!E131</f>
        <v>0</v>
      </c>
      <c r="F132" s="589">
        <f>'[19]Прот.3-22'!G131+[19]Отклон.Пр.!G131</f>
        <v>0</v>
      </c>
      <c r="G132" s="590">
        <f>'[19]Прот.3-22'!H131+[19]Отклон.Пр.!H131</f>
        <v>0</v>
      </c>
      <c r="H132" s="589">
        <v>0</v>
      </c>
      <c r="I132" s="589"/>
      <c r="J132" s="589"/>
      <c r="K132" s="589">
        <v>0</v>
      </c>
      <c r="L132" s="586"/>
      <c r="M132" s="587"/>
      <c r="N132" s="586"/>
    </row>
    <row r="133" spans="1:14" x14ac:dyDescent="0.2">
      <c r="A133" s="35">
        <v>122</v>
      </c>
      <c r="B133" s="12" t="s">
        <v>270</v>
      </c>
      <c r="C133" s="9" t="s">
        <v>271</v>
      </c>
      <c r="D133" s="589">
        <f t="shared" si="3"/>
        <v>0</v>
      </c>
      <c r="E133" s="589">
        <f>'[19]Прот.3-22'!E132+[19]Отклон.Пр.!E132</f>
        <v>0</v>
      </c>
      <c r="F133" s="589">
        <f>'[19]Прот.3-22'!G132+[19]Отклон.Пр.!G132</f>
        <v>0</v>
      </c>
      <c r="G133" s="590">
        <f>'[19]Прот.3-22'!H132+[19]Отклон.Пр.!H132</f>
        <v>0</v>
      </c>
      <c r="H133" s="589">
        <v>0</v>
      </c>
      <c r="I133" s="589"/>
      <c r="J133" s="589"/>
      <c r="K133" s="589">
        <v>0</v>
      </c>
      <c r="L133" s="586"/>
      <c r="M133" s="587"/>
      <c r="N133" s="586"/>
    </row>
    <row r="134" spans="1:14" x14ac:dyDescent="0.2">
      <c r="A134" s="35">
        <v>123</v>
      </c>
      <c r="B134" s="12" t="s">
        <v>272</v>
      </c>
      <c r="C134" s="9" t="s">
        <v>273</v>
      </c>
      <c r="D134" s="589">
        <f t="shared" si="3"/>
        <v>0</v>
      </c>
      <c r="E134" s="589">
        <f>'[19]Прот.3-22'!E133+[19]Отклон.Пр.!E133</f>
        <v>0</v>
      </c>
      <c r="F134" s="589">
        <f>'[19]Прот.3-22'!G133+[19]Отклон.Пр.!G133</f>
        <v>0</v>
      </c>
      <c r="G134" s="590">
        <f>'[19]Прот.3-22'!H133+[19]Отклон.Пр.!H133</f>
        <v>0</v>
      </c>
      <c r="H134" s="589">
        <v>0</v>
      </c>
      <c r="I134" s="589"/>
      <c r="J134" s="589"/>
      <c r="K134" s="589">
        <v>0</v>
      </c>
      <c r="L134" s="586"/>
      <c r="M134" s="587"/>
      <c r="N134" s="586"/>
    </row>
    <row r="135" spans="1:14" x14ac:dyDescent="0.2">
      <c r="A135" s="35">
        <v>124</v>
      </c>
      <c r="B135" s="12" t="s">
        <v>161</v>
      </c>
      <c r="C135" s="9" t="s">
        <v>274</v>
      </c>
      <c r="D135" s="589">
        <f t="shared" si="3"/>
        <v>0</v>
      </c>
      <c r="E135" s="589">
        <f>'[19]Прот.3-22'!E134+[19]Отклон.Пр.!E134</f>
        <v>0</v>
      </c>
      <c r="F135" s="589">
        <f>'[19]Прот.3-22'!G134+[19]Отклон.Пр.!G134</f>
        <v>0</v>
      </c>
      <c r="G135" s="590">
        <f>'[19]Прот.3-22'!H134+[19]Отклон.Пр.!H134</f>
        <v>0</v>
      </c>
      <c r="H135" s="589">
        <v>0</v>
      </c>
      <c r="I135" s="589"/>
      <c r="J135" s="589"/>
      <c r="K135" s="589">
        <v>0</v>
      </c>
      <c r="L135" s="586"/>
      <c r="M135" s="587"/>
      <c r="N135" s="586"/>
    </row>
    <row r="136" spans="1:14" x14ac:dyDescent="0.2">
      <c r="A136" s="35">
        <v>125</v>
      </c>
      <c r="B136" s="12" t="s">
        <v>275</v>
      </c>
      <c r="C136" s="9" t="s">
        <v>276</v>
      </c>
      <c r="D136" s="589">
        <f t="shared" si="3"/>
        <v>0</v>
      </c>
      <c r="E136" s="589">
        <f>'[19]Прот.3-22'!E135+[19]Отклон.Пр.!E135</f>
        <v>0</v>
      </c>
      <c r="F136" s="589">
        <f>'[19]Прот.3-22'!G135+[19]Отклон.Пр.!G135</f>
        <v>0</v>
      </c>
      <c r="G136" s="590">
        <f>'[19]Прот.3-22'!H135+[19]Отклон.Пр.!H135</f>
        <v>0</v>
      </c>
      <c r="H136" s="589">
        <v>0</v>
      </c>
      <c r="I136" s="589"/>
      <c r="J136" s="589"/>
      <c r="K136" s="589">
        <v>0</v>
      </c>
      <c r="L136" s="586"/>
      <c r="M136" s="587"/>
      <c r="N136" s="586"/>
    </row>
    <row r="137" spans="1:14" x14ac:dyDescent="0.2">
      <c r="A137" s="35">
        <v>126</v>
      </c>
      <c r="B137" s="36" t="s">
        <v>277</v>
      </c>
      <c r="C137" s="37" t="s">
        <v>2</v>
      </c>
      <c r="D137" s="589">
        <f t="shared" si="3"/>
        <v>0</v>
      </c>
      <c r="E137" s="589">
        <f>'[19]Прот.3-22'!E136+[19]Отклон.Пр.!E136</f>
        <v>0</v>
      </c>
      <c r="F137" s="589">
        <f>'[19]Прот.3-22'!G136+[19]Отклон.Пр.!G136</f>
        <v>0</v>
      </c>
      <c r="G137" s="590">
        <f>'[19]Прот.3-22'!H136+[19]Отклон.Пр.!H136</f>
        <v>0</v>
      </c>
      <c r="H137" s="589">
        <v>0</v>
      </c>
      <c r="I137" s="589"/>
      <c r="J137" s="589"/>
      <c r="K137" s="589">
        <v>0</v>
      </c>
      <c r="L137" s="586"/>
      <c r="M137" s="587"/>
      <c r="N137" s="586"/>
    </row>
    <row r="138" spans="1:14" x14ac:dyDescent="0.2">
      <c r="A138" s="35">
        <v>127</v>
      </c>
      <c r="B138" s="12" t="s">
        <v>278</v>
      </c>
      <c r="C138" s="9" t="s">
        <v>279</v>
      </c>
      <c r="D138" s="589">
        <f t="shared" si="3"/>
        <v>0</v>
      </c>
      <c r="E138" s="589">
        <f>'[19]Прот.3-22'!E137+[19]Отклон.Пр.!E137</f>
        <v>0</v>
      </c>
      <c r="F138" s="589">
        <f>'[19]Прот.3-22'!G137+[19]Отклон.Пр.!G137</f>
        <v>0</v>
      </c>
      <c r="G138" s="590">
        <f>'[19]Прот.3-22'!H137+[19]Отклон.Пр.!H137</f>
        <v>0</v>
      </c>
      <c r="H138" s="589">
        <v>0</v>
      </c>
      <c r="I138" s="589"/>
      <c r="J138" s="589"/>
      <c r="K138" s="589">
        <v>0</v>
      </c>
      <c r="L138" s="586"/>
      <c r="M138" s="587"/>
      <c r="N138" s="586"/>
    </row>
    <row r="139" spans="1:14" x14ac:dyDescent="0.2">
      <c r="A139" s="35">
        <v>128</v>
      </c>
      <c r="B139" s="36" t="s">
        <v>280</v>
      </c>
      <c r="C139" s="9" t="s">
        <v>64</v>
      </c>
      <c r="D139" s="589">
        <f t="shared" si="3"/>
        <v>11680</v>
      </c>
      <c r="E139" s="589">
        <f>'[19]Прот.3-22'!E138+[19]Отклон.Пр.!E138</f>
        <v>11680</v>
      </c>
      <c r="F139" s="589">
        <f>'[19]Прот.3-22'!G138+[19]Отклон.Пр.!G138</f>
        <v>0</v>
      </c>
      <c r="G139" s="590">
        <f>'[19]Прот.3-22'!H138+[19]Отклон.Пр.!H138</f>
        <v>0</v>
      </c>
      <c r="H139" s="589">
        <v>0</v>
      </c>
      <c r="I139" s="589"/>
      <c r="J139" s="589"/>
      <c r="K139" s="589">
        <v>0</v>
      </c>
      <c r="L139" s="586"/>
      <c r="M139" s="587"/>
      <c r="N139" s="586"/>
    </row>
    <row r="140" spans="1:14" x14ac:dyDescent="0.2">
      <c r="A140" s="35">
        <v>129</v>
      </c>
      <c r="B140" s="39" t="s">
        <v>281</v>
      </c>
      <c r="C140" s="40" t="s">
        <v>22</v>
      </c>
      <c r="D140" s="589">
        <f t="shared" ref="D140:D148" si="4">E140+F140+G140+H140+I140+J140+K140</f>
        <v>22115</v>
      </c>
      <c r="E140" s="589">
        <f>'[19]Прот.3-22'!E139+[19]Отклон.Пр.!E139</f>
        <v>22115</v>
      </c>
      <c r="F140" s="589">
        <f>'[19]Прот.3-22'!G139+[19]Отклон.Пр.!G139</f>
        <v>0</v>
      </c>
      <c r="G140" s="590">
        <f>'[19]Прот.3-22'!H139+[19]Отклон.Пр.!H139</f>
        <v>0</v>
      </c>
      <c r="H140" s="589">
        <v>0</v>
      </c>
      <c r="I140" s="589"/>
      <c r="J140" s="589"/>
      <c r="K140" s="589">
        <v>0</v>
      </c>
      <c r="L140" s="586"/>
      <c r="M140" s="587"/>
      <c r="N140" s="586"/>
    </row>
    <row r="141" spans="1:14" x14ac:dyDescent="0.2">
      <c r="A141" s="35">
        <v>130</v>
      </c>
      <c r="B141" s="12" t="s">
        <v>282</v>
      </c>
      <c r="C141" s="9" t="s">
        <v>283</v>
      </c>
      <c r="D141" s="589">
        <f t="shared" si="4"/>
        <v>0</v>
      </c>
      <c r="E141" s="589">
        <f>'[19]Прот.3-22'!E140+[19]Отклон.Пр.!E140</f>
        <v>0</v>
      </c>
      <c r="F141" s="589">
        <f>'[19]Прот.3-22'!G140+[19]Отклон.Пр.!G140</f>
        <v>0</v>
      </c>
      <c r="G141" s="590">
        <f>'[19]Прот.3-22'!H140+[19]Отклон.Пр.!H140</f>
        <v>0</v>
      </c>
      <c r="H141" s="589">
        <v>0</v>
      </c>
      <c r="I141" s="589"/>
      <c r="J141" s="589"/>
      <c r="K141" s="589">
        <v>0</v>
      </c>
      <c r="L141" s="586"/>
      <c r="M141" s="587"/>
      <c r="N141" s="586"/>
    </row>
    <row r="142" spans="1:14" x14ac:dyDescent="0.2">
      <c r="A142" s="35">
        <v>131</v>
      </c>
      <c r="B142" s="12" t="s">
        <v>284</v>
      </c>
      <c r="C142" s="9" t="s">
        <v>67</v>
      </c>
      <c r="D142" s="589">
        <f t="shared" si="4"/>
        <v>11512</v>
      </c>
      <c r="E142" s="589">
        <f>'[19]Прот.3-22'!E141+[19]Отклон.Пр.!E141</f>
        <v>0</v>
      </c>
      <c r="F142" s="589">
        <f>'[19]Прот.3-22'!G141+[19]Отклон.Пр.!G141</f>
        <v>0</v>
      </c>
      <c r="G142" s="590">
        <f>'[19]Прот.3-22'!H141+[19]Отклон.Пр.!H141</f>
        <v>0</v>
      </c>
      <c r="H142" s="589">
        <v>0</v>
      </c>
      <c r="I142" s="589"/>
      <c r="J142" s="589"/>
      <c r="K142" s="589">
        <v>11512</v>
      </c>
      <c r="L142" s="586"/>
      <c r="M142" s="587"/>
      <c r="N142" s="586"/>
    </row>
    <row r="143" spans="1:14" x14ac:dyDescent="0.2">
      <c r="A143" s="35">
        <v>132</v>
      </c>
      <c r="B143" s="12" t="s">
        <v>285</v>
      </c>
      <c r="C143" s="9" t="s">
        <v>286</v>
      </c>
      <c r="D143" s="589">
        <f t="shared" si="4"/>
        <v>0</v>
      </c>
      <c r="E143" s="589">
        <f>'[19]Прот.3-22'!E142+[19]Отклон.Пр.!E142</f>
        <v>0</v>
      </c>
      <c r="F143" s="589">
        <f>'[19]Прот.3-22'!G142+[19]Отклон.Пр.!G142</f>
        <v>0</v>
      </c>
      <c r="G143" s="590">
        <f>'[19]Прот.3-22'!H142+[19]Отклон.Пр.!H142</f>
        <v>0</v>
      </c>
      <c r="H143" s="589">
        <v>0</v>
      </c>
      <c r="I143" s="589"/>
      <c r="J143" s="589"/>
      <c r="K143" s="589">
        <v>0</v>
      </c>
      <c r="L143" s="586"/>
      <c r="M143" s="587"/>
      <c r="N143" s="586"/>
    </row>
    <row r="144" spans="1:14" x14ac:dyDescent="0.2">
      <c r="A144" s="35">
        <v>133</v>
      </c>
      <c r="B144" s="39" t="s">
        <v>159</v>
      </c>
      <c r="C144" s="40" t="s">
        <v>160</v>
      </c>
      <c r="D144" s="589">
        <f t="shared" si="4"/>
        <v>8114</v>
      </c>
      <c r="E144" s="589">
        <f>'[19]Прот.3-22'!E143+[19]Отклон.Пр.!E143</f>
        <v>0</v>
      </c>
      <c r="F144" s="589">
        <f>'[19]Прот.3-22'!G143+[19]Отклон.Пр.!G143</f>
        <v>3837</v>
      </c>
      <c r="G144" s="590">
        <f>'[19]Прот.3-22'!H143+[19]Отклон.Пр.!H143</f>
        <v>4277</v>
      </c>
      <c r="H144" s="589">
        <v>0</v>
      </c>
      <c r="I144" s="589"/>
      <c r="J144" s="589"/>
      <c r="K144" s="589">
        <v>0</v>
      </c>
      <c r="L144" s="586"/>
      <c r="M144" s="587"/>
      <c r="N144" s="586"/>
    </row>
    <row r="145" spans="1:14" x14ac:dyDescent="0.2">
      <c r="A145" s="35">
        <v>134</v>
      </c>
      <c r="B145" s="38" t="s">
        <v>113</v>
      </c>
      <c r="C145" s="40" t="s">
        <v>114</v>
      </c>
      <c r="D145" s="589">
        <f t="shared" si="4"/>
        <v>92230</v>
      </c>
      <c r="E145" s="589">
        <f>'[19]Прот.3-22'!E144+[19]Отклон.Пр.!E144</f>
        <v>0</v>
      </c>
      <c r="F145" s="589">
        <f>'[19]Прот.3-22'!G144+[19]Отклон.Пр.!G144</f>
        <v>20528</v>
      </c>
      <c r="G145" s="590">
        <f>'[19]Прот.3-22'!H144+[19]Отклон.Пр.!H144-3000</f>
        <v>71702</v>
      </c>
      <c r="H145" s="589">
        <v>0</v>
      </c>
      <c r="I145" s="589">
        <v>0</v>
      </c>
      <c r="J145" s="589">
        <v>0</v>
      </c>
      <c r="K145" s="589">
        <v>0</v>
      </c>
      <c r="L145" s="586"/>
      <c r="M145" s="587"/>
      <c r="N145" s="586"/>
    </row>
    <row r="146" spans="1:14" x14ac:dyDescent="0.2">
      <c r="A146" s="35">
        <v>135</v>
      </c>
      <c r="B146" s="12" t="s">
        <v>287</v>
      </c>
      <c r="C146" s="9" t="s">
        <v>288</v>
      </c>
      <c r="D146" s="589">
        <f t="shared" si="4"/>
        <v>0</v>
      </c>
      <c r="E146" s="589">
        <f>'[19]Прот.3-22'!E145+[19]Отклон.Пр.!E145</f>
        <v>0</v>
      </c>
      <c r="F146" s="589">
        <f>'[19]Прот.3-22'!G145+[19]Отклон.Пр.!G145</f>
        <v>0</v>
      </c>
      <c r="G146" s="590">
        <f>'[19]Прот.3-22'!H145+[19]Отклон.Пр.!H145</f>
        <v>0</v>
      </c>
      <c r="H146" s="589">
        <v>0</v>
      </c>
      <c r="I146" s="589">
        <v>0</v>
      </c>
      <c r="J146" s="589">
        <v>0</v>
      </c>
      <c r="K146" s="589">
        <v>0</v>
      </c>
      <c r="L146" s="586"/>
      <c r="M146" s="587"/>
      <c r="N146" s="586"/>
    </row>
    <row r="147" spans="1:14" x14ac:dyDescent="0.2">
      <c r="A147" s="35">
        <v>136</v>
      </c>
      <c r="B147" s="36" t="s">
        <v>289</v>
      </c>
      <c r="C147" s="37" t="s">
        <v>68</v>
      </c>
      <c r="D147" s="589">
        <f t="shared" si="4"/>
        <v>0</v>
      </c>
      <c r="E147" s="589">
        <f>'[19]Прот.3-22'!E146+[19]Отклон.Пр.!E146</f>
        <v>0</v>
      </c>
      <c r="F147" s="589">
        <f>'[19]Прот.3-22'!G146+[19]Отклон.Пр.!G146</f>
        <v>0</v>
      </c>
      <c r="G147" s="590">
        <f>'[19]Прот.3-22'!H146+[19]Отклон.Пр.!H146</f>
        <v>0</v>
      </c>
      <c r="H147" s="589">
        <v>0</v>
      </c>
      <c r="I147" s="589">
        <v>0</v>
      </c>
      <c r="J147" s="589">
        <v>0</v>
      </c>
      <c r="K147" s="589">
        <v>0</v>
      </c>
      <c r="L147" s="586"/>
      <c r="M147" s="587"/>
      <c r="N147" s="586"/>
    </row>
    <row r="148" spans="1:14" ht="12.75" x14ac:dyDescent="0.2">
      <c r="A148" s="35">
        <v>137</v>
      </c>
      <c r="B148" s="45" t="s">
        <v>290</v>
      </c>
      <c r="C148" s="46" t="s">
        <v>291</v>
      </c>
      <c r="D148" s="589">
        <f t="shared" si="4"/>
        <v>0</v>
      </c>
      <c r="E148" s="589">
        <f>'[19]Прот.3-22'!E147+[19]Отклон.Пр.!E147</f>
        <v>0</v>
      </c>
      <c r="F148" s="589">
        <f>'[19]Прот.3-22'!G147+[19]Отклон.Пр.!G147</f>
        <v>0</v>
      </c>
      <c r="G148" s="590">
        <f>'[19]Прот.3-22'!H147+[19]Отклон.Пр.!H147</f>
        <v>0</v>
      </c>
      <c r="H148" s="589">
        <v>0</v>
      </c>
      <c r="I148" s="589">
        <v>0</v>
      </c>
      <c r="J148" s="589">
        <v>0</v>
      </c>
      <c r="K148" s="589">
        <v>0</v>
      </c>
      <c r="L148" s="586"/>
      <c r="M148" s="587"/>
      <c r="N148" s="586"/>
    </row>
    <row r="149" spans="1:14" x14ac:dyDescent="0.2">
      <c r="E149" s="591"/>
      <c r="F149" s="592"/>
      <c r="G149" s="593"/>
      <c r="J149" s="594"/>
    </row>
    <row r="151" spans="1:14" x14ac:dyDescent="0.2">
      <c r="D151" s="592"/>
    </row>
    <row r="152" spans="1:14" x14ac:dyDescent="0.2">
      <c r="D152" s="592"/>
      <c r="E152" s="592"/>
      <c r="F152" s="592"/>
      <c r="G152" s="592"/>
      <c r="H152" s="592"/>
      <c r="I152" s="592"/>
      <c r="J152" s="592"/>
      <c r="K152" s="592"/>
    </row>
  </sheetData>
  <mergeCells count="19">
    <mergeCell ref="A9:C9"/>
    <mergeCell ref="A10:C10"/>
    <mergeCell ref="A92:A93"/>
    <mergeCell ref="B92:B93"/>
    <mergeCell ref="E5:E6"/>
    <mergeCell ref="F5:G5"/>
    <mergeCell ref="H5:H6"/>
    <mergeCell ref="I5:J5"/>
    <mergeCell ref="A8:C8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</mergeCells>
  <pageMargins left="0.31496062992125984" right="0.31496062992125984" top="0.35433070866141736" bottom="0.15748031496062992" header="0.31496062992125984" footer="0.31496062992125984"/>
  <pageSetup paperSize="9" scale="90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topLeftCell="A2" zoomScaleNormal="100" zoomScaleSheetLayoutView="90" workbookViewId="0">
      <selection activeCell="E16" sqref="E16"/>
    </sheetView>
  </sheetViews>
  <sheetFormatPr defaultRowHeight="12.75" x14ac:dyDescent="0.2"/>
  <cols>
    <col min="1" max="1" width="5.85546875" style="246" customWidth="1"/>
    <col min="2" max="2" width="10.28515625" style="246" customWidth="1"/>
    <col min="3" max="3" width="37.28515625" style="246" customWidth="1"/>
    <col min="4" max="4" width="13.140625" style="246" customWidth="1"/>
    <col min="5" max="5" width="14" style="246" customWidth="1"/>
    <col min="6" max="6" width="12.7109375" style="246" customWidth="1"/>
    <col min="7" max="7" width="10.42578125" style="246" customWidth="1"/>
    <col min="8" max="8" width="11.7109375" style="246" customWidth="1"/>
    <col min="9" max="9" width="11.85546875" style="246" customWidth="1"/>
    <col min="10" max="10" width="14" style="246" customWidth="1"/>
    <col min="11" max="16384" width="9.140625" style="246"/>
  </cols>
  <sheetData>
    <row r="1" spans="1:14" ht="18.75" x14ac:dyDescent="0.3">
      <c r="C1" s="955" t="s">
        <v>589</v>
      </c>
      <c r="D1" s="955"/>
      <c r="E1" s="955"/>
      <c r="F1" s="955"/>
      <c r="G1" s="955"/>
      <c r="H1" s="955"/>
      <c r="I1" s="955"/>
      <c r="J1" s="955"/>
    </row>
    <row r="3" spans="1:14" ht="19.5" customHeight="1" x14ac:dyDescent="0.2">
      <c r="A3" s="956" t="s">
        <v>0</v>
      </c>
      <c r="B3" s="959" t="s">
        <v>106</v>
      </c>
      <c r="C3" s="960" t="s">
        <v>107</v>
      </c>
      <c r="D3" s="961" t="s">
        <v>590</v>
      </c>
      <c r="E3" s="961" t="s">
        <v>394</v>
      </c>
      <c r="F3" s="961"/>
      <c r="G3" s="962" t="s">
        <v>591</v>
      </c>
      <c r="H3" s="963"/>
      <c r="I3" s="963"/>
      <c r="J3" s="964"/>
    </row>
    <row r="4" spans="1:14" ht="18.75" customHeight="1" x14ac:dyDescent="0.2">
      <c r="A4" s="957"/>
      <c r="B4" s="959"/>
      <c r="C4" s="960"/>
      <c r="D4" s="961"/>
      <c r="E4" s="961"/>
      <c r="F4" s="961"/>
      <c r="G4" s="965" t="s">
        <v>592</v>
      </c>
      <c r="H4" s="966"/>
      <c r="I4" s="965" t="s">
        <v>593</v>
      </c>
      <c r="J4" s="966"/>
    </row>
    <row r="5" spans="1:14" ht="12.75" customHeight="1" x14ac:dyDescent="0.2">
      <c r="A5" s="957"/>
      <c r="B5" s="959"/>
      <c r="C5" s="960"/>
      <c r="D5" s="961"/>
      <c r="E5" s="961" t="s">
        <v>594</v>
      </c>
      <c r="F5" s="961" t="s">
        <v>595</v>
      </c>
      <c r="G5" s="961" t="s">
        <v>594</v>
      </c>
      <c r="H5" s="961" t="s">
        <v>595</v>
      </c>
      <c r="I5" s="961" t="s">
        <v>594</v>
      </c>
      <c r="J5" s="961" t="s">
        <v>595</v>
      </c>
    </row>
    <row r="6" spans="1:14" ht="39.75" customHeight="1" x14ac:dyDescent="0.2">
      <c r="A6" s="958"/>
      <c r="B6" s="959"/>
      <c r="C6" s="960"/>
      <c r="D6" s="961"/>
      <c r="E6" s="961"/>
      <c r="F6" s="961"/>
      <c r="G6" s="961"/>
      <c r="H6" s="961"/>
      <c r="I6" s="961"/>
      <c r="J6" s="961"/>
    </row>
    <row r="7" spans="1:14" s="251" customFormat="1" ht="12" x14ac:dyDescent="0.2">
      <c r="A7" s="247">
        <v>1</v>
      </c>
      <c r="B7" s="247">
        <v>2</v>
      </c>
      <c r="C7" s="248">
        <v>3</v>
      </c>
      <c r="D7" s="249">
        <v>4</v>
      </c>
      <c r="E7" s="249">
        <v>5</v>
      </c>
      <c r="F7" s="249">
        <v>6</v>
      </c>
      <c r="G7" s="250">
        <v>7</v>
      </c>
      <c r="H7" s="250">
        <v>8</v>
      </c>
      <c r="I7" s="250">
        <v>9</v>
      </c>
      <c r="J7" s="250">
        <v>10</v>
      </c>
    </row>
    <row r="8" spans="1:14" s="251" customFormat="1" ht="18" customHeight="1" x14ac:dyDescent="0.2">
      <c r="A8" s="907" t="s">
        <v>596</v>
      </c>
      <c r="B8" s="907"/>
      <c r="C8" s="907"/>
      <c r="D8" s="252">
        <f>E8+F8</f>
        <v>237706</v>
      </c>
      <c r="E8" s="252">
        <f>G8+I8</f>
        <v>190163</v>
      </c>
      <c r="F8" s="252">
        <f>H8+J8</f>
        <v>47543</v>
      </c>
      <c r="G8" s="253">
        <f>SUM(G9:G28)</f>
        <v>146930</v>
      </c>
      <c r="H8" s="253">
        <f t="shared" ref="H8:J8" si="0">SUM(H9:H28)</f>
        <v>36733</v>
      </c>
      <c r="I8" s="253">
        <f t="shared" si="0"/>
        <v>43233</v>
      </c>
      <c r="J8" s="253">
        <f t="shared" si="0"/>
        <v>10810</v>
      </c>
    </row>
    <row r="9" spans="1:14" x14ac:dyDescent="0.2">
      <c r="A9" s="254">
        <v>1</v>
      </c>
      <c r="B9" s="254" t="s">
        <v>76</v>
      </c>
      <c r="C9" s="255" t="s">
        <v>7</v>
      </c>
      <c r="D9" s="256">
        <f>E9+F9</f>
        <v>14544</v>
      </c>
      <c r="E9" s="257">
        <f t="shared" ref="E9:F28" si="1">G9+I9</f>
        <v>11635</v>
      </c>
      <c r="F9" s="257">
        <f t="shared" si="1"/>
        <v>2909</v>
      </c>
      <c r="G9" s="256">
        <v>8700</v>
      </c>
      <c r="H9" s="256">
        <v>2175</v>
      </c>
      <c r="I9" s="256">
        <v>2935</v>
      </c>
      <c r="J9" s="256">
        <v>734</v>
      </c>
      <c r="K9" s="258"/>
      <c r="L9" s="258"/>
      <c r="N9" s="258"/>
    </row>
    <row r="10" spans="1:14" x14ac:dyDescent="0.2">
      <c r="A10" s="254">
        <v>2</v>
      </c>
      <c r="B10" s="254" t="s">
        <v>71</v>
      </c>
      <c r="C10" s="255" t="s">
        <v>5</v>
      </c>
      <c r="D10" s="256">
        <f t="shared" ref="D10:D28" si="2">E10+F10</f>
        <v>9942</v>
      </c>
      <c r="E10" s="257">
        <f t="shared" si="1"/>
        <v>7954</v>
      </c>
      <c r="F10" s="257">
        <f t="shared" si="1"/>
        <v>1988</v>
      </c>
      <c r="G10" s="256">
        <v>6138</v>
      </c>
      <c r="H10" s="256">
        <v>1534</v>
      </c>
      <c r="I10" s="256">
        <v>1816</v>
      </c>
      <c r="J10" s="256">
        <v>454</v>
      </c>
      <c r="K10" s="258"/>
      <c r="L10" s="258"/>
      <c r="N10" s="258"/>
    </row>
    <row r="11" spans="1:14" x14ac:dyDescent="0.2">
      <c r="A11" s="254">
        <v>3</v>
      </c>
      <c r="B11" s="254" t="s">
        <v>82</v>
      </c>
      <c r="C11" s="255" t="s">
        <v>10</v>
      </c>
      <c r="D11" s="256">
        <f t="shared" si="2"/>
        <v>8248</v>
      </c>
      <c r="E11" s="257">
        <f t="shared" si="1"/>
        <v>6598</v>
      </c>
      <c r="F11" s="257">
        <f t="shared" si="1"/>
        <v>1650</v>
      </c>
      <c r="G11" s="256">
        <v>5182</v>
      </c>
      <c r="H11" s="256">
        <v>1296</v>
      </c>
      <c r="I11" s="256">
        <v>1416</v>
      </c>
      <c r="J11" s="256">
        <v>354</v>
      </c>
      <c r="K11" s="258"/>
      <c r="L11" s="258"/>
      <c r="N11" s="258"/>
    </row>
    <row r="12" spans="1:14" x14ac:dyDescent="0.2">
      <c r="A12" s="254">
        <v>4</v>
      </c>
      <c r="B12" s="254" t="s">
        <v>101</v>
      </c>
      <c r="C12" s="255" t="s">
        <v>20</v>
      </c>
      <c r="D12" s="256">
        <f t="shared" si="2"/>
        <v>6626</v>
      </c>
      <c r="E12" s="257">
        <f t="shared" si="1"/>
        <v>5300</v>
      </c>
      <c r="F12" s="257">
        <f t="shared" si="1"/>
        <v>1326</v>
      </c>
      <c r="G12" s="256">
        <v>3998</v>
      </c>
      <c r="H12" s="256">
        <v>1000</v>
      </c>
      <c r="I12" s="256">
        <v>1302</v>
      </c>
      <c r="J12" s="256">
        <v>326</v>
      </c>
      <c r="K12" s="258"/>
      <c r="L12" s="258"/>
      <c r="N12" s="258"/>
    </row>
    <row r="13" spans="1:14" x14ac:dyDescent="0.2">
      <c r="A13" s="254">
        <v>5</v>
      </c>
      <c r="B13" s="254" t="s">
        <v>73</v>
      </c>
      <c r="C13" s="255" t="s">
        <v>6</v>
      </c>
      <c r="D13" s="256">
        <f t="shared" si="2"/>
        <v>16325</v>
      </c>
      <c r="E13" s="257">
        <f t="shared" si="1"/>
        <v>13060</v>
      </c>
      <c r="F13" s="257">
        <f t="shared" si="1"/>
        <v>3265</v>
      </c>
      <c r="G13" s="256">
        <v>10132</v>
      </c>
      <c r="H13" s="256">
        <v>2533</v>
      </c>
      <c r="I13" s="256">
        <v>2928</v>
      </c>
      <c r="J13" s="256">
        <v>732</v>
      </c>
      <c r="K13" s="258"/>
      <c r="L13" s="258"/>
      <c r="N13" s="258"/>
    </row>
    <row r="14" spans="1:14" x14ac:dyDescent="0.2">
      <c r="A14" s="254">
        <v>6</v>
      </c>
      <c r="B14" s="254" t="s">
        <v>77</v>
      </c>
      <c r="C14" s="255" t="s">
        <v>9</v>
      </c>
      <c r="D14" s="256">
        <f t="shared" si="2"/>
        <v>9603</v>
      </c>
      <c r="E14" s="257">
        <f t="shared" si="1"/>
        <v>7682</v>
      </c>
      <c r="F14" s="257">
        <f t="shared" si="1"/>
        <v>1921</v>
      </c>
      <c r="G14" s="256">
        <v>5688</v>
      </c>
      <c r="H14" s="256">
        <v>1422</v>
      </c>
      <c r="I14" s="256">
        <v>1994</v>
      </c>
      <c r="J14" s="256">
        <v>499</v>
      </c>
      <c r="K14" s="258"/>
      <c r="L14" s="258"/>
      <c r="N14" s="258"/>
    </row>
    <row r="15" spans="1:14" x14ac:dyDescent="0.2">
      <c r="A15" s="254">
        <v>7</v>
      </c>
      <c r="B15" s="254" t="s">
        <v>123</v>
      </c>
      <c r="C15" s="255" t="s">
        <v>597</v>
      </c>
      <c r="D15" s="256">
        <f t="shared" si="2"/>
        <v>20421</v>
      </c>
      <c r="E15" s="257">
        <f t="shared" si="1"/>
        <v>16337</v>
      </c>
      <c r="F15" s="257">
        <f t="shared" si="1"/>
        <v>4084</v>
      </c>
      <c r="G15" s="256">
        <v>16337</v>
      </c>
      <c r="H15" s="256">
        <v>4084</v>
      </c>
      <c r="I15" s="256">
        <v>0</v>
      </c>
      <c r="J15" s="256">
        <v>0</v>
      </c>
      <c r="K15" s="258"/>
      <c r="L15" s="258"/>
      <c r="N15" s="258"/>
    </row>
    <row r="16" spans="1:14" x14ac:dyDescent="0.2">
      <c r="A16" s="254">
        <v>8</v>
      </c>
      <c r="B16" s="254" t="s">
        <v>88</v>
      </c>
      <c r="C16" s="255" t="s">
        <v>13</v>
      </c>
      <c r="D16" s="256">
        <f>E16+F16</f>
        <v>22528</v>
      </c>
      <c r="E16" s="257">
        <f t="shared" si="1"/>
        <v>18022</v>
      </c>
      <c r="F16" s="257">
        <f t="shared" si="1"/>
        <v>4506</v>
      </c>
      <c r="G16" s="256">
        <v>15848</v>
      </c>
      <c r="H16" s="256">
        <v>3962</v>
      </c>
      <c r="I16" s="256">
        <v>2174</v>
      </c>
      <c r="J16" s="256">
        <v>544</v>
      </c>
      <c r="K16" s="258"/>
      <c r="L16" s="258"/>
      <c r="N16" s="258"/>
    </row>
    <row r="17" spans="1:14" x14ac:dyDescent="0.2">
      <c r="A17" s="254">
        <v>9</v>
      </c>
      <c r="B17" s="254" t="s">
        <v>284</v>
      </c>
      <c r="C17" s="255" t="s">
        <v>67</v>
      </c>
      <c r="D17" s="256">
        <f t="shared" si="2"/>
        <v>11512</v>
      </c>
      <c r="E17" s="257">
        <f t="shared" si="1"/>
        <v>9209</v>
      </c>
      <c r="F17" s="257">
        <f t="shared" si="1"/>
        <v>2303</v>
      </c>
      <c r="G17" s="256">
        <v>8070</v>
      </c>
      <c r="H17" s="256">
        <v>2018</v>
      </c>
      <c r="I17" s="256">
        <v>1139</v>
      </c>
      <c r="J17" s="256">
        <v>285</v>
      </c>
      <c r="K17" s="258"/>
      <c r="L17" s="258"/>
      <c r="N17" s="258"/>
    </row>
    <row r="18" spans="1:14" x14ac:dyDescent="0.2">
      <c r="A18" s="254">
        <v>10</v>
      </c>
      <c r="B18" s="254" t="s">
        <v>182</v>
      </c>
      <c r="C18" s="255" t="s">
        <v>183</v>
      </c>
      <c r="D18" s="256">
        <f t="shared" si="2"/>
        <v>6184</v>
      </c>
      <c r="E18" s="257">
        <f t="shared" si="1"/>
        <v>4947</v>
      </c>
      <c r="F18" s="257">
        <f t="shared" si="1"/>
        <v>1237</v>
      </c>
      <c r="G18" s="256">
        <v>0</v>
      </c>
      <c r="H18" s="256">
        <v>0</v>
      </c>
      <c r="I18" s="256">
        <v>4947</v>
      </c>
      <c r="J18" s="256">
        <v>1237</v>
      </c>
      <c r="K18" s="258"/>
      <c r="L18" s="258"/>
      <c r="N18" s="258"/>
    </row>
    <row r="19" spans="1:14" x14ac:dyDescent="0.2">
      <c r="A19" s="254">
        <v>11</v>
      </c>
      <c r="B19" s="254" t="s">
        <v>109</v>
      </c>
      <c r="C19" s="255" t="s">
        <v>23</v>
      </c>
      <c r="D19" s="256">
        <f t="shared" si="2"/>
        <v>8570</v>
      </c>
      <c r="E19" s="257">
        <f t="shared" si="1"/>
        <v>6856</v>
      </c>
      <c r="F19" s="257">
        <f t="shared" si="1"/>
        <v>1714</v>
      </c>
      <c r="G19" s="256">
        <v>5390</v>
      </c>
      <c r="H19" s="256">
        <v>1348</v>
      </c>
      <c r="I19" s="256">
        <v>1466</v>
      </c>
      <c r="J19" s="256">
        <v>366</v>
      </c>
      <c r="K19" s="258"/>
      <c r="L19" s="258"/>
      <c r="N19" s="258"/>
    </row>
    <row r="20" spans="1:14" x14ac:dyDescent="0.2">
      <c r="A20" s="254">
        <v>12</v>
      </c>
      <c r="B20" s="254" t="s">
        <v>84</v>
      </c>
      <c r="C20" s="255" t="s">
        <v>12</v>
      </c>
      <c r="D20" s="256">
        <f t="shared" si="2"/>
        <v>4943</v>
      </c>
      <c r="E20" s="257">
        <f t="shared" si="1"/>
        <v>3955</v>
      </c>
      <c r="F20" s="257">
        <f t="shared" si="1"/>
        <v>988</v>
      </c>
      <c r="G20" s="256">
        <v>3038</v>
      </c>
      <c r="H20" s="256">
        <v>759</v>
      </c>
      <c r="I20" s="256">
        <v>917</v>
      </c>
      <c r="J20" s="256">
        <v>229</v>
      </c>
      <c r="K20" s="258"/>
      <c r="L20" s="258"/>
      <c r="N20" s="258"/>
    </row>
    <row r="21" spans="1:14" x14ac:dyDescent="0.2">
      <c r="A21" s="254">
        <v>13</v>
      </c>
      <c r="B21" s="254" t="s">
        <v>83</v>
      </c>
      <c r="C21" s="259" t="s">
        <v>11</v>
      </c>
      <c r="D21" s="256">
        <f t="shared" si="2"/>
        <v>13908</v>
      </c>
      <c r="E21" s="257">
        <f t="shared" si="1"/>
        <v>11126</v>
      </c>
      <c r="F21" s="257">
        <f t="shared" si="1"/>
        <v>2782</v>
      </c>
      <c r="G21" s="256">
        <v>8814</v>
      </c>
      <c r="H21" s="256">
        <v>2204</v>
      </c>
      <c r="I21" s="256">
        <v>2312</v>
      </c>
      <c r="J21" s="256">
        <v>578</v>
      </c>
      <c r="K21" s="258"/>
      <c r="L21" s="258"/>
      <c r="N21" s="258"/>
    </row>
    <row r="22" spans="1:14" x14ac:dyDescent="0.2">
      <c r="A22" s="254">
        <v>14</v>
      </c>
      <c r="B22" s="254" t="s">
        <v>136</v>
      </c>
      <c r="C22" s="259" t="s">
        <v>15</v>
      </c>
      <c r="D22" s="256">
        <f t="shared" si="2"/>
        <v>3114</v>
      </c>
      <c r="E22" s="257">
        <f t="shared" si="1"/>
        <v>2491</v>
      </c>
      <c r="F22" s="257">
        <f t="shared" si="1"/>
        <v>623</v>
      </c>
      <c r="G22" s="256">
        <v>0</v>
      </c>
      <c r="H22" s="256">
        <v>0</v>
      </c>
      <c r="I22" s="256">
        <v>2491</v>
      </c>
      <c r="J22" s="256">
        <v>623</v>
      </c>
      <c r="K22" s="258"/>
      <c r="L22" s="258"/>
      <c r="N22" s="258"/>
    </row>
    <row r="23" spans="1:14" x14ac:dyDescent="0.2">
      <c r="A23" s="254">
        <v>15</v>
      </c>
      <c r="B23" s="254" t="s">
        <v>196</v>
      </c>
      <c r="C23" s="259" t="s">
        <v>344</v>
      </c>
      <c r="D23" s="256">
        <f t="shared" si="2"/>
        <v>9130</v>
      </c>
      <c r="E23" s="257">
        <f t="shared" si="1"/>
        <v>7304</v>
      </c>
      <c r="F23" s="257">
        <f t="shared" si="1"/>
        <v>1826</v>
      </c>
      <c r="G23" s="256">
        <v>0</v>
      </c>
      <c r="H23" s="256">
        <v>0</v>
      </c>
      <c r="I23" s="256">
        <v>7304</v>
      </c>
      <c r="J23" s="256">
        <v>1826</v>
      </c>
      <c r="K23" s="258"/>
      <c r="L23" s="258"/>
      <c r="N23" s="258"/>
    </row>
    <row r="24" spans="1:14" x14ac:dyDescent="0.2">
      <c r="A24" s="254">
        <v>18</v>
      </c>
      <c r="B24" s="254" t="s">
        <v>152</v>
      </c>
      <c r="C24" s="259" t="s">
        <v>153</v>
      </c>
      <c r="D24" s="256">
        <f t="shared" si="2"/>
        <v>10164</v>
      </c>
      <c r="E24" s="257">
        <f t="shared" si="1"/>
        <v>8131</v>
      </c>
      <c r="F24" s="257">
        <f t="shared" si="1"/>
        <v>2033</v>
      </c>
      <c r="G24" s="256">
        <v>8131</v>
      </c>
      <c r="H24" s="256">
        <v>2033</v>
      </c>
      <c r="I24" s="256">
        <v>0</v>
      </c>
      <c r="J24" s="256">
        <v>0</v>
      </c>
      <c r="K24" s="258"/>
      <c r="L24" s="258"/>
      <c r="N24" s="258"/>
    </row>
    <row r="25" spans="1:14" x14ac:dyDescent="0.2">
      <c r="A25" s="254">
        <v>19</v>
      </c>
      <c r="B25" s="4" t="s">
        <v>148</v>
      </c>
      <c r="C25" s="259" t="s">
        <v>598</v>
      </c>
      <c r="D25" s="256">
        <f t="shared" si="2"/>
        <v>9201</v>
      </c>
      <c r="E25" s="257">
        <f t="shared" si="1"/>
        <v>7361</v>
      </c>
      <c r="F25" s="257">
        <f t="shared" si="1"/>
        <v>1840</v>
      </c>
      <c r="G25" s="256">
        <v>5721</v>
      </c>
      <c r="H25" s="256">
        <v>1430</v>
      </c>
      <c r="I25" s="256">
        <v>1640</v>
      </c>
      <c r="J25" s="256">
        <v>410</v>
      </c>
      <c r="K25" s="258"/>
      <c r="L25" s="258"/>
      <c r="N25" s="258"/>
    </row>
    <row r="26" spans="1:14" x14ac:dyDescent="0.2">
      <c r="A26" s="254">
        <v>20</v>
      </c>
      <c r="B26" s="4" t="s">
        <v>146</v>
      </c>
      <c r="C26" s="259" t="s">
        <v>147</v>
      </c>
      <c r="D26" s="256">
        <f t="shared" si="2"/>
        <v>9092</v>
      </c>
      <c r="E26" s="257">
        <f t="shared" si="1"/>
        <v>7273</v>
      </c>
      <c r="F26" s="257">
        <f t="shared" si="1"/>
        <v>1819</v>
      </c>
      <c r="G26" s="256">
        <v>5571</v>
      </c>
      <c r="H26" s="256">
        <v>1393</v>
      </c>
      <c r="I26" s="256">
        <v>1702</v>
      </c>
      <c r="J26" s="256">
        <v>426</v>
      </c>
      <c r="K26" s="258"/>
      <c r="L26" s="258"/>
      <c r="N26" s="258"/>
    </row>
    <row r="27" spans="1:14" x14ac:dyDescent="0.2">
      <c r="A27" s="254">
        <v>21</v>
      </c>
      <c r="B27" s="260" t="s">
        <v>221</v>
      </c>
      <c r="C27" s="259" t="s">
        <v>222</v>
      </c>
      <c r="D27" s="256">
        <f t="shared" si="2"/>
        <v>5937</v>
      </c>
      <c r="E27" s="257">
        <f t="shared" si="1"/>
        <v>4750</v>
      </c>
      <c r="F27" s="257">
        <f t="shared" si="1"/>
        <v>1187</v>
      </c>
      <c r="G27" s="256">
        <v>0</v>
      </c>
      <c r="H27" s="256">
        <v>0</v>
      </c>
      <c r="I27" s="256">
        <v>4750</v>
      </c>
      <c r="J27" s="256">
        <v>1187</v>
      </c>
      <c r="K27" s="258"/>
      <c r="L27" s="258"/>
      <c r="N27" s="258"/>
    </row>
    <row r="28" spans="1:14" x14ac:dyDescent="0.2">
      <c r="A28" s="254">
        <v>22</v>
      </c>
      <c r="B28" s="260" t="s">
        <v>144</v>
      </c>
      <c r="C28" s="259" t="s">
        <v>382</v>
      </c>
      <c r="D28" s="256">
        <f t="shared" si="2"/>
        <v>37714</v>
      </c>
      <c r="E28" s="257">
        <f t="shared" si="1"/>
        <v>30172</v>
      </c>
      <c r="F28" s="257">
        <f t="shared" si="1"/>
        <v>7542</v>
      </c>
      <c r="G28" s="256">
        <v>30172</v>
      </c>
      <c r="H28" s="256">
        <v>7542</v>
      </c>
      <c r="I28" s="256">
        <v>0</v>
      </c>
      <c r="J28" s="256">
        <v>0</v>
      </c>
      <c r="K28" s="258"/>
      <c r="L28" s="258"/>
      <c r="N28" s="258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C24" sqref="C24"/>
    </sheetView>
  </sheetViews>
  <sheetFormatPr defaultRowHeight="12.75" x14ac:dyDescent="0.2"/>
  <cols>
    <col min="1" max="1" width="6.5703125" style="261" customWidth="1"/>
    <col min="2" max="2" width="11.85546875" style="261" customWidth="1"/>
    <col min="3" max="3" width="60.5703125" style="261" customWidth="1"/>
    <col min="4" max="4" width="40.7109375" style="261" customWidth="1"/>
    <col min="5" max="6" width="9.140625" style="261" customWidth="1"/>
    <col min="7" max="7" width="10.7109375" style="261" customWidth="1"/>
    <col min="8" max="8" width="10.42578125" style="261" customWidth="1"/>
    <col min="9" max="16384" width="9.140625" style="261"/>
  </cols>
  <sheetData>
    <row r="1" spans="1:6" ht="42.75" customHeight="1" x14ac:dyDescent="0.2">
      <c r="A1" s="970" t="s">
        <v>599</v>
      </c>
      <c r="B1" s="970"/>
      <c r="C1" s="970"/>
      <c r="D1" s="970"/>
    </row>
    <row r="2" spans="1:6" x14ac:dyDescent="0.2">
      <c r="A2" s="262"/>
      <c r="B2" s="262"/>
      <c r="C2" s="263"/>
      <c r="D2" s="263"/>
    </row>
    <row r="3" spans="1:6" ht="12.75" customHeight="1" x14ac:dyDescent="0.25">
      <c r="A3" s="264"/>
      <c r="B3" s="264"/>
      <c r="C3" s="265"/>
      <c r="D3" s="266" t="s">
        <v>349</v>
      </c>
    </row>
    <row r="4" spans="1:6" s="268" customFormat="1" ht="38.25" customHeight="1" x14ac:dyDescent="0.2">
      <c r="A4" s="956" t="s">
        <v>0</v>
      </c>
      <c r="B4" s="971" t="s">
        <v>106</v>
      </c>
      <c r="C4" s="956" t="s">
        <v>107</v>
      </c>
      <c r="D4" s="267" t="s">
        <v>600</v>
      </c>
      <c r="F4" s="269"/>
    </row>
    <row r="5" spans="1:6" s="268" customFormat="1" ht="20.25" customHeight="1" x14ac:dyDescent="0.2">
      <c r="A5" s="957"/>
      <c r="B5" s="972"/>
      <c r="C5" s="957"/>
      <c r="D5" s="270" t="s">
        <v>601</v>
      </c>
    </row>
    <row r="6" spans="1:6" s="268" customFormat="1" ht="12" customHeight="1" x14ac:dyDescent="0.2">
      <c r="A6" s="957"/>
      <c r="B6" s="972"/>
      <c r="C6" s="957"/>
      <c r="D6" s="956" t="s">
        <v>602</v>
      </c>
    </row>
    <row r="7" spans="1:6" s="268" customFormat="1" ht="35.25" customHeight="1" x14ac:dyDescent="0.2">
      <c r="A7" s="958"/>
      <c r="B7" s="973"/>
      <c r="C7" s="958"/>
      <c r="D7" s="958"/>
    </row>
    <row r="8" spans="1:6" s="275" customFormat="1" ht="11.25" x14ac:dyDescent="0.2">
      <c r="A8" s="271">
        <v>1</v>
      </c>
      <c r="B8" s="272">
        <v>2</v>
      </c>
      <c r="C8" s="273">
        <v>3</v>
      </c>
      <c r="D8" s="274">
        <v>4</v>
      </c>
    </row>
    <row r="9" spans="1:6" s="275" customFormat="1" ht="15" customHeight="1" x14ac:dyDescent="0.2">
      <c r="A9" s="967" t="s">
        <v>596</v>
      </c>
      <c r="B9" s="968"/>
      <c r="C9" s="969"/>
      <c r="D9" s="276">
        <f>SUM(D10:D16)</f>
        <v>211651</v>
      </c>
      <c r="E9" s="277"/>
      <c r="F9" s="277"/>
    </row>
    <row r="10" spans="1:6" s="282" customFormat="1" ht="15" x14ac:dyDescent="0.2">
      <c r="A10" s="278">
        <v>1</v>
      </c>
      <c r="B10" s="279" t="s">
        <v>76</v>
      </c>
      <c r="C10" s="280" t="s">
        <v>7</v>
      </c>
      <c r="D10" s="281">
        <f>'[20]ДВН центр.исслед.Пр.19-21'!D10+'[20]Измен.Прот.3-22'!D10</f>
        <v>15142</v>
      </c>
      <c r="E10" s="277"/>
    </row>
    <row r="11" spans="1:6" s="282" customFormat="1" ht="15" x14ac:dyDescent="0.2">
      <c r="A11" s="279">
        <v>2</v>
      </c>
      <c r="B11" s="283" t="s">
        <v>121</v>
      </c>
      <c r="C11" s="280" t="s">
        <v>122</v>
      </c>
      <c r="D11" s="281">
        <f>'[20]ДВН центр.исслед.Пр.19-21'!D11+'[20]Измен.Прот.3-22'!D11</f>
        <v>43042</v>
      </c>
      <c r="E11" s="277"/>
    </row>
    <row r="12" spans="1:6" s="282" customFormat="1" ht="15" x14ac:dyDescent="0.2">
      <c r="A12" s="278">
        <v>3</v>
      </c>
      <c r="B12" s="279" t="s">
        <v>88</v>
      </c>
      <c r="C12" s="284" t="s">
        <v>603</v>
      </c>
      <c r="D12" s="281">
        <f>'[20]ДВН центр.исслед.Пр.19-21'!D12+'[20]Измен.Прот.3-22'!D12</f>
        <v>21443</v>
      </c>
      <c r="E12" s="277"/>
    </row>
    <row r="13" spans="1:6" s="282" customFormat="1" ht="15" x14ac:dyDescent="0.2">
      <c r="A13" s="279">
        <v>4</v>
      </c>
      <c r="B13" s="279" t="s">
        <v>144</v>
      </c>
      <c r="C13" s="285" t="s">
        <v>382</v>
      </c>
      <c r="D13" s="281">
        <f>'[20]ДВН центр.исслед.Пр.19-21'!D13+'[20]Измен.Прот.3-22'!D13</f>
        <v>65606</v>
      </c>
      <c r="E13" s="277"/>
    </row>
    <row r="14" spans="1:6" s="282" customFormat="1" ht="15" x14ac:dyDescent="0.2">
      <c r="A14" s="279">
        <v>5</v>
      </c>
      <c r="B14" s="279" t="s">
        <v>161</v>
      </c>
      <c r="C14" s="280" t="s">
        <v>604</v>
      </c>
      <c r="D14" s="281">
        <f>'[20]ДВН центр.исслед.Пр.19-21'!D14+'[20]Измен.Прот.3-22'!D14</f>
        <v>59626</v>
      </c>
      <c r="E14" s="277"/>
    </row>
    <row r="15" spans="1:6" ht="15" x14ac:dyDescent="0.2">
      <c r="A15" s="279">
        <v>6</v>
      </c>
      <c r="B15" s="279" t="s">
        <v>69</v>
      </c>
      <c r="C15" s="280" t="s">
        <v>29</v>
      </c>
      <c r="D15" s="281">
        <f>'[20]Измен.Прот.3-22'!D15</f>
        <v>2099</v>
      </c>
      <c r="E15" s="277"/>
    </row>
    <row r="16" spans="1:6" ht="15" x14ac:dyDescent="0.2">
      <c r="A16" s="279">
        <v>7</v>
      </c>
      <c r="B16" s="279" t="s">
        <v>123</v>
      </c>
      <c r="C16" s="286" t="s">
        <v>124</v>
      </c>
      <c r="D16" s="281">
        <f>'[20]Измен.Прот.3-22'!D16</f>
        <v>4693</v>
      </c>
      <c r="E16" s="277"/>
    </row>
    <row r="19" spans="2:2" ht="15" x14ac:dyDescent="0.2">
      <c r="B19" s="287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91"/>
  <sheetViews>
    <sheetView zoomScale="70" zoomScaleNormal="70" workbookViewId="0">
      <pane xSplit="3" ySplit="8" topLeftCell="D63" activePane="bottomRight" state="frozen"/>
      <selection pane="topRight" activeCell="D1" sqref="D1"/>
      <selection pane="bottomLeft" activeCell="A9" sqref="A9"/>
      <selection pane="bottomRight" activeCell="K67" sqref="K67"/>
    </sheetView>
  </sheetViews>
  <sheetFormatPr defaultRowHeight="15.75" x14ac:dyDescent="0.25"/>
  <cols>
    <col min="1" max="1" width="9.140625" style="289"/>
    <col min="2" max="2" width="12.28515625" style="290" bestFit="1" customWidth="1"/>
    <col min="3" max="3" width="47.42578125" style="288" customWidth="1"/>
    <col min="4" max="4" width="14.42578125" style="288" customWidth="1"/>
    <col min="5" max="5" width="14.7109375" style="308" customWidth="1"/>
    <col min="6" max="6" width="15.42578125" style="308" customWidth="1"/>
    <col min="7" max="7" width="14.140625" style="308" customWidth="1"/>
    <col min="8" max="8" width="12.28515625" style="308" customWidth="1"/>
    <col min="9" max="9" width="15.28515625" style="308" customWidth="1"/>
    <col min="10" max="16384" width="9.140625" style="288"/>
  </cols>
  <sheetData>
    <row r="2" spans="1:9" ht="54.75" customHeight="1" x14ac:dyDescent="0.25">
      <c r="A2" s="979" t="s">
        <v>605</v>
      </c>
      <c r="B2" s="979"/>
      <c r="C2" s="979"/>
      <c r="D2" s="979"/>
      <c r="E2" s="979"/>
      <c r="F2" s="979"/>
      <c r="G2" s="979"/>
      <c r="H2" s="979"/>
      <c r="I2" s="979"/>
    </row>
    <row r="3" spans="1:9" x14ac:dyDescent="0.25">
      <c r="D3" s="291"/>
      <c r="E3" s="292"/>
      <c r="F3" s="292"/>
      <c r="G3" s="292"/>
      <c r="H3" s="292"/>
      <c r="I3" s="292"/>
    </row>
    <row r="4" spans="1:9" ht="45.75" customHeight="1" x14ac:dyDescent="0.25">
      <c r="A4" s="980" t="s">
        <v>0</v>
      </c>
      <c r="B4" s="983" t="s">
        <v>106</v>
      </c>
      <c r="C4" s="986" t="s">
        <v>107</v>
      </c>
      <c r="D4" s="987" t="s">
        <v>606</v>
      </c>
      <c r="E4" s="988"/>
      <c r="F4" s="988"/>
      <c r="G4" s="988"/>
      <c r="H4" s="988"/>
      <c r="I4" s="989"/>
    </row>
    <row r="5" spans="1:9" ht="34.5" customHeight="1" x14ac:dyDescent="0.25">
      <c r="A5" s="981"/>
      <c r="B5" s="984"/>
      <c r="C5" s="986"/>
      <c r="D5" s="990" t="s">
        <v>607</v>
      </c>
      <c r="E5" s="991"/>
      <c r="F5" s="991"/>
      <c r="G5" s="986" t="s">
        <v>608</v>
      </c>
      <c r="H5" s="986"/>
      <c r="I5" s="986"/>
    </row>
    <row r="6" spans="1:9" ht="92.25" customHeight="1" x14ac:dyDescent="0.25">
      <c r="A6" s="982"/>
      <c r="B6" s="985"/>
      <c r="C6" s="986"/>
      <c r="D6" s="293" t="s">
        <v>609</v>
      </c>
      <c r="E6" s="294" t="s">
        <v>610</v>
      </c>
      <c r="F6" s="294" t="s">
        <v>611</v>
      </c>
      <c r="G6" s="294" t="s">
        <v>612</v>
      </c>
      <c r="H6" s="294" t="s">
        <v>613</v>
      </c>
      <c r="I6" s="294" t="s">
        <v>614</v>
      </c>
    </row>
    <row r="7" spans="1:9" ht="15" customHeight="1" x14ac:dyDescent="0.25">
      <c r="A7" s="295">
        <v>1</v>
      </c>
      <c r="B7" s="296" t="s">
        <v>615</v>
      </c>
      <c r="C7" s="295">
        <v>3</v>
      </c>
      <c r="D7" s="294">
        <v>4</v>
      </c>
      <c r="E7" s="294">
        <v>5</v>
      </c>
      <c r="F7" s="294">
        <v>6</v>
      </c>
      <c r="G7" s="294">
        <v>7</v>
      </c>
      <c r="H7" s="294">
        <v>8</v>
      </c>
      <c r="I7" s="294">
        <v>9</v>
      </c>
    </row>
    <row r="8" spans="1:9" ht="20.25" customHeight="1" x14ac:dyDescent="0.25">
      <c r="A8" s="974" t="s">
        <v>596</v>
      </c>
      <c r="B8" s="975"/>
      <c r="C8" s="976"/>
      <c r="D8" s="297">
        <f t="shared" ref="D8:I8" si="0">SUM(D9:D83)</f>
        <v>357111</v>
      </c>
      <c r="E8" s="297">
        <f t="shared" si="0"/>
        <v>33986</v>
      </c>
      <c r="F8" s="297">
        <f t="shared" si="0"/>
        <v>84966</v>
      </c>
      <c r="G8" s="297">
        <f t="shared" si="0"/>
        <v>8497</v>
      </c>
      <c r="H8" s="297">
        <f t="shared" si="0"/>
        <v>8497</v>
      </c>
      <c r="I8" s="297">
        <f t="shared" si="0"/>
        <v>8497</v>
      </c>
    </row>
    <row r="9" spans="1:9" x14ac:dyDescent="0.25">
      <c r="A9" s="295">
        <v>1</v>
      </c>
      <c r="B9" s="298" t="s">
        <v>69</v>
      </c>
      <c r="C9" s="299" t="s">
        <v>29</v>
      </c>
      <c r="D9" s="300">
        <v>1618</v>
      </c>
      <c r="E9" s="300">
        <v>223</v>
      </c>
      <c r="F9" s="300">
        <v>558</v>
      </c>
      <c r="G9" s="300">
        <v>56</v>
      </c>
      <c r="H9" s="300">
        <v>56</v>
      </c>
      <c r="I9" s="300">
        <v>56</v>
      </c>
    </row>
    <row r="10" spans="1:9" x14ac:dyDescent="0.25">
      <c r="A10" s="295">
        <v>2</v>
      </c>
      <c r="B10" s="298" t="s">
        <v>70</v>
      </c>
      <c r="C10" s="299" t="s">
        <v>31</v>
      </c>
      <c r="D10" s="300">
        <v>1744</v>
      </c>
      <c r="E10" s="300">
        <v>137</v>
      </c>
      <c r="F10" s="300">
        <v>342</v>
      </c>
      <c r="G10" s="300">
        <v>34</v>
      </c>
      <c r="H10" s="300">
        <v>34</v>
      </c>
      <c r="I10" s="300">
        <v>34</v>
      </c>
    </row>
    <row r="11" spans="1:9" x14ac:dyDescent="0.25">
      <c r="A11" s="295">
        <v>3</v>
      </c>
      <c r="B11" s="298" t="s">
        <v>71</v>
      </c>
      <c r="C11" s="299" t="s">
        <v>5</v>
      </c>
      <c r="D11" s="300">
        <v>5210</v>
      </c>
      <c r="E11" s="300">
        <v>288</v>
      </c>
      <c r="F11" s="300">
        <v>719</v>
      </c>
      <c r="G11" s="300">
        <v>72</v>
      </c>
      <c r="H11" s="300">
        <v>72</v>
      </c>
      <c r="I11" s="300">
        <v>72</v>
      </c>
    </row>
    <row r="12" spans="1:9" x14ac:dyDescent="0.25">
      <c r="A12" s="295">
        <v>4</v>
      </c>
      <c r="B12" s="298" t="s">
        <v>72</v>
      </c>
      <c r="C12" s="299" t="s">
        <v>35</v>
      </c>
      <c r="D12" s="300">
        <v>1716</v>
      </c>
      <c r="E12" s="300">
        <v>146</v>
      </c>
      <c r="F12" s="300">
        <v>365</v>
      </c>
      <c r="G12" s="300">
        <v>37</v>
      </c>
      <c r="H12" s="300">
        <v>37</v>
      </c>
      <c r="I12" s="300">
        <v>37</v>
      </c>
    </row>
    <row r="13" spans="1:9" x14ac:dyDescent="0.25">
      <c r="A13" s="295">
        <v>5</v>
      </c>
      <c r="B13" s="298" t="s">
        <v>108</v>
      </c>
      <c r="C13" s="299" t="s">
        <v>37</v>
      </c>
      <c r="D13" s="300">
        <v>1505</v>
      </c>
      <c r="E13" s="300">
        <v>92</v>
      </c>
      <c r="F13" s="300">
        <v>229</v>
      </c>
      <c r="G13" s="300">
        <v>23</v>
      </c>
      <c r="H13" s="300">
        <v>23</v>
      </c>
      <c r="I13" s="300">
        <v>23</v>
      </c>
    </row>
    <row r="14" spans="1:9" x14ac:dyDescent="0.25">
      <c r="A14" s="295">
        <v>6</v>
      </c>
      <c r="B14" s="298" t="s">
        <v>73</v>
      </c>
      <c r="C14" s="299" t="s">
        <v>6</v>
      </c>
      <c r="D14" s="300">
        <v>10771</v>
      </c>
      <c r="E14" s="300">
        <v>813</v>
      </c>
      <c r="F14" s="300">
        <v>2032</v>
      </c>
      <c r="G14" s="300">
        <v>203</v>
      </c>
      <c r="H14" s="300">
        <v>203</v>
      </c>
      <c r="I14" s="300">
        <v>203</v>
      </c>
    </row>
    <row r="15" spans="1:9" x14ac:dyDescent="0.25">
      <c r="A15" s="295">
        <v>7</v>
      </c>
      <c r="B15" s="298" t="s">
        <v>109</v>
      </c>
      <c r="C15" s="299" t="s">
        <v>23</v>
      </c>
      <c r="D15" s="300">
        <v>7147</v>
      </c>
      <c r="E15" s="300">
        <v>350</v>
      </c>
      <c r="F15" s="300">
        <v>874</v>
      </c>
      <c r="G15" s="300">
        <v>87</v>
      </c>
      <c r="H15" s="300">
        <v>87</v>
      </c>
      <c r="I15" s="300">
        <v>87</v>
      </c>
    </row>
    <row r="16" spans="1:9" x14ac:dyDescent="0.25">
      <c r="A16" s="295">
        <v>8</v>
      </c>
      <c r="B16" s="298" t="s">
        <v>110</v>
      </c>
      <c r="C16" s="299" t="s">
        <v>44</v>
      </c>
      <c r="D16" s="300">
        <v>1859</v>
      </c>
      <c r="E16" s="300">
        <v>77</v>
      </c>
      <c r="F16" s="300">
        <v>193</v>
      </c>
      <c r="G16" s="300">
        <v>19</v>
      </c>
      <c r="H16" s="300">
        <v>19</v>
      </c>
      <c r="I16" s="300">
        <v>19</v>
      </c>
    </row>
    <row r="17" spans="1:9" x14ac:dyDescent="0.25">
      <c r="A17" s="295">
        <v>9</v>
      </c>
      <c r="B17" s="298" t="s">
        <v>74</v>
      </c>
      <c r="C17" s="299" t="s">
        <v>45</v>
      </c>
      <c r="D17" s="300">
        <v>2025</v>
      </c>
      <c r="E17" s="300">
        <v>227</v>
      </c>
      <c r="F17" s="300">
        <v>568</v>
      </c>
      <c r="G17" s="300">
        <v>57</v>
      </c>
      <c r="H17" s="300">
        <v>57</v>
      </c>
      <c r="I17" s="300">
        <v>57</v>
      </c>
    </row>
    <row r="18" spans="1:9" x14ac:dyDescent="0.25">
      <c r="A18" s="295">
        <v>10</v>
      </c>
      <c r="B18" s="298" t="s">
        <v>111</v>
      </c>
      <c r="C18" s="299" t="s">
        <v>48</v>
      </c>
      <c r="D18" s="300">
        <v>2262</v>
      </c>
      <c r="E18" s="300">
        <v>167</v>
      </c>
      <c r="F18" s="300">
        <v>417</v>
      </c>
      <c r="G18" s="300">
        <v>42</v>
      </c>
      <c r="H18" s="300">
        <v>42</v>
      </c>
      <c r="I18" s="300">
        <v>42</v>
      </c>
    </row>
    <row r="19" spans="1:9" x14ac:dyDescent="0.25">
      <c r="A19" s="295">
        <v>11</v>
      </c>
      <c r="B19" s="298" t="s">
        <v>75</v>
      </c>
      <c r="C19" s="299" t="s">
        <v>52</v>
      </c>
      <c r="D19" s="300">
        <v>1563</v>
      </c>
      <c r="E19" s="300">
        <v>80</v>
      </c>
      <c r="F19" s="300">
        <v>201</v>
      </c>
      <c r="G19" s="300">
        <v>20</v>
      </c>
      <c r="H19" s="300">
        <v>20</v>
      </c>
      <c r="I19" s="300">
        <v>20</v>
      </c>
    </row>
    <row r="20" spans="1:9" x14ac:dyDescent="0.25">
      <c r="A20" s="295">
        <v>12</v>
      </c>
      <c r="B20" s="298" t="s">
        <v>112</v>
      </c>
      <c r="C20" s="299" t="s">
        <v>63</v>
      </c>
      <c r="D20" s="300">
        <v>4405</v>
      </c>
      <c r="E20" s="300">
        <v>210</v>
      </c>
      <c r="F20" s="300">
        <v>524</v>
      </c>
      <c r="G20" s="300">
        <v>52</v>
      </c>
      <c r="H20" s="300">
        <v>52</v>
      </c>
      <c r="I20" s="300">
        <v>52</v>
      </c>
    </row>
    <row r="21" spans="1:9" x14ac:dyDescent="0.25">
      <c r="A21" s="295">
        <v>13</v>
      </c>
      <c r="B21" s="298" t="s">
        <v>113</v>
      </c>
      <c r="C21" s="299" t="s">
        <v>114</v>
      </c>
      <c r="D21" s="300">
        <v>12951</v>
      </c>
      <c r="E21" s="300">
        <v>1452</v>
      </c>
      <c r="F21" s="300">
        <v>3631</v>
      </c>
      <c r="G21" s="300">
        <v>363</v>
      </c>
      <c r="H21" s="300">
        <v>363</v>
      </c>
      <c r="I21" s="300">
        <v>363</v>
      </c>
    </row>
    <row r="22" spans="1:9" x14ac:dyDescent="0.25">
      <c r="A22" s="295">
        <v>14</v>
      </c>
      <c r="B22" s="298" t="s">
        <v>115</v>
      </c>
      <c r="C22" s="299" t="s">
        <v>26</v>
      </c>
      <c r="D22" s="300">
        <v>1125</v>
      </c>
      <c r="E22" s="300">
        <v>150</v>
      </c>
      <c r="F22" s="300">
        <v>374</v>
      </c>
      <c r="G22" s="300">
        <v>37</v>
      </c>
      <c r="H22" s="300">
        <v>37</v>
      </c>
      <c r="I22" s="300">
        <v>37</v>
      </c>
    </row>
    <row r="23" spans="1:9" x14ac:dyDescent="0.25">
      <c r="A23" s="295">
        <v>15</v>
      </c>
      <c r="B23" s="298" t="s">
        <v>116</v>
      </c>
      <c r="C23" s="299" t="s">
        <v>28</v>
      </c>
      <c r="D23" s="300">
        <v>2411</v>
      </c>
      <c r="E23" s="300">
        <v>280</v>
      </c>
      <c r="F23" s="300">
        <v>699</v>
      </c>
      <c r="G23" s="300">
        <v>70</v>
      </c>
      <c r="H23" s="300">
        <v>70</v>
      </c>
      <c r="I23" s="300">
        <v>70</v>
      </c>
    </row>
    <row r="24" spans="1:9" x14ac:dyDescent="0.25">
      <c r="A24" s="295">
        <v>16</v>
      </c>
      <c r="B24" s="298" t="s">
        <v>117</v>
      </c>
      <c r="C24" s="299" t="s">
        <v>24</v>
      </c>
      <c r="D24" s="300">
        <v>3602</v>
      </c>
      <c r="E24" s="300">
        <v>434</v>
      </c>
      <c r="F24" s="300">
        <v>1086</v>
      </c>
      <c r="G24" s="300">
        <v>109</v>
      </c>
      <c r="H24" s="300">
        <v>109</v>
      </c>
      <c r="I24" s="300">
        <v>109</v>
      </c>
    </row>
    <row r="25" spans="1:9" x14ac:dyDescent="0.25">
      <c r="A25" s="295">
        <v>17</v>
      </c>
      <c r="B25" s="298" t="s">
        <v>76</v>
      </c>
      <c r="C25" s="299" t="s">
        <v>7</v>
      </c>
      <c r="D25" s="300">
        <v>8998</v>
      </c>
      <c r="E25" s="300">
        <v>818</v>
      </c>
      <c r="F25" s="300">
        <v>2046</v>
      </c>
      <c r="G25" s="300">
        <v>205</v>
      </c>
      <c r="H25" s="300">
        <v>205</v>
      </c>
      <c r="I25" s="300">
        <v>205</v>
      </c>
    </row>
    <row r="26" spans="1:9" x14ac:dyDescent="0.25">
      <c r="A26" s="295">
        <v>18</v>
      </c>
      <c r="B26" s="298" t="s">
        <v>118</v>
      </c>
      <c r="C26" s="299" t="s">
        <v>36</v>
      </c>
      <c r="D26" s="300">
        <v>1224</v>
      </c>
      <c r="E26" s="300">
        <v>204</v>
      </c>
      <c r="F26" s="300">
        <v>510</v>
      </c>
      <c r="G26" s="300">
        <v>51</v>
      </c>
      <c r="H26" s="300">
        <v>51</v>
      </c>
      <c r="I26" s="300">
        <v>51</v>
      </c>
    </row>
    <row r="27" spans="1:9" x14ac:dyDescent="0.25">
      <c r="A27" s="295">
        <v>19</v>
      </c>
      <c r="B27" s="298" t="s">
        <v>119</v>
      </c>
      <c r="C27" s="299" t="s">
        <v>41</v>
      </c>
      <c r="D27" s="300">
        <v>836</v>
      </c>
      <c r="E27" s="300">
        <v>84</v>
      </c>
      <c r="F27" s="300">
        <v>211</v>
      </c>
      <c r="G27" s="300">
        <v>21</v>
      </c>
      <c r="H27" s="300">
        <v>21</v>
      </c>
      <c r="I27" s="300">
        <v>21</v>
      </c>
    </row>
    <row r="28" spans="1:9" x14ac:dyDescent="0.25">
      <c r="A28" s="295">
        <v>20</v>
      </c>
      <c r="B28" s="298" t="s">
        <v>120</v>
      </c>
      <c r="C28" s="299" t="s">
        <v>8</v>
      </c>
      <c r="D28" s="300">
        <v>4445</v>
      </c>
      <c r="E28" s="300">
        <v>508</v>
      </c>
      <c r="F28" s="300">
        <v>1269</v>
      </c>
      <c r="G28" s="300">
        <v>127</v>
      </c>
      <c r="H28" s="300">
        <v>127</v>
      </c>
      <c r="I28" s="300">
        <v>127</v>
      </c>
    </row>
    <row r="29" spans="1:9" x14ac:dyDescent="0.25">
      <c r="A29" s="295">
        <v>21</v>
      </c>
      <c r="B29" s="298" t="s">
        <v>77</v>
      </c>
      <c r="C29" s="299" t="s">
        <v>9</v>
      </c>
      <c r="D29" s="300">
        <v>6421</v>
      </c>
      <c r="E29" s="300">
        <v>510</v>
      </c>
      <c r="F29" s="300">
        <v>1275</v>
      </c>
      <c r="G29" s="300">
        <v>128</v>
      </c>
      <c r="H29" s="300">
        <v>128</v>
      </c>
      <c r="I29" s="300">
        <v>128</v>
      </c>
    </row>
    <row r="30" spans="1:9" x14ac:dyDescent="0.25">
      <c r="A30" s="295">
        <v>22</v>
      </c>
      <c r="B30" s="298" t="s">
        <v>78</v>
      </c>
      <c r="C30" s="299" t="s">
        <v>616</v>
      </c>
      <c r="D30" s="300">
        <v>1157</v>
      </c>
      <c r="E30" s="300">
        <v>78</v>
      </c>
      <c r="F30" s="300">
        <v>196</v>
      </c>
      <c r="G30" s="300">
        <v>20</v>
      </c>
      <c r="H30" s="300">
        <v>20</v>
      </c>
      <c r="I30" s="300">
        <v>20</v>
      </c>
    </row>
    <row r="31" spans="1:9" x14ac:dyDescent="0.25">
      <c r="A31" s="295">
        <v>23</v>
      </c>
      <c r="B31" s="298" t="s">
        <v>121</v>
      </c>
      <c r="C31" s="299" t="s">
        <v>122</v>
      </c>
      <c r="D31" s="300">
        <v>13181</v>
      </c>
      <c r="E31" s="300">
        <v>1019</v>
      </c>
      <c r="F31" s="300">
        <v>2547</v>
      </c>
      <c r="G31" s="300">
        <v>255</v>
      </c>
      <c r="H31" s="300">
        <v>255</v>
      </c>
      <c r="I31" s="300">
        <v>255</v>
      </c>
    </row>
    <row r="32" spans="1:9" x14ac:dyDescent="0.25">
      <c r="A32" s="295">
        <v>24</v>
      </c>
      <c r="B32" s="298" t="s">
        <v>82</v>
      </c>
      <c r="C32" s="299" t="s">
        <v>10</v>
      </c>
      <c r="D32" s="300">
        <v>6133</v>
      </c>
      <c r="E32" s="300">
        <v>583</v>
      </c>
      <c r="F32" s="300">
        <v>1457</v>
      </c>
      <c r="G32" s="300">
        <v>146</v>
      </c>
      <c r="H32" s="300">
        <v>146</v>
      </c>
      <c r="I32" s="300">
        <v>146</v>
      </c>
    </row>
    <row r="33" spans="1:9" ht="17.25" customHeight="1" x14ac:dyDescent="0.25">
      <c r="A33" s="295">
        <v>25</v>
      </c>
      <c r="B33" s="298" t="s">
        <v>83</v>
      </c>
      <c r="C33" s="299" t="s">
        <v>11</v>
      </c>
      <c r="D33" s="300">
        <v>13233</v>
      </c>
      <c r="E33" s="300">
        <v>758</v>
      </c>
      <c r="F33" s="300">
        <v>1896</v>
      </c>
      <c r="G33" s="300">
        <v>190</v>
      </c>
      <c r="H33" s="300">
        <v>190</v>
      </c>
      <c r="I33" s="300">
        <v>190</v>
      </c>
    </row>
    <row r="34" spans="1:9" x14ac:dyDescent="0.25">
      <c r="A34" s="295">
        <v>26</v>
      </c>
      <c r="B34" s="298" t="s">
        <v>123</v>
      </c>
      <c r="C34" s="299" t="s">
        <v>124</v>
      </c>
      <c r="D34" s="300">
        <v>9697</v>
      </c>
      <c r="E34" s="300">
        <v>1185</v>
      </c>
      <c r="F34" s="300">
        <v>2963</v>
      </c>
      <c r="G34" s="300">
        <v>296</v>
      </c>
      <c r="H34" s="300">
        <v>296</v>
      </c>
      <c r="I34" s="300">
        <v>296</v>
      </c>
    </row>
    <row r="35" spans="1:9" x14ac:dyDescent="0.25">
      <c r="A35" s="295">
        <v>27</v>
      </c>
      <c r="B35" s="298" t="s">
        <v>125</v>
      </c>
      <c r="C35" s="299" t="s">
        <v>43</v>
      </c>
      <c r="D35" s="300">
        <v>2316</v>
      </c>
      <c r="E35" s="300">
        <v>176</v>
      </c>
      <c r="F35" s="300">
        <v>439</v>
      </c>
      <c r="G35" s="300">
        <v>44</v>
      </c>
      <c r="H35" s="300">
        <v>44</v>
      </c>
      <c r="I35" s="300">
        <v>44</v>
      </c>
    </row>
    <row r="36" spans="1:9" x14ac:dyDescent="0.25">
      <c r="A36" s="295">
        <v>28</v>
      </c>
      <c r="B36" s="298" t="s">
        <v>84</v>
      </c>
      <c r="C36" s="299" t="s">
        <v>12</v>
      </c>
      <c r="D36" s="300">
        <v>5295</v>
      </c>
      <c r="E36" s="300">
        <v>497</v>
      </c>
      <c r="F36" s="300">
        <v>1243</v>
      </c>
      <c r="G36" s="300">
        <v>124</v>
      </c>
      <c r="H36" s="300">
        <v>124</v>
      </c>
      <c r="I36" s="300">
        <v>124</v>
      </c>
    </row>
    <row r="37" spans="1:9" x14ac:dyDescent="0.25">
      <c r="A37" s="295">
        <v>29</v>
      </c>
      <c r="B37" s="298" t="s">
        <v>85</v>
      </c>
      <c r="C37" s="299" t="s">
        <v>49</v>
      </c>
      <c r="D37" s="300">
        <v>2007</v>
      </c>
      <c r="E37" s="300">
        <v>296</v>
      </c>
      <c r="F37" s="300">
        <v>741</v>
      </c>
      <c r="G37" s="300">
        <v>74</v>
      </c>
      <c r="H37" s="300">
        <v>74</v>
      </c>
      <c r="I37" s="300">
        <v>74</v>
      </c>
    </row>
    <row r="38" spans="1:9" x14ac:dyDescent="0.25">
      <c r="A38" s="295">
        <v>30</v>
      </c>
      <c r="B38" s="298" t="s">
        <v>126</v>
      </c>
      <c r="C38" s="299" t="s">
        <v>25</v>
      </c>
      <c r="D38" s="300">
        <v>6050</v>
      </c>
      <c r="E38" s="300">
        <v>663</v>
      </c>
      <c r="F38" s="300">
        <v>1657</v>
      </c>
      <c r="G38" s="300">
        <v>166</v>
      </c>
      <c r="H38" s="300">
        <v>166</v>
      </c>
      <c r="I38" s="300">
        <v>166</v>
      </c>
    </row>
    <row r="39" spans="1:9" x14ac:dyDescent="0.25">
      <c r="A39" s="295">
        <v>31</v>
      </c>
      <c r="B39" s="298" t="s">
        <v>127</v>
      </c>
      <c r="C39" s="299" t="s">
        <v>54</v>
      </c>
      <c r="D39" s="300">
        <v>2192</v>
      </c>
      <c r="E39" s="300">
        <v>144</v>
      </c>
      <c r="F39" s="300">
        <v>360</v>
      </c>
      <c r="G39" s="300">
        <v>36</v>
      </c>
      <c r="H39" s="300">
        <v>36</v>
      </c>
      <c r="I39" s="300">
        <v>36</v>
      </c>
    </row>
    <row r="40" spans="1:9" x14ac:dyDescent="0.25">
      <c r="A40" s="295">
        <v>32</v>
      </c>
      <c r="B40" s="298" t="s">
        <v>86</v>
      </c>
      <c r="C40" s="299" t="s">
        <v>57</v>
      </c>
      <c r="D40" s="300">
        <v>1066</v>
      </c>
      <c r="E40" s="300">
        <v>118</v>
      </c>
      <c r="F40" s="300">
        <v>295</v>
      </c>
      <c r="G40" s="300">
        <v>30</v>
      </c>
      <c r="H40" s="300">
        <v>30</v>
      </c>
      <c r="I40" s="300">
        <v>30</v>
      </c>
    </row>
    <row r="41" spans="1:9" x14ac:dyDescent="0.25">
      <c r="A41" s="295">
        <v>33</v>
      </c>
      <c r="B41" s="298" t="s">
        <v>87</v>
      </c>
      <c r="C41" s="299" t="s">
        <v>58</v>
      </c>
      <c r="D41" s="300">
        <v>1953</v>
      </c>
      <c r="E41" s="300">
        <v>210</v>
      </c>
      <c r="F41" s="300">
        <v>524</v>
      </c>
      <c r="G41" s="300">
        <v>52</v>
      </c>
      <c r="H41" s="300">
        <v>52</v>
      </c>
      <c r="I41" s="300">
        <v>52</v>
      </c>
    </row>
    <row r="42" spans="1:9" x14ac:dyDescent="0.25">
      <c r="A42" s="295">
        <v>34</v>
      </c>
      <c r="B42" s="298" t="s">
        <v>128</v>
      </c>
      <c r="C42" s="299" t="s">
        <v>59</v>
      </c>
      <c r="D42" s="300">
        <v>1458</v>
      </c>
      <c r="E42" s="300">
        <v>142</v>
      </c>
      <c r="F42" s="300">
        <v>356</v>
      </c>
      <c r="G42" s="300">
        <v>36</v>
      </c>
      <c r="H42" s="300">
        <v>36</v>
      </c>
      <c r="I42" s="300">
        <v>36</v>
      </c>
    </row>
    <row r="43" spans="1:9" x14ac:dyDescent="0.25">
      <c r="A43" s="295">
        <v>35</v>
      </c>
      <c r="B43" s="298" t="s">
        <v>129</v>
      </c>
      <c r="C43" s="299" t="s">
        <v>130</v>
      </c>
      <c r="D43" s="300">
        <v>3805</v>
      </c>
      <c r="E43" s="300">
        <v>449</v>
      </c>
      <c r="F43" s="300">
        <v>1122</v>
      </c>
      <c r="G43" s="300">
        <v>112</v>
      </c>
      <c r="H43" s="300">
        <v>112</v>
      </c>
      <c r="I43" s="300">
        <v>112</v>
      </c>
    </row>
    <row r="44" spans="1:9" x14ac:dyDescent="0.25">
      <c r="A44" s="295">
        <v>36</v>
      </c>
      <c r="B44" s="301" t="s">
        <v>131</v>
      </c>
      <c r="C44" s="302" t="s">
        <v>617</v>
      </c>
      <c r="D44" s="300">
        <v>1086</v>
      </c>
      <c r="E44" s="300">
        <v>81</v>
      </c>
      <c r="F44" s="300">
        <v>203</v>
      </c>
      <c r="G44" s="300">
        <v>20</v>
      </c>
      <c r="H44" s="300">
        <v>20</v>
      </c>
      <c r="I44" s="300">
        <v>20</v>
      </c>
    </row>
    <row r="45" spans="1:9" x14ac:dyDescent="0.25">
      <c r="A45" s="295">
        <v>37</v>
      </c>
      <c r="B45" s="298" t="s">
        <v>132</v>
      </c>
      <c r="C45" s="299" t="s">
        <v>30</v>
      </c>
      <c r="D45" s="300">
        <v>2027</v>
      </c>
      <c r="E45" s="300">
        <v>163</v>
      </c>
      <c r="F45" s="300">
        <v>408</v>
      </c>
      <c r="G45" s="300">
        <v>41</v>
      </c>
      <c r="H45" s="300">
        <v>41</v>
      </c>
      <c r="I45" s="300">
        <v>41</v>
      </c>
    </row>
    <row r="46" spans="1:9" x14ac:dyDescent="0.25">
      <c r="A46" s="295">
        <v>38</v>
      </c>
      <c r="B46" s="298" t="s">
        <v>133</v>
      </c>
      <c r="C46" s="299" t="s">
        <v>14</v>
      </c>
      <c r="D46" s="300">
        <v>10291</v>
      </c>
      <c r="E46" s="300">
        <v>922</v>
      </c>
      <c r="F46" s="300">
        <v>2304</v>
      </c>
      <c r="G46" s="300">
        <v>230</v>
      </c>
      <c r="H46" s="300">
        <v>230</v>
      </c>
      <c r="I46" s="300">
        <v>230</v>
      </c>
    </row>
    <row r="47" spans="1:9" x14ac:dyDescent="0.25">
      <c r="A47" s="295">
        <v>39</v>
      </c>
      <c r="B47" s="298" t="s">
        <v>134</v>
      </c>
      <c r="C47" s="299" t="s">
        <v>33</v>
      </c>
      <c r="D47" s="300">
        <v>1570</v>
      </c>
      <c r="E47" s="300">
        <v>166</v>
      </c>
      <c r="F47" s="300">
        <v>415</v>
      </c>
      <c r="G47" s="300">
        <v>42</v>
      </c>
      <c r="H47" s="300">
        <v>42</v>
      </c>
      <c r="I47" s="300">
        <v>42</v>
      </c>
    </row>
    <row r="48" spans="1:9" x14ac:dyDescent="0.25">
      <c r="A48" s="295">
        <v>40</v>
      </c>
      <c r="B48" s="298" t="s">
        <v>89</v>
      </c>
      <c r="C48" s="299" t="s">
        <v>38</v>
      </c>
      <c r="D48" s="300">
        <v>2454</v>
      </c>
      <c r="E48" s="300">
        <v>326</v>
      </c>
      <c r="F48" s="300">
        <v>816</v>
      </c>
      <c r="G48" s="300">
        <v>82</v>
      </c>
      <c r="H48" s="300">
        <v>82</v>
      </c>
      <c r="I48" s="300">
        <v>82</v>
      </c>
    </row>
    <row r="49" spans="1:9" x14ac:dyDescent="0.25">
      <c r="A49" s="295">
        <v>41</v>
      </c>
      <c r="B49" s="298" t="s">
        <v>88</v>
      </c>
      <c r="C49" s="299" t="s">
        <v>13</v>
      </c>
      <c r="D49" s="300">
        <v>8077</v>
      </c>
      <c r="E49" s="300">
        <v>745</v>
      </c>
      <c r="F49" s="300">
        <v>1862</v>
      </c>
      <c r="G49" s="300">
        <v>186</v>
      </c>
      <c r="H49" s="300">
        <v>186</v>
      </c>
      <c r="I49" s="300">
        <v>186</v>
      </c>
    </row>
    <row r="50" spans="1:9" x14ac:dyDescent="0.25">
      <c r="A50" s="295">
        <v>42</v>
      </c>
      <c r="B50" s="298" t="s">
        <v>90</v>
      </c>
      <c r="C50" s="299" t="s">
        <v>39</v>
      </c>
      <c r="D50" s="300">
        <v>2524</v>
      </c>
      <c r="E50" s="300">
        <v>277</v>
      </c>
      <c r="F50" s="300">
        <v>693</v>
      </c>
      <c r="G50" s="300">
        <v>69</v>
      </c>
      <c r="H50" s="300">
        <v>69</v>
      </c>
      <c r="I50" s="300">
        <v>69</v>
      </c>
    </row>
    <row r="51" spans="1:9" x14ac:dyDescent="0.25">
      <c r="A51" s="295">
        <v>43</v>
      </c>
      <c r="B51" s="298" t="s">
        <v>135</v>
      </c>
      <c r="C51" s="299" t="s">
        <v>40</v>
      </c>
      <c r="D51" s="300">
        <v>1104</v>
      </c>
      <c r="E51" s="300">
        <v>134</v>
      </c>
      <c r="F51" s="300">
        <v>336</v>
      </c>
      <c r="G51" s="300">
        <v>34</v>
      </c>
      <c r="H51" s="300">
        <v>34</v>
      </c>
      <c r="I51" s="300">
        <v>34</v>
      </c>
    </row>
    <row r="52" spans="1:9" x14ac:dyDescent="0.25">
      <c r="A52" s="295">
        <v>44</v>
      </c>
      <c r="B52" s="298" t="s">
        <v>91</v>
      </c>
      <c r="C52" s="299" t="s">
        <v>53</v>
      </c>
      <c r="D52" s="300">
        <v>1352</v>
      </c>
      <c r="E52" s="300">
        <v>138</v>
      </c>
      <c r="F52" s="300">
        <v>344</v>
      </c>
      <c r="G52" s="300">
        <v>34</v>
      </c>
      <c r="H52" s="300">
        <v>34</v>
      </c>
      <c r="I52" s="300">
        <v>34</v>
      </c>
    </row>
    <row r="53" spans="1:9" x14ac:dyDescent="0.25">
      <c r="A53" s="295">
        <v>45</v>
      </c>
      <c r="B53" s="298" t="s">
        <v>92</v>
      </c>
      <c r="C53" s="299" t="s">
        <v>56</v>
      </c>
      <c r="D53" s="300">
        <v>2318</v>
      </c>
      <c r="E53" s="300">
        <v>341</v>
      </c>
      <c r="F53" s="300">
        <v>853</v>
      </c>
      <c r="G53" s="300">
        <v>85</v>
      </c>
      <c r="H53" s="300">
        <v>85</v>
      </c>
      <c r="I53" s="300">
        <v>85</v>
      </c>
    </row>
    <row r="54" spans="1:9" x14ac:dyDescent="0.25">
      <c r="A54" s="295">
        <v>46</v>
      </c>
      <c r="B54" s="298" t="s">
        <v>136</v>
      </c>
      <c r="C54" s="299" t="s">
        <v>15</v>
      </c>
      <c r="D54" s="300">
        <v>13373</v>
      </c>
      <c r="E54" s="300">
        <v>871</v>
      </c>
      <c r="F54" s="300">
        <v>2178</v>
      </c>
      <c r="G54" s="300">
        <v>218</v>
      </c>
      <c r="H54" s="300">
        <v>218</v>
      </c>
      <c r="I54" s="300">
        <v>218</v>
      </c>
    </row>
    <row r="55" spans="1:9" x14ac:dyDescent="0.25">
      <c r="A55" s="295">
        <v>47</v>
      </c>
      <c r="B55" s="298" t="s">
        <v>137</v>
      </c>
      <c r="C55" s="299" t="s">
        <v>61</v>
      </c>
      <c r="D55" s="300">
        <v>1811</v>
      </c>
      <c r="E55" s="300">
        <v>92</v>
      </c>
      <c r="F55" s="300">
        <v>230</v>
      </c>
      <c r="G55" s="300">
        <v>23</v>
      </c>
      <c r="H55" s="300">
        <v>23</v>
      </c>
      <c r="I55" s="300">
        <v>23</v>
      </c>
    </row>
    <row r="56" spans="1:9" x14ac:dyDescent="0.25">
      <c r="A56" s="295">
        <v>48</v>
      </c>
      <c r="B56" s="298" t="s">
        <v>95</v>
      </c>
      <c r="C56" s="299" t="s">
        <v>27</v>
      </c>
      <c r="D56" s="300">
        <v>1384</v>
      </c>
      <c r="E56" s="300">
        <v>149</v>
      </c>
      <c r="F56" s="300">
        <v>373</v>
      </c>
      <c r="G56" s="300">
        <v>37</v>
      </c>
      <c r="H56" s="300">
        <v>37</v>
      </c>
      <c r="I56" s="300">
        <v>37</v>
      </c>
    </row>
    <row r="57" spans="1:9" x14ac:dyDescent="0.25">
      <c r="A57" s="295">
        <v>49</v>
      </c>
      <c r="B57" s="298" t="s">
        <v>138</v>
      </c>
      <c r="C57" s="299" t="s">
        <v>32</v>
      </c>
      <c r="D57" s="300">
        <v>850</v>
      </c>
      <c r="E57" s="300">
        <v>38</v>
      </c>
      <c r="F57" s="300">
        <v>94</v>
      </c>
      <c r="G57" s="300">
        <v>9</v>
      </c>
      <c r="H57" s="300">
        <v>9</v>
      </c>
      <c r="I57" s="300">
        <v>9</v>
      </c>
    </row>
    <row r="58" spans="1:9" x14ac:dyDescent="0.25">
      <c r="A58" s="295">
        <v>50</v>
      </c>
      <c r="B58" s="298" t="s">
        <v>96</v>
      </c>
      <c r="C58" s="299" t="s">
        <v>18</v>
      </c>
      <c r="D58" s="300">
        <v>4256</v>
      </c>
      <c r="E58" s="300">
        <v>410</v>
      </c>
      <c r="F58" s="300">
        <v>1026</v>
      </c>
      <c r="G58" s="300">
        <v>103</v>
      </c>
      <c r="H58" s="300">
        <v>103</v>
      </c>
      <c r="I58" s="300">
        <v>103</v>
      </c>
    </row>
    <row r="59" spans="1:9" x14ac:dyDescent="0.25">
      <c r="A59" s="295">
        <v>51</v>
      </c>
      <c r="B59" s="298" t="s">
        <v>139</v>
      </c>
      <c r="C59" s="299" t="s">
        <v>19</v>
      </c>
      <c r="D59" s="300">
        <v>1350</v>
      </c>
      <c r="E59" s="300">
        <v>174</v>
      </c>
      <c r="F59" s="300">
        <v>436</v>
      </c>
      <c r="G59" s="300">
        <v>44</v>
      </c>
      <c r="H59" s="300">
        <v>44</v>
      </c>
      <c r="I59" s="300">
        <v>44</v>
      </c>
    </row>
    <row r="60" spans="1:9" x14ac:dyDescent="0.25">
      <c r="A60" s="295">
        <v>52</v>
      </c>
      <c r="B60" s="298" t="s">
        <v>97</v>
      </c>
      <c r="C60" s="299" t="s">
        <v>34</v>
      </c>
      <c r="D60" s="300">
        <v>3236</v>
      </c>
      <c r="E60" s="300">
        <v>264</v>
      </c>
      <c r="F60" s="300">
        <v>659</v>
      </c>
      <c r="G60" s="300">
        <v>66</v>
      </c>
      <c r="H60" s="300">
        <v>66</v>
      </c>
      <c r="I60" s="300">
        <v>66</v>
      </c>
    </row>
    <row r="61" spans="1:9" x14ac:dyDescent="0.25">
      <c r="A61" s="295">
        <v>53</v>
      </c>
      <c r="B61" s="298" t="s">
        <v>140</v>
      </c>
      <c r="C61" s="299" t="s">
        <v>141</v>
      </c>
      <c r="D61" s="300">
        <v>3291</v>
      </c>
      <c r="E61" s="300">
        <v>330</v>
      </c>
      <c r="F61" s="300">
        <v>826</v>
      </c>
      <c r="G61" s="300">
        <v>83</v>
      </c>
      <c r="H61" s="300">
        <v>83</v>
      </c>
      <c r="I61" s="300">
        <v>83</v>
      </c>
    </row>
    <row r="62" spans="1:9" x14ac:dyDescent="0.25">
      <c r="A62" s="295">
        <v>54</v>
      </c>
      <c r="B62" s="298" t="s">
        <v>142</v>
      </c>
      <c r="C62" s="299" t="s">
        <v>143</v>
      </c>
      <c r="D62" s="300">
        <v>18770</v>
      </c>
      <c r="E62" s="300">
        <v>2663</v>
      </c>
      <c r="F62" s="300">
        <v>6659</v>
      </c>
      <c r="G62" s="300">
        <v>660</v>
      </c>
      <c r="H62" s="300">
        <v>660</v>
      </c>
      <c r="I62" s="300">
        <v>660</v>
      </c>
    </row>
    <row r="63" spans="1:9" x14ac:dyDescent="0.25">
      <c r="A63" s="295">
        <v>55</v>
      </c>
      <c r="B63" s="298" t="s">
        <v>144</v>
      </c>
      <c r="C63" s="299" t="s">
        <v>334</v>
      </c>
      <c r="D63" s="300">
        <v>17609</v>
      </c>
      <c r="E63" s="300">
        <v>1701</v>
      </c>
      <c r="F63" s="300">
        <v>4252</v>
      </c>
      <c r="G63" s="300">
        <v>426</v>
      </c>
      <c r="H63" s="300">
        <v>426</v>
      </c>
      <c r="I63" s="300">
        <v>426</v>
      </c>
    </row>
    <row r="64" spans="1:9" x14ac:dyDescent="0.25">
      <c r="A64" s="295">
        <v>56</v>
      </c>
      <c r="B64" s="298" t="s">
        <v>145</v>
      </c>
      <c r="C64" s="299" t="s">
        <v>347</v>
      </c>
      <c r="D64" s="300">
        <v>20172</v>
      </c>
      <c r="E64" s="300">
        <v>1856</v>
      </c>
      <c r="F64" s="300">
        <v>4639</v>
      </c>
      <c r="G64" s="300">
        <v>465</v>
      </c>
      <c r="H64" s="300">
        <v>465</v>
      </c>
      <c r="I64" s="300">
        <v>465</v>
      </c>
    </row>
    <row r="65" spans="1:9" x14ac:dyDescent="0.25">
      <c r="A65" s="295">
        <v>57</v>
      </c>
      <c r="B65" s="298" t="s">
        <v>146</v>
      </c>
      <c r="C65" s="299" t="s">
        <v>147</v>
      </c>
      <c r="D65" s="300">
        <v>9382</v>
      </c>
      <c r="E65" s="300">
        <v>970</v>
      </c>
      <c r="F65" s="300">
        <v>2425</v>
      </c>
      <c r="G65" s="300">
        <v>243</v>
      </c>
      <c r="H65" s="300">
        <v>243</v>
      </c>
      <c r="I65" s="300">
        <v>243</v>
      </c>
    </row>
    <row r="66" spans="1:9" x14ac:dyDescent="0.25">
      <c r="A66" s="295">
        <v>58</v>
      </c>
      <c r="B66" s="298" t="s">
        <v>148</v>
      </c>
      <c r="C66" s="299" t="s">
        <v>16</v>
      </c>
      <c r="D66" s="300">
        <v>5613</v>
      </c>
      <c r="E66" s="300">
        <v>804</v>
      </c>
      <c r="F66" s="300">
        <v>2009</v>
      </c>
      <c r="G66" s="300">
        <v>201</v>
      </c>
      <c r="H66" s="300">
        <v>201</v>
      </c>
      <c r="I66" s="300">
        <v>201</v>
      </c>
    </row>
    <row r="67" spans="1:9" x14ac:dyDescent="0.25">
      <c r="A67" s="295">
        <v>59</v>
      </c>
      <c r="B67" s="298" t="s">
        <v>98</v>
      </c>
      <c r="C67" s="299" t="s">
        <v>42</v>
      </c>
      <c r="D67" s="300">
        <v>2799</v>
      </c>
      <c r="E67" s="300">
        <v>381</v>
      </c>
      <c r="F67" s="300">
        <v>953</v>
      </c>
      <c r="G67" s="300">
        <v>95</v>
      </c>
      <c r="H67" s="300">
        <v>95</v>
      </c>
      <c r="I67" s="300">
        <v>95</v>
      </c>
    </row>
    <row r="68" spans="1:9" x14ac:dyDescent="0.25">
      <c r="A68" s="295">
        <v>60</v>
      </c>
      <c r="B68" s="298" t="s">
        <v>99</v>
      </c>
      <c r="C68" s="299" t="s">
        <v>46</v>
      </c>
      <c r="D68" s="300">
        <v>4042</v>
      </c>
      <c r="E68" s="300">
        <v>430</v>
      </c>
      <c r="F68" s="300">
        <v>1075</v>
      </c>
      <c r="G68" s="300">
        <v>108</v>
      </c>
      <c r="H68" s="300">
        <v>108</v>
      </c>
      <c r="I68" s="300">
        <v>108</v>
      </c>
    </row>
    <row r="69" spans="1:9" x14ac:dyDescent="0.25">
      <c r="A69" s="295">
        <v>61</v>
      </c>
      <c r="B69" s="298" t="s">
        <v>149</v>
      </c>
      <c r="C69" s="299" t="s">
        <v>47</v>
      </c>
      <c r="D69" s="300">
        <v>810</v>
      </c>
      <c r="E69" s="300">
        <v>60</v>
      </c>
      <c r="F69" s="300">
        <v>149</v>
      </c>
      <c r="G69" s="300">
        <v>15</v>
      </c>
      <c r="H69" s="300">
        <v>15</v>
      </c>
      <c r="I69" s="300">
        <v>15</v>
      </c>
    </row>
    <row r="70" spans="1:9" x14ac:dyDescent="0.25">
      <c r="A70" s="295">
        <v>62</v>
      </c>
      <c r="B70" s="298" t="s">
        <v>100</v>
      </c>
      <c r="C70" s="299" t="s">
        <v>50</v>
      </c>
      <c r="D70" s="300">
        <v>2447</v>
      </c>
      <c r="E70" s="300">
        <v>229</v>
      </c>
      <c r="F70" s="300">
        <v>572</v>
      </c>
      <c r="G70" s="300">
        <v>57</v>
      </c>
      <c r="H70" s="300">
        <v>57</v>
      </c>
      <c r="I70" s="300">
        <v>57</v>
      </c>
    </row>
    <row r="71" spans="1:9" x14ac:dyDescent="0.25">
      <c r="A71" s="295">
        <v>63</v>
      </c>
      <c r="B71" s="298" t="s">
        <v>150</v>
      </c>
      <c r="C71" s="299" t="s">
        <v>51</v>
      </c>
      <c r="D71" s="300">
        <v>962</v>
      </c>
      <c r="E71" s="300">
        <v>50</v>
      </c>
      <c r="F71" s="300">
        <v>124</v>
      </c>
      <c r="G71" s="300">
        <v>12</v>
      </c>
      <c r="H71" s="300">
        <v>12</v>
      </c>
      <c r="I71" s="300">
        <v>12</v>
      </c>
    </row>
    <row r="72" spans="1:9" x14ac:dyDescent="0.25">
      <c r="A72" s="295">
        <v>64</v>
      </c>
      <c r="B72" s="298" t="s">
        <v>101</v>
      </c>
      <c r="C72" s="299" t="s">
        <v>20</v>
      </c>
      <c r="D72" s="300">
        <v>1934</v>
      </c>
      <c r="E72" s="300">
        <v>74</v>
      </c>
      <c r="F72" s="300">
        <v>186</v>
      </c>
      <c r="G72" s="300">
        <v>19</v>
      </c>
      <c r="H72" s="300">
        <v>19</v>
      </c>
      <c r="I72" s="300">
        <v>19</v>
      </c>
    </row>
    <row r="73" spans="1:9" x14ac:dyDescent="0.25">
      <c r="A73" s="295">
        <v>65</v>
      </c>
      <c r="B73" s="298" t="s">
        <v>102</v>
      </c>
      <c r="C73" s="299" t="s">
        <v>55</v>
      </c>
      <c r="D73" s="300">
        <v>1588</v>
      </c>
      <c r="E73" s="300">
        <v>166</v>
      </c>
      <c r="F73" s="300">
        <v>416</v>
      </c>
      <c r="G73" s="300">
        <v>42</v>
      </c>
      <c r="H73" s="300">
        <v>42</v>
      </c>
      <c r="I73" s="300">
        <v>42</v>
      </c>
    </row>
    <row r="74" spans="1:9" x14ac:dyDescent="0.25">
      <c r="A74" s="295">
        <v>66</v>
      </c>
      <c r="B74" s="298" t="s">
        <v>151</v>
      </c>
      <c r="C74" s="299" t="s">
        <v>345</v>
      </c>
      <c r="D74" s="300">
        <v>10717</v>
      </c>
      <c r="E74" s="300">
        <v>966</v>
      </c>
      <c r="F74" s="300">
        <v>2414</v>
      </c>
      <c r="G74" s="300">
        <v>241</v>
      </c>
      <c r="H74" s="300">
        <v>241</v>
      </c>
      <c r="I74" s="300">
        <v>241</v>
      </c>
    </row>
    <row r="75" spans="1:9" x14ac:dyDescent="0.25">
      <c r="A75" s="295">
        <v>67</v>
      </c>
      <c r="B75" s="298" t="s">
        <v>152</v>
      </c>
      <c r="C75" s="299" t="s">
        <v>153</v>
      </c>
      <c r="D75" s="300">
        <v>10159</v>
      </c>
      <c r="E75" s="300">
        <v>923</v>
      </c>
      <c r="F75" s="300">
        <v>2307</v>
      </c>
      <c r="G75" s="300">
        <v>231</v>
      </c>
      <c r="H75" s="300">
        <v>231</v>
      </c>
      <c r="I75" s="300">
        <v>231</v>
      </c>
    </row>
    <row r="76" spans="1:9" x14ac:dyDescent="0.25">
      <c r="A76" s="295">
        <v>68</v>
      </c>
      <c r="B76" s="298" t="s">
        <v>154</v>
      </c>
      <c r="C76" s="299" t="s">
        <v>346</v>
      </c>
      <c r="D76" s="300">
        <v>11483</v>
      </c>
      <c r="E76" s="300">
        <v>1418</v>
      </c>
      <c r="F76" s="300">
        <v>3547</v>
      </c>
      <c r="G76" s="300">
        <v>355</v>
      </c>
      <c r="H76" s="300">
        <v>355</v>
      </c>
      <c r="I76" s="300">
        <v>355</v>
      </c>
    </row>
    <row r="77" spans="1:9" x14ac:dyDescent="0.25">
      <c r="A77" s="295">
        <v>69</v>
      </c>
      <c r="B77" s="298" t="s">
        <v>103</v>
      </c>
      <c r="C77" s="299" t="s">
        <v>60</v>
      </c>
      <c r="D77" s="300">
        <v>1981</v>
      </c>
      <c r="E77" s="300">
        <v>183</v>
      </c>
      <c r="F77" s="300">
        <v>457</v>
      </c>
      <c r="G77" s="300">
        <v>46</v>
      </c>
      <c r="H77" s="300">
        <v>46</v>
      </c>
      <c r="I77" s="300">
        <v>46</v>
      </c>
    </row>
    <row r="78" spans="1:9" x14ac:dyDescent="0.25">
      <c r="A78" s="295">
        <v>70</v>
      </c>
      <c r="B78" s="298" t="s">
        <v>104</v>
      </c>
      <c r="C78" s="299" t="s">
        <v>21</v>
      </c>
      <c r="D78" s="300">
        <v>2932</v>
      </c>
      <c r="E78" s="300">
        <v>263</v>
      </c>
      <c r="F78" s="300">
        <v>658</v>
      </c>
      <c r="G78" s="300">
        <v>66</v>
      </c>
      <c r="H78" s="300">
        <v>66</v>
      </c>
      <c r="I78" s="300">
        <v>66</v>
      </c>
    </row>
    <row r="79" spans="1:9" x14ac:dyDescent="0.25">
      <c r="A79" s="295">
        <v>71</v>
      </c>
      <c r="B79" s="298" t="s">
        <v>105</v>
      </c>
      <c r="C79" s="299" t="s">
        <v>62</v>
      </c>
      <c r="D79" s="300">
        <v>1733</v>
      </c>
      <c r="E79" s="300">
        <v>262</v>
      </c>
      <c r="F79" s="300">
        <v>656</v>
      </c>
      <c r="G79" s="300">
        <v>66</v>
      </c>
      <c r="H79" s="300">
        <v>66</v>
      </c>
      <c r="I79" s="300">
        <v>66</v>
      </c>
    </row>
    <row r="80" spans="1:9" x14ac:dyDescent="0.25">
      <c r="A80" s="295">
        <v>72</v>
      </c>
      <c r="B80" s="298" t="s">
        <v>155</v>
      </c>
      <c r="C80" s="299" t="s">
        <v>156</v>
      </c>
      <c r="D80" s="300">
        <v>775</v>
      </c>
      <c r="E80" s="300">
        <v>86</v>
      </c>
      <c r="F80" s="300">
        <v>214</v>
      </c>
      <c r="G80" s="300">
        <v>21</v>
      </c>
      <c r="H80" s="300">
        <v>21</v>
      </c>
      <c r="I80" s="300">
        <v>21</v>
      </c>
    </row>
    <row r="81" spans="1:11" x14ac:dyDescent="0.25">
      <c r="A81" s="295">
        <v>73</v>
      </c>
      <c r="B81" s="298" t="s">
        <v>157</v>
      </c>
      <c r="C81" s="299" t="s">
        <v>17</v>
      </c>
      <c r="D81" s="300">
        <v>830</v>
      </c>
      <c r="E81" s="300">
        <v>40</v>
      </c>
      <c r="F81" s="300">
        <v>99</v>
      </c>
      <c r="G81" s="300">
        <v>10</v>
      </c>
      <c r="H81" s="300">
        <v>10</v>
      </c>
      <c r="I81" s="300">
        <v>10</v>
      </c>
    </row>
    <row r="82" spans="1:11" x14ac:dyDescent="0.25">
      <c r="A82" s="295">
        <v>74</v>
      </c>
      <c r="B82" s="298" t="s">
        <v>158</v>
      </c>
      <c r="C82" s="299" t="s">
        <v>618</v>
      </c>
      <c r="D82" s="300">
        <v>3965</v>
      </c>
      <c r="E82" s="300">
        <v>332</v>
      </c>
      <c r="F82" s="300">
        <v>831</v>
      </c>
      <c r="G82" s="300">
        <v>83</v>
      </c>
      <c r="H82" s="300">
        <v>83</v>
      </c>
      <c r="I82" s="300">
        <v>83</v>
      </c>
    </row>
    <row r="83" spans="1:11" x14ac:dyDescent="0.25">
      <c r="A83" s="295">
        <v>75</v>
      </c>
      <c r="B83" s="298" t="s">
        <v>159</v>
      </c>
      <c r="C83" s="303" t="s">
        <v>160</v>
      </c>
      <c r="D83" s="300">
        <v>10673</v>
      </c>
      <c r="E83" s="300">
        <v>940</v>
      </c>
      <c r="F83" s="300">
        <v>2349</v>
      </c>
      <c r="G83" s="300">
        <v>235</v>
      </c>
      <c r="H83" s="300">
        <v>235</v>
      </c>
      <c r="I83" s="300">
        <v>235</v>
      </c>
    </row>
    <row r="84" spans="1:11" x14ac:dyDescent="0.25">
      <c r="D84" s="304"/>
      <c r="E84" s="305" t="e">
        <f>#REF!*40%</f>
        <v>#REF!</v>
      </c>
      <c r="F84" s="305"/>
      <c r="G84" s="305" t="e">
        <f>#REF!*10%</f>
        <v>#REF!</v>
      </c>
      <c r="H84" s="305" t="e">
        <f>#REF!*10%</f>
        <v>#REF!</v>
      </c>
      <c r="I84" s="305" t="e">
        <f>#REF!*10%</f>
        <v>#REF!</v>
      </c>
      <c r="K84" s="306"/>
    </row>
    <row r="85" spans="1:11" ht="38.25" customHeight="1" x14ac:dyDescent="0.25">
      <c r="B85" s="977"/>
      <c r="C85" s="977"/>
      <c r="D85" s="977"/>
      <c r="E85" s="977"/>
      <c r="F85" s="977"/>
      <c r="G85" s="977"/>
      <c r="H85" s="977"/>
      <c r="I85" s="977"/>
    </row>
    <row r="86" spans="1:11" ht="37.5" customHeight="1" x14ac:dyDescent="0.25">
      <c r="B86" s="978"/>
      <c r="C86" s="978"/>
      <c r="D86" s="978"/>
      <c r="E86" s="978"/>
      <c r="F86" s="978"/>
      <c r="G86" s="978"/>
      <c r="H86" s="978"/>
      <c r="I86" s="978"/>
    </row>
    <row r="87" spans="1:11" hidden="1" x14ac:dyDescent="0.25">
      <c r="B87" s="307"/>
      <c r="D87" s="288" t="s">
        <v>619</v>
      </c>
    </row>
    <row r="88" spans="1:11" hidden="1" x14ac:dyDescent="0.25">
      <c r="D88" s="288" t="s">
        <v>620</v>
      </c>
      <c r="G88" s="309" t="e">
        <f>#REF!-G84</f>
        <v>#REF!</v>
      </c>
      <c r="H88" s="309" t="e">
        <f>#REF!-H84</f>
        <v>#REF!</v>
      </c>
      <c r="I88" s="309" t="e">
        <f>#REF!-I84</f>
        <v>#REF!</v>
      </c>
    </row>
    <row r="89" spans="1:11" hidden="1" x14ac:dyDescent="0.25">
      <c r="D89" s="288" t="s">
        <v>621</v>
      </c>
    </row>
    <row r="90" spans="1:11" hidden="1" x14ac:dyDescent="0.25">
      <c r="C90" s="310"/>
      <c r="D90" s="308"/>
    </row>
    <row r="91" spans="1:11" hidden="1" x14ac:dyDescent="0.25"/>
  </sheetData>
  <mergeCells count="10">
    <mergeCell ref="A8:C8"/>
    <mergeCell ref="B85:I85"/>
    <mergeCell ref="B86:I86"/>
    <mergeCell ref="A2:I2"/>
    <mergeCell ref="A4:A6"/>
    <mergeCell ref="B4:B6"/>
    <mergeCell ref="C4:C6"/>
    <mergeCell ref="D4:I4"/>
    <mergeCell ref="D5:F5"/>
    <mergeCell ref="G5:I5"/>
  </mergeCells>
  <pageMargins left="0.59055118110236227" right="0.39370078740157483" top="0.39370078740157483" bottom="0.39370078740157483" header="0.31496062992125984" footer="0.31496062992125984"/>
  <pageSetup paperSize="9" scale="85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50"/>
  <sheetViews>
    <sheetView zoomScale="90" zoomScaleNormal="90" workbookViewId="0">
      <pane xSplit="4" ySplit="10" topLeftCell="E23" activePane="bottomRight" state="frozen"/>
      <selection pane="topRight" activeCell="E1" sqref="E1"/>
      <selection pane="bottomLeft" activeCell="A15" sqref="A15"/>
      <selection pane="bottomRight" activeCell="G17" sqref="G17"/>
    </sheetView>
  </sheetViews>
  <sheetFormatPr defaultRowHeight="12" x14ac:dyDescent="0.25"/>
  <cols>
    <col min="1" max="1" width="4.7109375" style="14" customWidth="1"/>
    <col min="2" max="2" width="9.28515625" style="14" customWidth="1"/>
    <col min="3" max="3" width="30.7109375" style="32" customWidth="1"/>
    <col min="4" max="4" width="0.140625" style="33" customWidth="1"/>
    <col min="5" max="5" width="14.7109375" style="15" customWidth="1"/>
    <col min="6" max="6" width="11.85546875" style="15" customWidth="1"/>
    <col min="7" max="7" width="12.85546875" style="15" customWidth="1"/>
    <col min="8" max="8" width="12.7109375" style="15" customWidth="1"/>
    <col min="9" max="9" width="10.42578125" style="15" customWidth="1"/>
    <col min="10" max="10" width="9.140625" style="15" customWidth="1"/>
    <col min="11" max="11" width="15" style="15" customWidth="1"/>
    <col min="12" max="16384" width="9.140625" style="15"/>
  </cols>
  <sheetData>
    <row r="2" spans="1:11" ht="15.75" customHeight="1" x14ac:dyDescent="0.25">
      <c r="C2" s="995" t="s">
        <v>295</v>
      </c>
      <c r="D2" s="995"/>
      <c r="E2" s="995"/>
      <c r="F2" s="995"/>
      <c r="G2" s="995"/>
      <c r="H2" s="995"/>
      <c r="I2" s="995"/>
      <c r="J2" s="995"/>
    </row>
    <row r="3" spans="1:11" x14ac:dyDescent="0.25">
      <c r="C3" s="16"/>
      <c r="D3" s="16"/>
    </row>
    <row r="4" spans="1:11" s="17" customFormat="1" ht="15.75" customHeight="1" x14ac:dyDescent="0.25">
      <c r="A4" s="996" t="s">
        <v>0</v>
      </c>
      <c r="B4" s="996" t="s">
        <v>296</v>
      </c>
      <c r="C4" s="999" t="s">
        <v>297</v>
      </c>
      <c r="D4" s="996" t="s">
        <v>298</v>
      </c>
      <c r="E4" s="1002" t="s">
        <v>2268</v>
      </c>
      <c r="F4" s="1003"/>
      <c r="G4" s="1003"/>
      <c r="H4" s="1003"/>
      <c r="I4" s="1003"/>
      <c r="J4" s="1004"/>
    </row>
    <row r="5" spans="1:11" ht="11.25" customHeight="1" x14ac:dyDescent="0.25">
      <c r="A5" s="997"/>
      <c r="B5" s="997"/>
      <c r="C5" s="1000"/>
      <c r="D5" s="997"/>
      <c r="E5" s="1005"/>
      <c r="F5" s="1006"/>
      <c r="G5" s="1006"/>
      <c r="H5" s="1006"/>
      <c r="I5" s="1006"/>
      <c r="J5" s="1007"/>
    </row>
    <row r="6" spans="1:11" ht="25.5" customHeight="1" x14ac:dyDescent="0.25">
      <c r="A6" s="997"/>
      <c r="B6" s="997"/>
      <c r="C6" s="1000"/>
      <c r="D6" s="997"/>
      <c r="E6" s="992" t="s">
        <v>299</v>
      </c>
      <c r="F6" s="992" t="s">
        <v>300</v>
      </c>
      <c r="G6" s="992" t="s">
        <v>301</v>
      </c>
      <c r="H6" s="992" t="s">
        <v>302</v>
      </c>
      <c r="I6" s="992" t="s">
        <v>303</v>
      </c>
      <c r="J6" s="992" t="s">
        <v>304</v>
      </c>
    </row>
    <row r="7" spans="1:11" ht="36" customHeight="1" x14ac:dyDescent="0.25">
      <c r="A7" s="998"/>
      <c r="B7" s="998"/>
      <c r="C7" s="1001"/>
      <c r="D7" s="998"/>
      <c r="E7" s="993"/>
      <c r="F7" s="993"/>
      <c r="G7" s="993"/>
      <c r="H7" s="993"/>
      <c r="I7" s="993"/>
      <c r="J7" s="993"/>
    </row>
    <row r="8" spans="1:11" s="17" customFormat="1" x14ac:dyDescent="0.25">
      <c r="A8" s="994" t="s">
        <v>305</v>
      </c>
      <c r="B8" s="994"/>
      <c r="C8" s="994"/>
      <c r="D8" s="18"/>
      <c r="E8" s="19">
        <f t="shared" ref="E8:J8" si="0">E9+E10</f>
        <v>1148912</v>
      </c>
      <c r="F8" s="19">
        <f t="shared" si="0"/>
        <v>1052561</v>
      </c>
      <c r="G8" s="19">
        <f t="shared" si="0"/>
        <v>504</v>
      </c>
      <c r="H8" s="19">
        <f t="shared" si="0"/>
        <v>59222</v>
      </c>
      <c r="I8" s="19">
        <f t="shared" si="0"/>
        <v>30</v>
      </c>
      <c r="J8" s="19">
        <f t="shared" si="0"/>
        <v>19978</v>
      </c>
      <c r="K8" s="15"/>
    </row>
    <row r="9" spans="1:11" s="25" customFormat="1" ht="11.25" customHeight="1" x14ac:dyDescent="0.25">
      <c r="A9" s="20"/>
      <c r="B9" s="20"/>
      <c r="C9" s="21" t="s">
        <v>3</v>
      </c>
      <c r="D9" s="22"/>
      <c r="E9" s="23">
        <v>16617</v>
      </c>
      <c r="F9" s="24"/>
      <c r="G9" s="23"/>
      <c r="H9" s="23"/>
      <c r="I9" s="23"/>
      <c r="J9" s="23"/>
    </row>
    <row r="10" spans="1:11" s="17" customFormat="1" x14ac:dyDescent="0.25">
      <c r="A10" s="994" t="s">
        <v>4</v>
      </c>
      <c r="B10" s="994"/>
      <c r="C10" s="994"/>
      <c r="D10" s="18"/>
      <c r="E10" s="26">
        <v>1132295</v>
      </c>
      <c r="F10" s="26">
        <v>1052561</v>
      </c>
      <c r="G10" s="26">
        <v>504</v>
      </c>
      <c r="H10" s="26">
        <v>59222</v>
      </c>
      <c r="I10" s="26">
        <v>30</v>
      </c>
      <c r="J10" s="26">
        <v>19978</v>
      </c>
    </row>
    <row r="11" spans="1:11" s="31" customFormat="1" ht="12" customHeight="1" x14ac:dyDescent="0.25">
      <c r="A11" s="27">
        <v>1</v>
      </c>
      <c r="B11" s="1" t="s">
        <v>69</v>
      </c>
      <c r="C11" s="2" t="s">
        <v>29</v>
      </c>
      <c r="D11" s="28">
        <v>0.85</v>
      </c>
      <c r="E11" s="24">
        <v>478</v>
      </c>
      <c r="F11" s="24">
        <v>477</v>
      </c>
      <c r="G11" s="24">
        <v>1</v>
      </c>
      <c r="H11" s="24">
        <v>0</v>
      </c>
      <c r="I11" s="24">
        <v>0</v>
      </c>
      <c r="J11" s="24">
        <v>0</v>
      </c>
      <c r="K11" s="29"/>
    </row>
    <row r="12" spans="1:11" s="31" customFormat="1" x14ac:dyDescent="0.25">
      <c r="A12" s="27">
        <v>2</v>
      </c>
      <c r="B12" s="3" t="s">
        <v>70</v>
      </c>
      <c r="C12" s="2" t="s">
        <v>31</v>
      </c>
      <c r="D12" s="28">
        <v>0.85</v>
      </c>
      <c r="E12" s="24">
        <v>485</v>
      </c>
      <c r="F12" s="24">
        <v>484</v>
      </c>
      <c r="G12" s="24">
        <v>1</v>
      </c>
      <c r="H12" s="24">
        <v>0</v>
      </c>
      <c r="I12" s="24">
        <v>0</v>
      </c>
      <c r="J12" s="24">
        <v>0</v>
      </c>
      <c r="K12" s="29"/>
    </row>
    <row r="13" spans="1:11" s="31" customFormat="1" x14ac:dyDescent="0.25">
      <c r="A13" s="27">
        <v>3</v>
      </c>
      <c r="B13" s="4" t="s">
        <v>71</v>
      </c>
      <c r="C13" s="5" t="s">
        <v>5</v>
      </c>
      <c r="D13" s="28">
        <v>0.85</v>
      </c>
      <c r="E13" s="24">
        <v>44799</v>
      </c>
      <c r="F13" s="24">
        <v>44751</v>
      </c>
      <c r="G13" s="24">
        <v>48</v>
      </c>
      <c r="H13" s="24">
        <v>0</v>
      </c>
      <c r="I13" s="24">
        <v>0</v>
      </c>
      <c r="J13" s="24">
        <v>0</v>
      </c>
      <c r="K13" s="29"/>
    </row>
    <row r="14" spans="1:11" s="31" customFormat="1" ht="14.25" customHeight="1" x14ac:dyDescent="0.25">
      <c r="A14" s="27">
        <v>4</v>
      </c>
      <c r="B14" s="1" t="s">
        <v>72</v>
      </c>
      <c r="C14" s="2" t="s">
        <v>35</v>
      </c>
      <c r="D14" s="28">
        <v>0.85</v>
      </c>
      <c r="E14" s="24">
        <v>510</v>
      </c>
      <c r="F14" s="24">
        <v>509</v>
      </c>
      <c r="G14" s="24">
        <v>1</v>
      </c>
      <c r="H14" s="24">
        <v>0</v>
      </c>
      <c r="I14" s="24">
        <v>0</v>
      </c>
      <c r="J14" s="24">
        <v>0</v>
      </c>
      <c r="K14" s="29"/>
    </row>
    <row r="15" spans="1:11" s="31" customFormat="1" x14ac:dyDescent="0.25">
      <c r="A15" s="27">
        <v>5</v>
      </c>
      <c r="B15" s="4" t="s">
        <v>73</v>
      </c>
      <c r="C15" s="5" t="s">
        <v>6</v>
      </c>
      <c r="D15" s="28">
        <v>0.85</v>
      </c>
      <c r="E15" s="24">
        <v>94149</v>
      </c>
      <c r="F15" s="24">
        <v>93740</v>
      </c>
      <c r="G15" s="24">
        <v>74</v>
      </c>
      <c r="H15" s="24">
        <v>333</v>
      </c>
      <c r="I15" s="24">
        <v>2</v>
      </c>
      <c r="J15" s="24">
        <v>0</v>
      </c>
      <c r="K15" s="30"/>
    </row>
    <row r="16" spans="1:11" s="31" customFormat="1" x14ac:dyDescent="0.25">
      <c r="A16" s="27">
        <v>6</v>
      </c>
      <c r="B16" s="4" t="s">
        <v>74</v>
      </c>
      <c r="C16" s="5" t="s">
        <v>45</v>
      </c>
      <c r="D16" s="28">
        <v>0.85</v>
      </c>
      <c r="E16" s="24">
        <v>542</v>
      </c>
      <c r="F16" s="24">
        <v>541</v>
      </c>
      <c r="G16" s="24">
        <v>1</v>
      </c>
      <c r="H16" s="24">
        <v>0</v>
      </c>
      <c r="I16" s="24">
        <v>0</v>
      </c>
      <c r="J16" s="24">
        <v>0</v>
      </c>
      <c r="K16" s="30"/>
    </row>
    <row r="17" spans="1:11" s="31" customFormat="1" x14ac:dyDescent="0.25">
      <c r="A17" s="27">
        <v>7</v>
      </c>
      <c r="B17" s="4" t="s">
        <v>75</v>
      </c>
      <c r="C17" s="5" t="s">
        <v>52</v>
      </c>
      <c r="D17" s="28">
        <v>0.85</v>
      </c>
      <c r="E17" s="24">
        <v>548</v>
      </c>
      <c r="F17" s="24">
        <v>547</v>
      </c>
      <c r="G17" s="24">
        <v>1</v>
      </c>
      <c r="H17" s="24">
        <v>0</v>
      </c>
      <c r="I17" s="24">
        <v>0</v>
      </c>
      <c r="J17" s="24">
        <v>0</v>
      </c>
      <c r="K17" s="30"/>
    </row>
    <row r="18" spans="1:11" s="31" customFormat="1" x14ac:dyDescent="0.25">
      <c r="A18" s="27">
        <v>8</v>
      </c>
      <c r="B18" s="4" t="s">
        <v>76</v>
      </c>
      <c r="C18" s="5" t="s">
        <v>7</v>
      </c>
      <c r="D18" s="28">
        <v>0.85</v>
      </c>
      <c r="E18" s="24">
        <v>65062</v>
      </c>
      <c r="F18" s="24">
        <v>65032</v>
      </c>
      <c r="G18" s="24">
        <v>30</v>
      </c>
      <c r="H18" s="24">
        <v>0</v>
      </c>
      <c r="I18" s="24">
        <v>0</v>
      </c>
      <c r="J18" s="24">
        <v>0</v>
      </c>
      <c r="K18" s="30"/>
    </row>
    <row r="19" spans="1:11" s="31" customFormat="1" x14ac:dyDescent="0.25">
      <c r="A19" s="27">
        <v>9</v>
      </c>
      <c r="B19" s="1" t="s">
        <v>77</v>
      </c>
      <c r="C19" s="2" t="s">
        <v>9</v>
      </c>
      <c r="D19" s="28">
        <v>0.85</v>
      </c>
      <c r="E19" s="24">
        <v>45744</v>
      </c>
      <c r="F19" s="24">
        <v>45722</v>
      </c>
      <c r="G19" s="24">
        <v>22</v>
      </c>
      <c r="H19" s="24">
        <v>0</v>
      </c>
      <c r="I19" s="24">
        <v>0</v>
      </c>
      <c r="J19" s="24">
        <v>0</v>
      </c>
    </row>
    <row r="20" spans="1:11" s="31" customFormat="1" x14ac:dyDescent="0.25">
      <c r="A20" s="27">
        <v>10</v>
      </c>
      <c r="B20" s="4" t="s">
        <v>78</v>
      </c>
      <c r="C20" s="5" t="s">
        <v>79</v>
      </c>
      <c r="D20" s="28">
        <v>0.85</v>
      </c>
      <c r="E20" s="24">
        <v>4278</v>
      </c>
      <c r="F20" s="24">
        <v>1827</v>
      </c>
      <c r="G20" s="24">
        <v>5</v>
      </c>
      <c r="H20" s="24">
        <v>2444</v>
      </c>
      <c r="I20" s="24">
        <v>2</v>
      </c>
      <c r="J20" s="24">
        <v>0</v>
      </c>
    </row>
    <row r="21" spans="1:11" s="31" customFormat="1" ht="24" x14ac:dyDescent="0.25">
      <c r="A21" s="27">
        <v>11</v>
      </c>
      <c r="B21" s="1" t="s">
        <v>80</v>
      </c>
      <c r="C21" s="2" t="s">
        <v>81</v>
      </c>
      <c r="D21" s="28">
        <v>0.85</v>
      </c>
      <c r="E21" s="24">
        <v>104394</v>
      </c>
      <c r="F21" s="24">
        <v>102105</v>
      </c>
      <c r="G21" s="24">
        <v>25</v>
      </c>
      <c r="H21" s="24">
        <v>2262</v>
      </c>
      <c r="I21" s="24">
        <v>2</v>
      </c>
      <c r="J21" s="24">
        <v>0</v>
      </c>
    </row>
    <row r="22" spans="1:11" s="31" customFormat="1" x14ac:dyDescent="0.25">
      <c r="A22" s="27">
        <v>12</v>
      </c>
      <c r="B22" s="3" t="s">
        <v>82</v>
      </c>
      <c r="C22" s="2" t="s">
        <v>10</v>
      </c>
      <c r="D22" s="28">
        <v>0.85</v>
      </c>
      <c r="E22" s="24">
        <v>66664</v>
      </c>
      <c r="F22" s="24">
        <v>66599</v>
      </c>
      <c r="G22" s="24">
        <v>65</v>
      </c>
      <c r="H22" s="24">
        <v>0</v>
      </c>
      <c r="I22" s="24">
        <v>0</v>
      </c>
      <c r="J22" s="24">
        <v>0</v>
      </c>
    </row>
    <row r="23" spans="1:11" x14ac:dyDescent="0.25">
      <c r="A23" s="27">
        <v>13</v>
      </c>
      <c r="B23" s="6" t="s">
        <v>83</v>
      </c>
      <c r="C23" s="7" t="s">
        <v>11</v>
      </c>
      <c r="D23" s="28">
        <v>0.85</v>
      </c>
      <c r="E23" s="24">
        <v>38867</v>
      </c>
      <c r="F23" s="24">
        <v>31808</v>
      </c>
      <c r="G23" s="24">
        <v>0</v>
      </c>
      <c r="H23" s="24">
        <v>7054</v>
      </c>
      <c r="I23" s="24">
        <v>5</v>
      </c>
      <c r="J23" s="24">
        <v>0</v>
      </c>
    </row>
    <row r="24" spans="1:11" s="31" customFormat="1" x14ac:dyDescent="0.25">
      <c r="A24" s="27">
        <v>14</v>
      </c>
      <c r="B24" s="4" t="s">
        <v>84</v>
      </c>
      <c r="C24" s="5" t="s">
        <v>12</v>
      </c>
      <c r="D24" s="28">
        <v>0.85</v>
      </c>
      <c r="E24" s="24">
        <v>3919</v>
      </c>
      <c r="F24" s="24">
        <v>3466</v>
      </c>
      <c r="G24" s="24">
        <v>2</v>
      </c>
      <c r="H24" s="24">
        <v>449</v>
      </c>
      <c r="I24" s="24">
        <v>2</v>
      </c>
      <c r="J24" s="24">
        <v>0</v>
      </c>
    </row>
    <row r="25" spans="1:11" s="31" customFormat="1" x14ac:dyDescent="0.25">
      <c r="A25" s="27">
        <v>15</v>
      </c>
      <c r="B25" s="3" t="s">
        <v>85</v>
      </c>
      <c r="C25" s="2" t="s">
        <v>49</v>
      </c>
      <c r="D25" s="28">
        <v>0.85</v>
      </c>
      <c r="E25" s="24">
        <v>9109</v>
      </c>
      <c r="F25" s="24">
        <v>9097</v>
      </c>
      <c r="G25" s="24">
        <v>12</v>
      </c>
      <c r="H25" s="24">
        <v>0</v>
      </c>
      <c r="I25" s="24">
        <v>0</v>
      </c>
      <c r="J25" s="24">
        <v>0</v>
      </c>
    </row>
    <row r="26" spans="1:11" s="31" customFormat="1" x14ac:dyDescent="0.25">
      <c r="A26" s="27">
        <v>16</v>
      </c>
      <c r="B26" s="1" t="s">
        <v>86</v>
      </c>
      <c r="C26" s="2" t="s">
        <v>57</v>
      </c>
      <c r="D26" s="28">
        <v>0.85</v>
      </c>
      <c r="E26" s="24">
        <v>5257</v>
      </c>
      <c r="F26" s="24">
        <v>5252</v>
      </c>
      <c r="G26" s="24">
        <v>5</v>
      </c>
      <c r="H26" s="24">
        <v>0</v>
      </c>
      <c r="I26" s="24">
        <v>0</v>
      </c>
      <c r="J26" s="24">
        <v>0</v>
      </c>
    </row>
    <row r="27" spans="1:11" s="31" customFormat="1" x14ac:dyDescent="0.25">
      <c r="A27" s="27">
        <v>17</v>
      </c>
      <c r="B27" s="6" t="s">
        <v>87</v>
      </c>
      <c r="C27" s="7" t="s">
        <v>58</v>
      </c>
      <c r="D27" s="28">
        <v>0.85</v>
      </c>
      <c r="E27" s="24">
        <v>8783</v>
      </c>
      <c r="F27" s="24">
        <v>8778</v>
      </c>
      <c r="G27" s="24">
        <v>5</v>
      </c>
      <c r="H27" s="24">
        <v>0</v>
      </c>
      <c r="I27" s="24">
        <v>0</v>
      </c>
      <c r="J27" s="24">
        <v>0</v>
      </c>
    </row>
    <row r="28" spans="1:11" s="31" customFormat="1" x14ac:dyDescent="0.25">
      <c r="A28" s="27">
        <v>18</v>
      </c>
      <c r="B28" s="4" t="s">
        <v>88</v>
      </c>
      <c r="C28" s="5" t="s">
        <v>13</v>
      </c>
      <c r="D28" s="28">
        <v>0.85</v>
      </c>
      <c r="E28" s="24">
        <v>114605</v>
      </c>
      <c r="F28" s="24">
        <v>113730</v>
      </c>
      <c r="G28" s="24">
        <v>99</v>
      </c>
      <c r="H28" s="24">
        <v>776</v>
      </c>
      <c r="I28" s="24">
        <v>0</v>
      </c>
      <c r="J28" s="24">
        <v>0</v>
      </c>
    </row>
    <row r="29" spans="1:11" s="31" customFormat="1" x14ac:dyDescent="0.25">
      <c r="A29" s="27">
        <v>19</v>
      </c>
      <c r="B29" s="4" t="s">
        <v>89</v>
      </c>
      <c r="C29" s="5" t="s">
        <v>38</v>
      </c>
      <c r="D29" s="28">
        <v>0.85</v>
      </c>
      <c r="E29" s="24">
        <v>8727</v>
      </c>
      <c r="F29" s="24">
        <v>8720</v>
      </c>
      <c r="G29" s="24">
        <v>7</v>
      </c>
      <c r="H29" s="24">
        <v>0</v>
      </c>
      <c r="I29" s="24">
        <v>0</v>
      </c>
      <c r="J29" s="24">
        <v>0</v>
      </c>
    </row>
    <row r="30" spans="1:11" s="31" customFormat="1" x14ac:dyDescent="0.25">
      <c r="A30" s="27">
        <v>20</v>
      </c>
      <c r="B30" s="3" t="s">
        <v>90</v>
      </c>
      <c r="C30" s="2" t="s">
        <v>39</v>
      </c>
      <c r="D30" s="28">
        <v>0.85</v>
      </c>
      <c r="E30" s="24">
        <v>11106</v>
      </c>
      <c r="F30" s="24">
        <v>11102</v>
      </c>
      <c r="G30" s="24">
        <v>4</v>
      </c>
      <c r="H30" s="24">
        <v>0</v>
      </c>
      <c r="I30" s="24">
        <v>0</v>
      </c>
      <c r="J30" s="24">
        <v>0</v>
      </c>
    </row>
    <row r="31" spans="1:11" s="31" customFormat="1" x14ac:dyDescent="0.25">
      <c r="A31" s="27">
        <v>21</v>
      </c>
      <c r="B31" s="3" t="s">
        <v>91</v>
      </c>
      <c r="C31" s="2" t="s">
        <v>53</v>
      </c>
      <c r="D31" s="28">
        <v>0.85</v>
      </c>
      <c r="E31" s="24">
        <v>7679</v>
      </c>
      <c r="F31" s="24">
        <v>7667</v>
      </c>
      <c r="G31" s="24">
        <v>12</v>
      </c>
      <c r="H31" s="24">
        <v>0</v>
      </c>
      <c r="I31" s="24">
        <v>0</v>
      </c>
      <c r="J31" s="24">
        <v>0</v>
      </c>
    </row>
    <row r="32" spans="1:11" s="31" customFormat="1" x14ac:dyDescent="0.25">
      <c r="A32" s="27">
        <v>22</v>
      </c>
      <c r="B32" s="4" t="s">
        <v>92</v>
      </c>
      <c r="C32" s="5" t="s">
        <v>56</v>
      </c>
      <c r="D32" s="28">
        <v>0.85</v>
      </c>
      <c r="E32" s="24">
        <v>11129</v>
      </c>
      <c r="F32" s="24">
        <v>11124</v>
      </c>
      <c r="G32" s="24">
        <v>5</v>
      </c>
      <c r="H32" s="24">
        <v>0</v>
      </c>
      <c r="I32" s="24">
        <v>0</v>
      </c>
      <c r="J32" s="24">
        <v>0</v>
      </c>
    </row>
    <row r="33" spans="1:10" s="31" customFormat="1" x14ac:dyDescent="0.25">
      <c r="A33" s="27">
        <v>23</v>
      </c>
      <c r="B33" s="3" t="s">
        <v>93</v>
      </c>
      <c r="C33" s="5" t="s">
        <v>94</v>
      </c>
      <c r="D33" s="28">
        <v>0.9</v>
      </c>
      <c r="E33" s="24">
        <v>357002</v>
      </c>
      <c r="F33" s="24">
        <v>294889</v>
      </c>
      <c r="G33" s="24">
        <v>5</v>
      </c>
      <c r="H33" s="24">
        <v>42120</v>
      </c>
      <c r="I33" s="24">
        <v>10</v>
      </c>
      <c r="J33" s="24">
        <v>19978</v>
      </c>
    </row>
    <row r="34" spans="1:10" s="31" customFormat="1" x14ac:dyDescent="0.25">
      <c r="A34" s="27">
        <v>24</v>
      </c>
      <c r="B34" s="3" t="s">
        <v>95</v>
      </c>
      <c r="C34" s="2" t="s">
        <v>27</v>
      </c>
      <c r="D34" s="28">
        <v>0.9</v>
      </c>
      <c r="E34" s="24">
        <v>5055</v>
      </c>
      <c r="F34" s="24">
        <v>5052</v>
      </c>
      <c r="G34" s="24">
        <v>3</v>
      </c>
      <c r="H34" s="24">
        <v>0</v>
      </c>
      <c r="I34" s="24">
        <v>0</v>
      </c>
      <c r="J34" s="24">
        <v>0</v>
      </c>
    </row>
    <row r="35" spans="1:10" s="31" customFormat="1" x14ac:dyDescent="0.25">
      <c r="A35" s="27">
        <v>25</v>
      </c>
      <c r="B35" s="4" t="s">
        <v>96</v>
      </c>
      <c r="C35" s="5" t="s">
        <v>18</v>
      </c>
      <c r="D35" s="28">
        <v>0.9</v>
      </c>
      <c r="E35" s="24">
        <v>14269</v>
      </c>
      <c r="F35" s="24">
        <v>14263</v>
      </c>
      <c r="G35" s="24">
        <v>6</v>
      </c>
      <c r="H35" s="24">
        <v>0</v>
      </c>
      <c r="I35" s="24">
        <v>0</v>
      </c>
      <c r="J35" s="24">
        <v>0</v>
      </c>
    </row>
    <row r="36" spans="1:10" s="31" customFormat="1" x14ac:dyDescent="0.25">
      <c r="A36" s="27">
        <v>26</v>
      </c>
      <c r="B36" s="3" t="s">
        <v>97</v>
      </c>
      <c r="C36" s="2" t="s">
        <v>34</v>
      </c>
      <c r="D36" s="28">
        <v>0.91</v>
      </c>
      <c r="E36" s="24">
        <v>7538</v>
      </c>
      <c r="F36" s="24">
        <v>6871</v>
      </c>
      <c r="G36" s="24">
        <v>6</v>
      </c>
      <c r="H36" s="24">
        <v>654</v>
      </c>
      <c r="I36" s="24">
        <v>7</v>
      </c>
      <c r="J36" s="24">
        <v>0</v>
      </c>
    </row>
    <row r="37" spans="1:10" s="31" customFormat="1" x14ac:dyDescent="0.25">
      <c r="A37" s="27">
        <v>27</v>
      </c>
      <c r="B37" s="1" t="s">
        <v>98</v>
      </c>
      <c r="C37" s="2" t="s">
        <v>42</v>
      </c>
      <c r="D37" s="28">
        <v>0.91</v>
      </c>
      <c r="E37" s="24">
        <v>15460</v>
      </c>
      <c r="F37" s="24">
        <v>12326</v>
      </c>
      <c r="G37" s="24">
        <v>4</v>
      </c>
      <c r="H37" s="24">
        <v>3130</v>
      </c>
      <c r="I37" s="24">
        <v>0</v>
      </c>
      <c r="J37" s="24">
        <v>0</v>
      </c>
    </row>
    <row r="38" spans="1:10" s="31" customFormat="1" x14ac:dyDescent="0.25">
      <c r="A38" s="27">
        <v>28</v>
      </c>
      <c r="B38" s="1" t="s">
        <v>99</v>
      </c>
      <c r="C38" s="2" t="s">
        <v>46</v>
      </c>
      <c r="D38" s="28">
        <v>0.91</v>
      </c>
      <c r="E38" s="24">
        <v>12890</v>
      </c>
      <c r="F38" s="24">
        <v>12885</v>
      </c>
      <c r="G38" s="24">
        <v>5</v>
      </c>
      <c r="H38" s="24">
        <v>0</v>
      </c>
      <c r="I38" s="24">
        <v>0</v>
      </c>
      <c r="J38" s="24">
        <v>0</v>
      </c>
    </row>
    <row r="39" spans="1:10" s="31" customFormat="1" x14ac:dyDescent="0.25">
      <c r="A39" s="27">
        <v>29</v>
      </c>
      <c r="B39" s="6" t="s">
        <v>100</v>
      </c>
      <c r="C39" s="7" t="s">
        <v>50</v>
      </c>
      <c r="D39" s="28">
        <v>0.91</v>
      </c>
      <c r="E39" s="24">
        <v>7523</v>
      </c>
      <c r="F39" s="24">
        <v>7511</v>
      </c>
      <c r="G39" s="24">
        <v>12</v>
      </c>
      <c r="H39" s="24">
        <v>0</v>
      </c>
      <c r="I39" s="24">
        <v>0</v>
      </c>
      <c r="J39" s="24">
        <v>0</v>
      </c>
    </row>
    <row r="40" spans="1:10" s="31" customFormat="1" x14ac:dyDescent="0.25">
      <c r="A40" s="27">
        <v>30</v>
      </c>
      <c r="B40" s="3" t="s">
        <v>101</v>
      </c>
      <c r="C40" s="2" t="s">
        <v>20</v>
      </c>
      <c r="D40" s="28">
        <v>0.91</v>
      </c>
      <c r="E40" s="24">
        <v>31559</v>
      </c>
      <c r="F40" s="24">
        <v>31545</v>
      </c>
      <c r="G40" s="24">
        <v>14</v>
      </c>
      <c r="H40" s="24">
        <v>0</v>
      </c>
      <c r="I40" s="24">
        <v>0</v>
      </c>
      <c r="J40" s="24">
        <v>0</v>
      </c>
    </row>
    <row r="41" spans="1:10" s="31" customFormat="1" x14ac:dyDescent="0.25">
      <c r="A41" s="27">
        <v>31</v>
      </c>
      <c r="B41" s="4" t="s">
        <v>102</v>
      </c>
      <c r="C41" s="5" t="s">
        <v>55</v>
      </c>
      <c r="D41" s="28">
        <v>0.91</v>
      </c>
      <c r="E41" s="24">
        <v>5665</v>
      </c>
      <c r="F41" s="24">
        <v>5662</v>
      </c>
      <c r="G41" s="24">
        <v>3</v>
      </c>
      <c r="H41" s="24">
        <v>0</v>
      </c>
      <c r="I41" s="24">
        <v>0</v>
      </c>
      <c r="J41" s="24">
        <v>0</v>
      </c>
    </row>
    <row r="42" spans="1:10" s="31" customFormat="1" ht="12" customHeight="1" x14ac:dyDescent="0.25">
      <c r="A42" s="27">
        <v>32</v>
      </c>
      <c r="B42" s="4" t="s">
        <v>103</v>
      </c>
      <c r="C42" s="5" t="s">
        <v>60</v>
      </c>
      <c r="D42" s="28">
        <v>0.91</v>
      </c>
      <c r="E42" s="24">
        <v>8193</v>
      </c>
      <c r="F42" s="24">
        <v>8190</v>
      </c>
      <c r="G42" s="24">
        <v>3</v>
      </c>
      <c r="H42" s="24">
        <v>0</v>
      </c>
      <c r="I42" s="24">
        <v>0</v>
      </c>
      <c r="J42" s="24">
        <v>0</v>
      </c>
    </row>
    <row r="43" spans="1:10" s="31" customFormat="1" x14ac:dyDescent="0.25">
      <c r="A43" s="27">
        <v>33</v>
      </c>
      <c r="B43" s="1" t="s">
        <v>104</v>
      </c>
      <c r="C43" s="2" t="s">
        <v>21</v>
      </c>
      <c r="D43" s="28">
        <v>0.91</v>
      </c>
      <c r="E43" s="24">
        <v>14052</v>
      </c>
      <c r="F43" s="24">
        <v>14037</v>
      </c>
      <c r="G43" s="24">
        <v>15</v>
      </c>
      <c r="H43" s="24">
        <v>0</v>
      </c>
      <c r="I43" s="24">
        <v>0</v>
      </c>
      <c r="J43" s="24">
        <v>0</v>
      </c>
    </row>
    <row r="44" spans="1:10" s="31" customFormat="1" x14ac:dyDescent="0.25">
      <c r="A44" s="27">
        <v>34</v>
      </c>
      <c r="B44" s="3" t="s">
        <v>105</v>
      </c>
      <c r="C44" s="2" t="s">
        <v>62</v>
      </c>
      <c r="D44" s="28">
        <v>0.91</v>
      </c>
      <c r="E44" s="24">
        <v>6255</v>
      </c>
      <c r="F44" s="24">
        <v>6252</v>
      </c>
      <c r="G44" s="24">
        <v>3</v>
      </c>
      <c r="H44" s="24">
        <v>0</v>
      </c>
      <c r="I44" s="24">
        <v>0</v>
      </c>
      <c r="J44" s="24">
        <v>0</v>
      </c>
    </row>
    <row r="45" spans="1:10" x14ac:dyDescent="0.25">
      <c r="E45" s="34"/>
      <c r="F45" s="34"/>
      <c r="G45" s="34"/>
      <c r="H45" s="34"/>
      <c r="I45" s="34"/>
      <c r="J45" s="34"/>
    </row>
    <row r="46" spans="1:10" x14ac:dyDescent="0.25">
      <c r="E46" s="34"/>
    </row>
    <row r="47" spans="1:10" x14ac:dyDescent="0.25">
      <c r="E47" s="34"/>
      <c r="F47" s="34"/>
      <c r="G47" s="34"/>
      <c r="H47" s="34"/>
      <c r="I47" s="34"/>
      <c r="J47" s="34"/>
    </row>
    <row r="49" spans="5:10" x14ac:dyDescent="0.25">
      <c r="E49" s="34"/>
      <c r="F49" s="34"/>
      <c r="G49" s="34"/>
      <c r="H49" s="34"/>
      <c r="I49" s="34"/>
      <c r="J49" s="34"/>
    </row>
    <row r="50" spans="5:10" x14ac:dyDescent="0.25">
      <c r="E50" s="34"/>
      <c r="F50" s="34"/>
      <c r="G50" s="34"/>
      <c r="H50" s="34"/>
      <c r="I50" s="34"/>
      <c r="J50" s="34"/>
    </row>
  </sheetData>
  <mergeCells count="14">
    <mergeCell ref="I6:I7"/>
    <mergeCell ref="J6:J7"/>
    <mergeCell ref="A8:C8"/>
    <mergeCell ref="A10:C10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47"/>
  <sheetViews>
    <sheetView workbookViewId="0">
      <pane xSplit="3" ySplit="10" topLeftCell="D129" activePane="bottomRight" state="frozen"/>
      <selection pane="topRight" activeCell="D1" sqref="D1"/>
      <selection pane="bottomLeft" activeCell="A11" sqref="A11"/>
      <selection pane="bottomRight" sqref="A1:M1"/>
    </sheetView>
  </sheetViews>
  <sheetFormatPr defaultRowHeight="12.75" x14ac:dyDescent="0.25"/>
  <cols>
    <col min="1" max="1" width="6.140625" style="48" customWidth="1"/>
    <col min="2" max="2" width="10.5703125" style="49" customWidth="1"/>
    <col min="3" max="3" width="37.42578125" style="47" customWidth="1"/>
    <col min="4" max="4" width="10.7109375" style="47" customWidth="1"/>
    <col min="5" max="5" width="10.5703125" style="50" customWidth="1"/>
    <col min="6" max="6" width="11" style="50" customWidth="1"/>
    <col min="7" max="7" width="11.7109375" style="50" customWidth="1"/>
    <col min="8" max="8" width="10.85546875" style="51" customWidth="1"/>
    <col min="9" max="9" width="10.42578125" style="50" customWidth="1"/>
    <col min="10" max="10" width="9" style="50" customWidth="1"/>
    <col min="11" max="11" width="10.42578125" style="50" customWidth="1"/>
    <col min="12" max="12" width="13.85546875" style="51" customWidth="1"/>
    <col min="13" max="13" width="10.7109375" style="51" customWidth="1"/>
    <col min="14" max="14" width="11.85546875" style="47" customWidth="1"/>
    <col min="15" max="16384" width="9.140625" style="47"/>
  </cols>
  <sheetData>
    <row r="1" spans="1:13" ht="22.5" customHeight="1" x14ac:dyDescent="0.25">
      <c r="A1" s="1008" t="s">
        <v>326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</row>
    <row r="2" spans="1:13" ht="13.5" thickBot="1" x14ac:dyDescent="0.3"/>
    <row r="3" spans="1:13" ht="15.75" customHeight="1" x14ac:dyDescent="0.25">
      <c r="A3" s="1009" t="s">
        <v>0</v>
      </c>
      <c r="B3" s="1011" t="s">
        <v>296</v>
      </c>
      <c r="C3" s="1013" t="s">
        <v>297</v>
      </c>
      <c r="D3" s="1015" t="s">
        <v>327</v>
      </c>
      <c r="E3" s="1016"/>
      <c r="F3" s="1016"/>
      <c r="G3" s="1016"/>
      <c r="H3" s="1016"/>
      <c r="I3" s="1017" t="s">
        <v>328</v>
      </c>
      <c r="J3" s="1016"/>
      <c r="K3" s="1016"/>
      <c r="L3" s="1016"/>
      <c r="M3" s="1018" t="s">
        <v>329</v>
      </c>
    </row>
    <row r="4" spans="1:13" ht="28.5" customHeight="1" thickBot="1" x14ac:dyDescent="0.3">
      <c r="A4" s="1010"/>
      <c r="B4" s="1012"/>
      <c r="C4" s="1014"/>
      <c r="D4" s="52" t="s">
        <v>330</v>
      </c>
      <c r="E4" s="53" t="s">
        <v>331</v>
      </c>
      <c r="F4" s="53" t="s">
        <v>332</v>
      </c>
      <c r="G4" s="54" t="s">
        <v>333</v>
      </c>
      <c r="H4" s="628" t="s">
        <v>1</v>
      </c>
      <c r="I4" s="55" t="s">
        <v>331</v>
      </c>
      <c r="J4" s="53" t="s">
        <v>332</v>
      </c>
      <c r="K4" s="54" t="s">
        <v>333</v>
      </c>
      <c r="L4" s="628" t="s">
        <v>1</v>
      </c>
      <c r="M4" s="1019"/>
    </row>
    <row r="5" spans="1:13" ht="12.75" customHeight="1" x14ac:dyDescent="0.25">
      <c r="A5" s="629"/>
      <c r="B5" s="630"/>
      <c r="C5" s="631" t="s">
        <v>1</v>
      </c>
      <c r="D5" s="632">
        <f>SUM(D6:D10)</f>
        <v>73648</v>
      </c>
      <c r="E5" s="57">
        <f t="shared" ref="E5:M5" si="0">SUM(E6:E10)</f>
        <v>120624</v>
      </c>
      <c r="F5" s="57">
        <f t="shared" si="0"/>
        <v>1483</v>
      </c>
      <c r="G5" s="57">
        <f t="shared" si="0"/>
        <v>22857</v>
      </c>
      <c r="H5" s="319">
        <f t="shared" si="0"/>
        <v>218612</v>
      </c>
      <c r="I5" s="56">
        <f t="shared" si="0"/>
        <v>96004</v>
      </c>
      <c r="J5" s="57">
        <f t="shared" si="0"/>
        <v>2695</v>
      </c>
      <c r="K5" s="57">
        <f t="shared" si="0"/>
        <v>5654</v>
      </c>
      <c r="L5" s="319">
        <f t="shared" si="0"/>
        <v>104353</v>
      </c>
      <c r="M5" s="322">
        <f t="shared" si="0"/>
        <v>322965</v>
      </c>
    </row>
    <row r="6" spans="1:13" s="639" customFormat="1" ht="12.75" customHeight="1" x14ac:dyDescent="0.25">
      <c r="A6" s="633"/>
      <c r="B6" s="634"/>
      <c r="C6" s="58" t="s">
        <v>3</v>
      </c>
      <c r="D6" s="635">
        <v>0</v>
      </c>
      <c r="E6" s="636">
        <v>0</v>
      </c>
      <c r="F6" s="636">
        <v>0</v>
      </c>
      <c r="G6" s="636">
        <f>175-175</f>
        <v>0</v>
      </c>
      <c r="H6" s="637">
        <f>SUM(D6:G6)</f>
        <v>0</v>
      </c>
      <c r="I6" s="638">
        <v>0</v>
      </c>
      <c r="J6" s="64">
        <v>0</v>
      </c>
      <c r="K6" s="64">
        <v>0</v>
      </c>
      <c r="L6" s="637">
        <f>SUM(I6:K6)</f>
        <v>0</v>
      </c>
      <c r="M6" s="326">
        <f>H6+L6</f>
        <v>0</v>
      </c>
    </row>
    <row r="7" spans="1:13" s="639" customFormat="1" ht="12.75" customHeight="1" x14ac:dyDescent="0.25">
      <c r="A7" s="633"/>
      <c r="B7" s="634"/>
      <c r="C7" s="58" t="s">
        <v>2328</v>
      </c>
      <c r="D7" s="635">
        <v>0</v>
      </c>
      <c r="E7" s="636">
        <v>0</v>
      </c>
      <c r="F7" s="636">
        <v>0</v>
      </c>
      <c r="G7" s="636">
        <f t="shared" ref="G7:G8" si="1">175-175</f>
        <v>0</v>
      </c>
      <c r="H7" s="637">
        <f t="shared" ref="H7:H9" si="2">SUM(D7:G7)</f>
        <v>0</v>
      </c>
      <c r="I7" s="638">
        <v>0</v>
      </c>
      <c r="J7" s="64">
        <v>0</v>
      </c>
      <c r="K7" s="64">
        <v>0</v>
      </c>
      <c r="L7" s="637">
        <f t="shared" ref="L7:L9" si="3">SUM(I7:K7)</f>
        <v>0</v>
      </c>
      <c r="M7" s="326">
        <f t="shared" ref="M7:M9" si="4">H7+L7</f>
        <v>0</v>
      </c>
    </row>
    <row r="8" spans="1:13" s="639" customFormat="1" ht="12.75" customHeight="1" x14ac:dyDescent="0.25">
      <c r="A8" s="633"/>
      <c r="B8" s="634"/>
      <c r="C8" s="58" t="s">
        <v>2329</v>
      </c>
      <c r="D8" s="635">
        <v>0</v>
      </c>
      <c r="E8" s="636">
        <v>0</v>
      </c>
      <c r="F8" s="636">
        <v>0</v>
      </c>
      <c r="G8" s="636">
        <f t="shared" si="1"/>
        <v>0</v>
      </c>
      <c r="H8" s="637">
        <f t="shared" si="2"/>
        <v>0</v>
      </c>
      <c r="I8" s="638">
        <v>0</v>
      </c>
      <c r="J8" s="64">
        <v>0</v>
      </c>
      <c r="K8" s="64">
        <v>0</v>
      </c>
      <c r="L8" s="637">
        <f t="shared" si="3"/>
        <v>0</v>
      </c>
      <c r="M8" s="326">
        <f t="shared" si="4"/>
        <v>0</v>
      </c>
    </row>
    <row r="9" spans="1:13" s="639" customFormat="1" ht="12.75" customHeight="1" x14ac:dyDescent="0.25">
      <c r="A9" s="633"/>
      <c r="B9" s="634"/>
      <c r="C9" s="58" t="s">
        <v>2330</v>
      </c>
      <c r="D9" s="635">
        <f>0+18166</f>
        <v>18166</v>
      </c>
      <c r="E9" s="636">
        <v>35103</v>
      </c>
      <c r="F9" s="636">
        <v>0</v>
      </c>
      <c r="G9" s="636">
        <f>175-175</f>
        <v>0</v>
      </c>
      <c r="H9" s="637">
        <f t="shared" si="2"/>
        <v>53269</v>
      </c>
      <c r="I9" s="638">
        <v>4397</v>
      </c>
      <c r="J9" s="64">
        <v>0</v>
      </c>
      <c r="K9" s="64">
        <v>0</v>
      </c>
      <c r="L9" s="637">
        <f t="shared" si="3"/>
        <v>4397</v>
      </c>
      <c r="M9" s="326">
        <f t="shared" si="4"/>
        <v>57666</v>
      </c>
    </row>
    <row r="10" spans="1:13" ht="12.75" customHeight="1" x14ac:dyDescent="0.25">
      <c r="A10" s="640"/>
      <c r="B10" s="630"/>
      <c r="C10" s="58" t="s">
        <v>4</v>
      </c>
      <c r="D10" s="75">
        <f>SUM(D11:D147)</f>
        <v>55482</v>
      </c>
      <c r="E10" s="66">
        <f t="shared" ref="E10:M10" si="5">SUM(E11:E147)</f>
        <v>85521</v>
      </c>
      <c r="F10" s="66">
        <f t="shared" si="5"/>
        <v>1483</v>
      </c>
      <c r="G10" s="66">
        <f t="shared" si="5"/>
        <v>22857</v>
      </c>
      <c r="H10" s="325">
        <f t="shared" si="5"/>
        <v>165343</v>
      </c>
      <c r="I10" s="65">
        <f t="shared" si="5"/>
        <v>91607</v>
      </c>
      <c r="J10" s="66">
        <f t="shared" si="5"/>
        <v>2695</v>
      </c>
      <c r="K10" s="66">
        <f t="shared" si="5"/>
        <v>5654</v>
      </c>
      <c r="L10" s="325">
        <f t="shared" si="5"/>
        <v>99956</v>
      </c>
      <c r="M10" s="328">
        <f t="shared" si="5"/>
        <v>265299</v>
      </c>
    </row>
    <row r="11" spans="1:13" ht="12.75" customHeight="1" x14ac:dyDescent="0.25">
      <c r="A11" s="641">
        <v>1</v>
      </c>
      <c r="B11" s="642" t="s">
        <v>69</v>
      </c>
      <c r="C11" s="643" t="s">
        <v>29</v>
      </c>
      <c r="D11" s="65"/>
      <c r="E11" s="66"/>
      <c r="F11" s="66"/>
      <c r="G11" s="66"/>
      <c r="H11" s="325"/>
      <c r="I11" s="65"/>
      <c r="J11" s="66"/>
      <c r="K11" s="66"/>
      <c r="L11" s="325"/>
      <c r="M11" s="328"/>
    </row>
    <row r="12" spans="1:13" ht="12.75" customHeight="1" x14ac:dyDescent="0.25">
      <c r="A12" s="641">
        <v>2</v>
      </c>
      <c r="B12" s="644" t="s">
        <v>70</v>
      </c>
      <c r="C12" s="645" t="s">
        <v>31</v>
      </c>
      <c r="D12" s="65"/>
      <c r="E12" s="66"/>
      <c r="F12" s="66"/>
      <c r="G12" s="66"/>
      <c r="H12" s="325"/>
      <c r="I12" s="65"/>
      <c r="J12" s="66"/>
      <c r="K12" s="66"/>
      <c r="L12" s="325"/>
      <c r="M12" s="328"/>
    </row>
    <row r="13" spans="1:13" ht="12.75" customHeight="1" x14ac:dyDescent="0.25">
      <c r="A13" s="641">
        <v>3</v>
      </c>
      <c r="B13" s="646" t="s">
        <v>71</v>
      </c>
      <c r="C13" s="647" t="s">
        <v>5</v>
      </c>
      <c r="D13" s="59">
        <v>6962</v>
      </c>
      <c r="E13" s="60">
        <v>504</v>
      </c>
      <c r="F13" s="60"/>
      <c r="G13" s="60">
        <v>176</v>
      </c>
      <c r="H13" s="637">
        <f t="shared" ref="H13:H145" si="6">D13+E13+F13+G13</f>
        <v>7642</v>
      </c>
      <c r="I13" s="62"/>
      <c r="J13" s="63"/>
      <c r="K13" s="63"/>
      <c r="L13" s="637">
        <f t="shared" ref="L13:L145" si="7">I13+J13+K13</f>
        <v>0</v>
      </c>
      <c r="M13" s="326">
        <f t="shared" ref="M13:M145" si="8">H13+L13</f>
        <v>7642</v>
      </c>
    </row>
    <row r="14" spans="1:13" ht="12.75" customHeight="1" x14ac:dyDescent="0.25">
      <c r="A14" s="641">
        <v>4</v>
      </c>
      <c r="B14" s="642" t="s">
        <v>72</v>
      </c>
      <c r="C14" s="645" t="s">
        <v>2248</v>
      </c>
      <c r="D14" s="59"/>
      <c r="E14" s="60"/>
      <c r="F14" s="60"/>
      <c r="G14" s="60"/>
      <c r="H14" s="637"/>
      <c r="I14" s="62"/>
      <c r="J14" s="63"/>
      <c r="K14" s="63"/>
      <c r="L14" s="637"/>
      <c r="M14" s="326"/>
    </row>
    <row r="15" spans="1:13" ht="12.75" customHeight="1" x14ac:dyDescent="0.25">
      <c r="A15" s="641">
        <v>5</v>
      </c>
      <c r="B15" s="642" t="s">
        <v>108</v>
      </c>
      <c r="C15" s="648" t="s">
        <v>37</v>
      </c>
      <c r="D15" s="59"/>
      <c r="E15" s="60"/>
      <c r="F15" s="60"/>
      <c r="G15" s="60"/>
      <c r="H15" s="61"/>
      <c r="I15" s="62"/>
      <c r="J15" s="63"/>
      <c r="K15" s="63"/>
      <c r="L15" s="637"/>
      <c r="M15" s="326"/>
    </row>
    <row r="16" spans="1:13" ht="12.75" customHeight="1" x14ac:dyDescent="0.25">
      <c r="A16" s="641">
        <v>6</v>
      </c>
      <c r="B16" s="646" t="s">
        <v>73</v>
      </c>
      <c r="C16" s="647" t="s">
        <v>6</v>
      </c>
      <c r="D16" s="59"/>
      <c r="E16" s="60">
        <v>1606</v>
      </c>
      <c r="F16" s="60"/>
      <c r="G16" s="60">
        <f>742+417</f>
        <v>1159</v>
      </c>
      <c r="H16" s="61">
        <f t="shared" si="6"/>
        <v>2765</v>
      </c>
      <c r="I16" s="62">
        <f>2553+1947</f>
        <v>4500</v>
      </c>
      <c r="J16" s="63"/>
      <c r="K16" s="63"/>
      <c r="L16" s="637">
        <f t="shared" si="7"/>
        <v>4500</v>
      </c>
      <c r="M16" s="326">
        <f t="shared" si="8"/>
        <v>7265</v>
      </c>
    </row>
    <row r="17" spans="1:13" ht="12.75" customHeight="1" x14ac:dyDescent="0.25">
      <c r="A17" s="641">
        <v>7</v>
      </c>
      <c r="B17" s="642" t="s">
        <v>109</v>
      </c>
      <c r="C17" s="647" t="s">
        <v>23</v>
      </c>
      <c r="D17" s="59">
        <v>6002</v>
      </c>
      <c r="E17" s="60">
        <v>1158</v>
      </c>
      <c r="F17" s="60"/>
      <c r="G17" s="60"/>
      <c r="H17" s="61">
        <f t="shared" si="6"/>
        <v>7160</v>
      </c>
      <c r="I17" s="62"/>
      <c r="J17" s="63"/>
      <c r="K17" s="63"/>
      <c r="L17" s="637">
        <f t="shared" si="7"/>
        <v>0</v>
      </c>
      <c r="M17" s="326">
        <f t="shared" si="8"/>
        <v>7160</v>
      </c>
    </row>
    <row r="18" spans="1:13" ht="12.75" customHeight="1" x14ac:dyDescent="0.25">
      <c r="A18" s="641">
        <v>8</v>
      </c>
      <c r="B18" s="646" t="s">
        <v>110</v>
      </c>
      <c r="C18" s="648" t="s">
        <v>44</v>
      </c>
      <c r="D18" s="59"/>
      <c r="E18" s="60"/>
      <c r="F18" s="60"/>
      <c r="G18" s="60"/>
      <c r="H18" s="61"/>
      <c r="I18" s="62"/>
      <c r="J18" s="63"/>
      <c r="K18" s="63"/>
      <c r="L18" s="637"/>
      <c r="M18" s="326"/>
    </row>
    <row r="19" spans="1:13" ht="12.75" customHeight="1" x14ac:dyDescent="0.25">
      <c r="A19" s="641">
        <v>9</v>
      </c>
      <c r="B19" s="646" t="s">
        <v>74</v>
      </c>
      <c r="C19" s="645" t="s">
        <v>45</v>
      </c>
      <c r="D19" s="59"/>
      <c r="E19" s="60"/>
      <c r="F19" s="60"/>
      <c r="G19" s="60"/>
      <c r="H19" s="61"/>
      <c r="I19" s="62"/>
      <c r="J19" s="63"/>
      <c r="K19" s="63"/>
      <c r="L19" s="637"/>
      <c r="M19" s="326"/>
    </row>
    <row r="20" spans="1:13" ht="12.75" customHeight="1" x14ac:dyDescent="0.25">
      <c r="A20" s="641">
        <v>10</v>
      </c>
      <c r="B20" s="646" t="s">
        <v>111</v>
      </c>
      <c r="C20" s="648" t="s">
        <v>48</v>
      </c>
      <c r="D20" s="59"/>
      <c r="E20" s="60"/>
      <c r="F20" s="60"/>
      <c r="G20" s="60"/>
      <c r="H20" s="61"/>
      <c r="I20" s="62"/>
      <c r="J20" s="63"/>
      <c r="K20" s="63"/>
      <c r="L20" s="637"/>
      <c r="M20" s="326"/>
    </row>
    <row r="21" spans="1:13" ht="12.75" customHeight="1" x14ac:dyDescent="0.25">
      <c r="A21" s="641">
        <v>11</v>
      </c>
      <c r="B21" s="646" t="s">
        <v>75</v>
      </c>
      <c r="C21" s="648" t="s">
        <v>52</v>
      </c>
      <c r="D21" s="59"/>
      <c r="E21" s="60"/>
      <c r="F21" s="60"/>
      <c r="G21" s="60"/>
      <c r="H21" s="61"/>
      <c r="I21" s="62"/>
      <c r="J21" s="63"/>
      <c r="K21" s="63"/>
      <c r="L21" s="637"/>
      <c r="M21" s="326"/>
    </row>
    <row r="22" spans="1:13" ht="12.75" customHeight="1" x14ac:dyDescent="0.25">
      <c r="A22" s="641">
        <v>12</v>
      </c>
      <c r="B22" s="646" t="s">
        <v>112</v>
      </c>
      <c r="C22" s="645" t="s">
        <v>63</v>
      </c>
      <c r="D22" s="59"/>
      <c r="E22" s="60"/>
      <c r="F22" s="60"/>
      <c r="G22" s="60"/>
      <c r="H22" s="61"/>
      <c r="I22" s="62"/>
      <c r="J22" s="63"/>
      <c r="K22" s="63"/>
      <c r="L22" s="637"/>
      <c r="M22" s="326"/>
    </row>
    <row r="23" spans="1:13" ht="12.75" customHeight="1" x14ac:dyDescent="0.25">
      <c r="A23" s="641">
        <v>13</v>
      </c>
      <c r="B23" s="646" t="s">
        <v>292</v>
      </c>
      <c r="C23" s="649" t="s">
        <v>293</v>
      </c>
      <c r="D23" s="59"/>
      <c r="E23" s="60"/>
      <c r="F23" s="60"/>
      <c r="G23" s="60"/>
      <c r="H23" s="61"/>
      <c r="I23" s="62"/>
      <c r="J23" s="63"/>
      <c r="K23" s="63"/>
      <c r="L23" s="637"/>
      <c r="M23" s="326"/>
    </row>
    <row r="24" spans="1:13" ht="12.75" customHeight="1" x14ac:dyDescent="0.25">
      <c r="A24" s="641">
        <v>14</v>
      </c>
      <c r="B24" s="642" t="s">
        <v>176</v>
      </c>
      <c r="C24" s="649" t="s">
        <v>177</v>
      </c>
      <c r="D24" s="59"/>
      <c r="E24" s="60"/>
      <c r="F24" s="60"/>
      <c r="G24" s="60"/>
      <c r="H24" s="61"/>
      <c r="I24" s="62"/>
      <c r="J24" s="63"/>
      <c r="K24" s="63"/>
      <c r="L24" s="637"/>
      <c r="M24" s="326"/>
    </row>
    <row r="25" spans="1:13" ht="12.75" customHeight="1" x14ac:dyDescent="0.25">
      <c r="A25" s="641">
        <v>15</v>
      </c>
      <c r="B25" s="646" t="s">
        <v>115</v>
      </c>
      <c r="C25" s="648" t="s">
        <v>26</v>
      </c>
      <c r="D25" s="59"/>
      <c r="E25" s="60"/>
      <c r="F25" s="60"/>
      <c r="G25" s="60"/>
      <c r="H25" s="61"/>
      <c r="I25" s="62"/>
      <c r="J25" s="63"/>
      <c r="K25" s="63"/>
      <c r="L25" s="637"/>
      <c r="M25" s="326"/>
    </row>
    <row r="26" spans="1:13" ht="12.75" customHeight="1" x14ac:dyDescent="0.25">
      <c r="A26" s="641">
        <v>16</v>
      </c>
      <c r="B26" s="646" t="s">
        <v>116</v>
      </c>
      <c r="C26" s="648" t="s">
        <v>28</v>
      </c>
      <c r="D26" s="59"/>
      <c r="E26" s="60"/>
      <c r="F26" s="60"/>
      <c r="G26" s="60"/>
      <c r="H26" s="61"/>
      <c r="I26" s="62"/>
      <c r="J26" s="63"/>
      <c r="K26" s="63"/>
      <c r="L26" s="637"/>
      <c r="M26" s="326"/>
    </row>
    <row r="27" spans="1:13" ht="12.75" customHeight="1" x14ac:dyDescent="0.25">
      <c r="A27" s="641">
        <v>17</v>
      </c>
      <c r="B27" s="646" t="s">
        <v>117</v>
      </c>
      <c r="C27" s="647" t="s">
        <v>24</v>
      </c>
      <c r="D27" s="59"/>
      <c r="E27" s="60">
        <v>903</v>
      </c>
      <c r="F27" s="60">
        <v>37</v>
      </c>
      <c r="G27" s="60">
        <v>328</v>
      </c>
      <c r="H27" s="61">
        <f t="shared" si="6"/>
        <v>1268</v>
      </c>
      <c r="I27" s="62"/>
      <c r="J27" s="63"/>
      <c r="K27" s="63"/>
      <c r="L27" s="637">
        <f t="shared" si="7"/>
        <v>0</v>
      </c>
      <c r="M27" s="326">
        <f t="shared" si="8"/>
        <v>1268</v>
      </c>
    </row>
    <row r="28" spans="1:13" ht="12.75" customHeight="1" x14ac:dyDescent="0.25">
      <c r="A28" s="641">
        <v>18</v>
      </c>
      <c r="B28" s="646" t="s">
        <v>76</v>
      </c>
      <c r="C28" s="647" t="s">
        <v>7</v>
      </c>
      <c r="D28" s="59"/>
      <c r="E28" s="60">
        <v>2228</v>
      </c>
      <c r="F28" s="60"/>
      <c r="G28" s="60">
        <v>1088</v>
      </c>
      <c r="H28" s="61">
        <f t="shared" si="6"/>
        <v>3316</v>
      </c>
      <c r="I28" s="62">
        <v>3865</v>
      </c>
      <c r="J28" s="63"/>
      <c r="K28" s="63"/>
      <c r="L28" s="637">
        <f t="shared" si="7"/>
        <v>3865</v>
      </c>
      <c r="M28" s="326">
        <f t="shared" si="8"/>
        <v>7181</v>
      </c>
    </row>
    <row r="29" spans="1:13" ht="12.75" customHeight="1" x14ac:dyDescent="0.25">
      <c r="A29" s="641">
        <v>19</v>
      </c>
      <c r="B29" s="642" t="s">
        <v>118</v>
      </c>
      <c r="C29" s="645" t="s">
        <v>36</v>
      </c>
      <c r="D29" s="59"/>
      <c r="E29" s="60"/>
      <c r="F29" s="60"/>
      <c r="G29" s="60"/>
      <c r="H29" s="61"/>
      <c r="I29" s="62"/>
      <c r="J29" s="63"/>
      <c r="K29" s="63"/>
      <c r="L29" s="637"/>
      <c r="M29" s="326"/>
    </row>
    <row r="30" spans="1:13" ht="12.75" customHeight="1" x14ac:dyDescent="0.25">
      <c r="A30" s="641">
        <v>20</v>
      </c>
      <c r="B30" s="642" t="s">
        <v>119</v>
      </c>
      <c r="C30" s="645" t="s">
        <v>41</v>
      </c>
      <c r="D30" s="59"/>
      <c r="E30" s="60"/>
      <c r="F30" s="60"/>
      <c r="G30" s="60"/>
      <c r="H30" s="61"/>
      <c r="I30" s="62"/>
      <c r="J30" s="63"/>
      <c r="K30" s="63"/>
      <c r="L30" s="637"/>
      <c r="M30" s="326"/>
    </row>
    <row r="31" spans="1:13" ht="12.75" customHeight="1" x14ac:dyDescent="0.25">
      <c r="A31" s="641">
        <v>21</v>
      </c>
      <c r="B31" s="642" t="s">
        <v>120</v>
      </c>
      <c r="C31" s="647" t="s">
        <v>8</v>
      </c>
      <c r="D31" s="59"/>
      <c r="E31" s="60">
        <v>431</v>
      </c>
      <c r="F31" s="60"/>
      <c r="G31" s="60"/>
      <c r="H31" s="61">
        <f t="shared" si="6"/>
        <v>431</v>
      </c>
      <c r="I31" s="62"/>
      <c r="J31" s="63"/>
      <c r="K31" s="63"/>
      <c r="L31" s="637">
        <f t="shared" si="7"/>
        <v>0</v>
      </c>
      <c r="M31" s="326">
        <f t="shared" si="8"/>
        <v>431</v>
      </c>
    </row>
    <row r="32" spans="1:13" ht="12.75" customHeight="1" x14ac:dyDescent="0.25">
      <c r="A32" s="641">
        <v>22</v>
      </c>
      <c r="B32" s="642" t="s">
        <v>77</v>
      </c>
      <c r="C32" s="647" t="s">
        <v>9</v>
      </c>
      <c r="D32" s="59"/>
      <c r="E32" s="60">
        <v>1081</v>
      </c>
      <c r="F32" s="60">
        <v>44</v>
      </c>
      <c r="G32" s="60">
        <v>391</v>
      </c>
      <c r="H32" s="61">
        <f t="shared" si="6"/>
        <v>1516</v>
      </c>
      <c r="I32" s="62"/>
      <c r="J32" s="63"/>
      <c r="K32" s="63"/>
      <c r="L32" s="637">
        <f t="shared" si="7"/>
        <v>0</v>
      </c>
      <c r="M32" s="326">
        <f t="shared" si="8"/>
        <v>1516</v>
      </c>
    </row>
    <row r="33" spans="1:13" ht="12.75" customHeight="1" x14ac:dyDescent="0.25">
      <c r="A33" s="641">
        <v>23</v>
      </c>
      <c r="B33" s="646" t="s">
        <v>78</v>
      </c>
      <c r="C33" s="649" t="s">
        <v>79</v>
      </c>
      <c r="D33" s="59"/>
      <c r="E33" s="60"/>
      <c r="F33" s="60"/>
      <c r="G33" s="60"/>
      <c r="H33" s="61"/>
      <c r="I33" s="62"/>
      <c r="J33" s="63"/>
      <c r="K33" s="63"/>
      <c r="L33" s="637"/>
      <c r="M33" s="326"/>
    </row>
    <row r="34" spans="1:13" ht="12.75" customHeight="1" x14ac:dyDescent="0.25">
      <c r="A34" s="641">
        <v>24</v>
      </c>
      <c r="B34" s="646" t="s">
        <v>178</v>
      </c>
      <c r="C34" s="647" t="s">
        <v>179</v>
      </c>
      <c r="D34" s="59"/>
      <c r="E34" s="60"/>
      <c r="F34" s="60"/>
      <c r="G34" s="60"/>
      <c r="H34" s="61">
        <f t="shared" si="6"/>
        <v>0</v>
      </c>
      <c r="I34" s="62">
        <v>2527</v>
      </c>
      <c r="J34" s="63">
        <v>581</v>
      </c>
      <c r="K34" s="63">
        <v>149</v>
      </c>
      <c r="L34" s="637">
        <f t="shared" si="7"/>
        <v>3257</v>
      </c>
      <c r="M34" s="326">
        <f t="shared" si="8"/>
        <v>3257</v>
      </c>
    </row>
    <row r="35" spans="1:13" ht="12.75" customHeight="1" x14ac:dyDescent="0.25">
      <c r="A35" s="641">
        <v>25</v>
      </c>
      <c r="B35" s="646" t="s">
        <v>180</v>
      </c>
      <c r="C35" s="649" t="s">
        <v>181</v>
      </c>
      <c r="D35" s="59"/>
      <c r="E35" s="60"/>
      <c r="F35" s="60"/>
      <c r="G35" s="60"/>
      <c r="H35" s="61"/>
      <c r="I35" s="62"/>
      <c r="J35" s="63"/>
      <c r="K35" s="63"/>
      <c r="L35" s="637"/>
      <c r="M35" s="326"/>
    </row>
    <row r="36" spans="1:13" ht="12.75" customHeight="1" x14ac:dyDescent="0.25">
      <c r="A36" s="641">
        <v>26</v>
      </c>
      <c r="B36" s="642" t="s">
        <v>123</v>
      </c>
      <c r="C36" s="647" t="s">
        <v>124</v>
      </c>
      <c r="D36" s="59"/>
      <c r="E36" s="60">
        <f>2400+350</f>
        <v>2750</v>
      </c>
      <c r="F36" s="60">
        <f>76</f>
        <v>76</v>
      </c>
      <c r="G36" s="60">
        <f>501-350</f>
        <v>151</v>
      </c>
      <c r="H36" s="61">
        <f t="shared" si="6"/>
        <v>2977</v>
      </c>
      <c r="I36" s="62">
        <v>4826</v>
      </c>
      <c r="J36" s="63">
        <v>319</v>
      </c>
      <c r="K36" s="63"/>
      <c r="L36" s="637">
        <f t="shared" si="7"/>
        <v>5145</v>
      </c>
      <c r="M36" s="326">
        <f t="shared" si="8"/>
        <v>8122</v>
      </c>
    </row>
    <row r="37" spans="1:13" ht="12.75" customHeight="1" x14ac:dyDescent="0.25">
      <c r="A37" s="641">
        <v>27</v>
      </c>
      <c r="B37" s="646" t="s">
        <v>121</v>
      </c>
      <c r="C37" s="647" t="s">
        <v>122</v>
      </c>
      <c r="D37" s="59"/>
      <c r="E37" s="60">
        <v>1795</v>
      </c>
      <c r="F37" s="60">
        <v>67</v>
      </c>
      <c r="G37" s="60">
        <v>596</v>
      </c>
      <c r="H37" s="61">
        <f t="shared" si="6"/>
        <v>2458</v>
      </c>
      <c r="I37" s="62"/>
      <c r="J37" s="63"/>
      <c r="K37" s="63"/>
      <c r="L37" s="637">
        <f t="shared" si="7"/>
        <v>0</v>
      </c>
      <c r="M37" s="326">
        <f t="shared" si="8"/>
        <v>2458</v>
      </c>
    </row>
    <row r="38" spans="1:13" ht="12.75" customHeight="1" x14ac:dyDescent="0.25">
      <c r="A38" s="641">
        <v>28</v>
      </c>
      <c r="B38" s="646" t="s">
        <v>182</v>
      </c>
      <c r="C38" s="648" t="s">
        <v>406</v>
      </c>
      <c r="D38" s="59"/>
      <c r="E38" s="60"/>
      <c r="F38" s="60"/>
      <c r="G38" s="60"/>
      <c r="H38" s="61"/>
      <c r="I38" s="62"/>
      <c r="J38" s="63"/>
      <c r="K38" s="63"/>
      <c r="L38" s="637"/>
      <c r="M38" s="326"/>
    </row>
    <row r="39" spans="1:13" ht="12.75" customHeight="1" x14ac:dyDescent="0.25">
      <c r="A39" s="641">
        <v>29</v>
      </c>
      <c r="B39" s="644" t="s">
        <v>184</v>
      </c>
      <c r="C39" s="649" t="s">
        <v>65</v>
      </c>
      <c r="D39" s="59"/>
      <c r="E39" s="60"/>
      <c r="F39" s="60"/>
      <c r="G39" s="60"/>
      <c r="H39" s="61"/>
      <c r="I39" s="62"/>
      <c r="J39" s="63"/>
      <c r="K39" s="63"/>
      <c r="L39" s="637"/>
      <c r="M39" s="326"/>
    </row>
    <row r="40" spans="1:13" ht="12.75" customHeight="1" x14ac:dyDescent="0.25">
      <c r="A40" s="641">
        <v>30</v>
      </c>
      <c r="B40" s="642" t="s">
        <v>80</v>
      </c>
      <c r="C40" s="649" t="s">
        <v>81</v>
      </c>
      <c r="D40" s="59"/>
      <c r="E40" s="60"/>
      <c r="F40" s="60"/>
      <c r="G40" s="60"/>
      <c r="H40" s="61"/>
      <c r="I40" s="62"/>
      <c r="J40" s="63"/>
      <c r="K40" s="63"/>
      <c r="L40" s="637"/>
      <c r="M40" s="326"/>
    </row>
    <row r="41" spans="1:13" ht="12.75" customHeight="1" x14ac:dyDescent="0.25">
      <c r="A41" s="641">
        <v>31</v>
      </c>
      <c r="B41" s="646" t="s">
        <v>131</v>
      </c>
      <c r="C41" s="649" t="s">
        <v>185</v>
      </c>
      <c r="D41" s="59"/>
      <c r="E41" s="60"/>
      <c r="F41" s="60"/>
      <c r="G41" s="60"/>
      <c r="H41" s="61"/>
      <c r="I41" s="62"/>
      <c r="J41" s="63"/>
      <c r="K41" s="63"/>
      <c r="L41" s="637"/>
      <c r="M41" s="326"/>
    </row>
    <row r="42" spans="1:13" ht="12.75" customHeight="1" x14ac:dyDescent="0.25">
      <c r="A42" s="641">
        <v>32</v>
      </c>
      <c r="B42" s="644" t="s">
        <v>82</v>
      </c>
      <c r="C42" s="647" t="s">
        <v>10</v>
      </c>
      <c r="D42" s="59"/>
      <c r="E42" s="60">
        <f>1420+6</f>
        <v>1426</v>
      </c>
      <c r="F42" s="60">
        <v>54</v>
      </c>
      <c r="G42" s="60"/>
      <c r="H42" s="61">
        <f t="shared" si="6"/>
        <v>1480</v>
      </c>
      <c r="I42" s="62"/>
      <c r="J42" s="63"/>
      <c r="K42" s="63"/>
      <c r="L42" s="637">
        <f t="shared" si="7"/>
        <v>0</v>
      </c>
      <c r="M42" s="326">
        <f t="shared" si="8"/>
        <v>1480</v>
      </c>
    </row>
    <row r="43" spans="1:13" ht="12.75" customHeight="1" x14ac:dyDescent="0.25">
      <c r="A43" s="641">
        <v>33</v>
      </c>
      <c r="B43" s="642" t="s">
        <v>83</v>
      </c>
      <c r="C43" s="647" t="s">
        <v>11</v>
      </c>
      <c r="D43" s="59"/>
      <c r="E43" s="60">
        <v>2140</v>
      </c>
      <c r="F43" s="60">
        <v>82</v>
      </c>
      <c r="G43" s="60"/>
      <c r="H43" s="61">
        <f t="shared" si="6"/>
        <v>2222</v>
      </c>
      <c r="I43" s="62"/>
      <c r="J43" s="63"/>
      <c r="K43" s="63"/>
      <c r="L43" s="637">
        <f t="shared" si="7"/>
        <v>0</v>
      </c>
      <c r="M43" s="326">
        <f t="shared" si="8"/>
        <v>2222</v>
      </c>
    </row>
    <row r="44" spans="1:13" ht="12.75" customHeight="1" x14ac:dyDescent="0.25">
      <c r="A44" s="641">
        <v>34</v>
      </c>
      <c r="B44" s="644" t="s">
        <v>125</v>
      </c>
      <c r="C44" s="645" t="s">
        <v>43</v>
      </c>
      <c r="D44" s="59"/>
      <c r="E44" s="60"/>
      <c r="F44" s="60"/>
      <c r="G44" s="60"/>
      <c r="H44" s="61"/>
      <c r="I44" s="62"/>
      <c r="J44" s="63"/>
      <c r="K44" s="63"/>
      <c r="L44" s="637"/>
      <c r="M44" s="326"/>
    </row>
    <row r="45" spans="1:13" ht="12.75" customHeight="1" x14ac:dyDescent="0.25">
      <c r="A45" s="641">
        <v>35</v>
      </c>
      <c r="B45" s="646" t="s">
        <v>84</v>
      </c>
      <c r="C45" s="647" t="s">
        <v>12</v>
      </c>
      <c r="D45" s="59"/>
      <c r="E45" s="60">
        <f>1059+398</f>
        <v>1457</v>
      </c>
      <c r="F45" s="60">
        <f>41+15</f>
        <v>56</v>
      </c>
      <c r="G45" s="60"/>
      <c r="H45" s="61">
        <f t="shared" si="6"/>
        <v>1513</v>
      </c>
      <c r="I45" s="62"/>
      <c r="J45" s="63"/>
      <c r="K45" s="63"/>
      <c r="L45" s="637">
        <f t="shared" si="7"/>
        <v>0</v>
      </c>
      <c r="M45" s="326">
        <f t="shared" si="8"/>
        <v>1513</v>
      </c>
    </row>
    <row r="46" spans="1:13" ht="12.75" customHeight="1" x14ac:dyDescent="0.25">
      <c r="A46" s="641">
        <v>36</v>
      </c>
      <c r="B46" s="644" t="s">
        <v>85</v>
      </c>
      <c r="C46" s="648" t="s">
        <v>49</v>
      </c>
      <c r="D46" s="59"/>
      <c r="E46" s="60"/>
      <c r="F46" s="60"/>
      <c r="G46" s="60"/>
      <c r="H46" s="61"/>
      <c r="I46" s="62"/>
      <c r="J46" s="63"/>
      <c r="K46" s="63"/>
      <c r="L46" s="637"/>
      <c r="M46" s="326"/>
    </row>
    <row r="47" spans="1:13" ht="12.75" customHeight="1" x14ac:dyDescent="0.25">
      <c r="A47" s="641">
        <v>37</v>
      </c>
      <c r="B47" s="642" t="s">
        <v>126</v>
      </c>
      <c r="C47" s="647" t="s">
        <v>25</v>
      </c>
      <c r="D47" s="59"/>
      <c r="E47" s="60">
        <f>1638-6</f>
        <v>1632</v>
      </c>
      <c r="F47" s="60"/>
      <c r="G47" s="60">
        <v>561</v>
      </c>
      <c r="H47" s="61">
        <f t="shared" si="6"/>
        <v>2193</v>
      </c>
      <c r="I47" s="62"/>
      <c r="J47" s="63"/>
      <c r="K47" s="63"/>
      <c r="L47" s="637">
        <f t="shared" si="7"/>
        <v>0</v>
      </c>
      <c r="M47" s="326">
        <f t="shared" si="8"/>
        <v>2193</v>
      </c>
    </row>
    <row r="48" spans="1:13" ht="12.75" customHeight="1" x14ac:dyDescent="0.25">
      <c r="A48" s="641">
        <v>38</v>
      </c>
      <c r="B48" s="650" t="s">
        <v>127</v>
      </c>
      <c r="C48" s="648" t="s">
        <v>54</v>
      </c>
      <c r="D48" s="59"/>
      <c r="E48" s="60"/>
      <c r="F48" s="60"/>
      <c r="G48" s="60"/>
      <c r="H48" s="61"/>
      <c r="I48" s="62"/>
      <c r="J48" s="63"/>
      <c r="K48" s="63"/>
      <c r="L48" s="637"/>
      <c r="M48" s="326"/>
    </row>
    <row r="49" spans="1:13" ht="12.75" customHeight="1" x14ac:dyDescent="0.25">
      <c r="A49" s="641">
        <v>39</v>
      </c>
      <c r="B49" s="642" t="s">
        <v>86</v>
      </c>
      <c r="C49" s="645" t="s">
        <v>57</v>
      </c>
      <c r="D49" s="59"/>
      <c r="E49" s="60"/>
      <c r="F49" s="60"/>
      <c r="G49" s="60"/>
      <c r="H49" s="61"/>
      <c r="I49" s="62"/>
      <c r="J49" s="63"/>
      <c r="K49" s="63"/>
      <c r="L49" s="637"/>
      <c r="M49" s="326"/>
    </row>
    <row r="50" spans="1:13" ht="12.75" customHeight="1" x14ac:dyDescent="0.25">
      <c r="A50" s="641">
        <v>40</v>
      </c>
      <c r="B50" s="642" t="s">
        <v>87</v>
      </c>
      <c r="C50" s="648" t="s">
        <v>58</v>
      </c>
      <c r="D50" s="59"/>
      <c r="E50" s="60"/>
      <c r="F50" s="60"/>
      <c r="G50" s="60"/>
      <c r="H50" s="61"/>
      <c r="I50" s="62"/>
      <c r="J50" s="63"/>
      <c r="K50" s="63"/>
      <c r="L50" s="637"/>
      <c r="M50" s="326"/>
    </row>
    <row r="51" spans="1:13" ht="12.75" customHeight="1" x14ac:dyDescent="0.25">
      <c r="A51" s="641">
        <v>41</v>
      </c>
      <c r="B51" s="646" t="s">
        <v>128</v>
      </c>
      <c r="C51" s="648" t="s">
        <v>2254</v>
      </c>
      <c r="D51" s="59"/>
      <c r="E51" s="60"/>
      <c r="F51" s="60"/>
      <c r="G51" s="60"/>
      <c r="H51" s="61"/>
      <c r="I51" s="62"/>
      <c r="J51" s="63"/>
      <c r="K51" s="63"/>
      <c r="L51" s="637"/>
      <c r="M51" s="326"/>
    </row>
    <row r="52" spans="1:13" ht="12.75" customHeight="1" x14ac:dyDescent="0.25">
      <c r="A52" s="641">
        <v>42</v>
      </c>
      <c r="B52" s="644" t="s">
        <v>129</v>
      </c>
      <c r="C52" s="647" t="s">
        <v>130</v>
      </c>
      <c r="D52" s="59"/>
      <c r="E52" s="60">
        <v>282</v>
      </c>
      <c r="F52" s="60">
        <v>8</v>
      </c>
      <c r="G52" s="60">
        <v>76</v>
      </c>
      <c r="H52" s="61">
        <f t="shared" si="6"/>
        <v>366</v>
      </c>
      <c r="I52" s="62">
        <f>0+280</f>
        <v>280</v>
      </c>
      <c r="J52" s="63"/>
      <c r="K52" s="63"/>
      <c r="L52" s="637">
        <f t="shared" si="7"/>
        <v>280</v>
      </c>
      <c r="M52" s="326">
        <f t="shared" si="8"/>
        <v>646</v>
      </c>
    </row>
    <row r="53" spans="1:13" ht="12.75" customHeight="1" x14ac:dyDescent="0.25">
      <c r="A53" s="641">
        <v>43</v>
      </c>
      <c r="B53" s="646" t="s">
        <v>88</v>
      </c>
      <c r="C53" s="647" t="s">
        <v>13</v>
      </c>
      <c r="D53" s="59"/>
      <c r="E53" s="60">
        <v>1352</v>
      </c>
      <c r="F53" s="60">
        <v>53</v>
      </c>
      <c r="G53" s="60"/>
      <c r="H53" s="61">
        <f t="shared" si="6"/>
        <v>1405</v>
      </c>
      <c r="I53" s="62">
        <f>1723+2231</f>
        <v>3954</v>
      </c>
      <c r="J53" s="63">
        <v>68</v>
      </c>
      <c r="K53" s="63"/>
      <c r="L53" s="637">
        <f t="shared" si="7"/>
        <v>4022</v>
      </c>
      <c r="M53" s="326">
        <f t="shared" si="8"/>
        <v>5427</v>
      </c>
    </row>
    <row r="54" spans="1:13" ht="12.75" customHeight="1" x14ac:dyDescent="0.25">
      <c r="A54" s="641">
        <v>44</v>
      </c>
      <c r="B54" s="642" t="s">
        <v>132</v>
      </c>
      <c r="C54" s="645" t="s">
        <v>30</v>
      </c>
      <c r="D54" s="59"/>
      <c r="E54" s="60"/>
      <c r="F54" s="60"/>
      <c r="G54" s="60"/>
      <c r="H54" s="61"/>
      <c r="I54" s="62"/>
      <c r="J54" s="63"/>
      <c r="K54" s="63"/>
      <c r="L54" s="637"/>
      <c r="M54" s="326"/>
    </row>
    <row r="55" spans="1:13" ht="12.75" customHeight="1" x14ac:dyDescent="0.25">
      <c r="A55" s="641">
        <v>45</v>
      </c>
      <c r="B55" s="642" t="s">
        <v>133</v>
      </c>
      <c r="C55" s="647" t="s">
        <v>14</v>
      </c>
      <c r="D55" s="59"/>
      <c r="E55" s="60">
        <v>1156</v>
      </c>
      <c r="F55" s="60">
        <v>44</v>
      </c>
      <c r="G55" s="60"/>
      <c r="H55" s="61">
        <f t="shared" si="6"/>
        <v>1200</v>
      </c>
      <c r="I55" s="62"/>
      <c r="J55" s="63"/>
      <c r="K55" s="63"/>
      <c r="L55" s="637">
        <f t="shared" si="7"/>
        <v>0</v>
      </c>
      <c r="M55" s="326">
        <f t="shared" si="8"/>
        <v>1200</v>
      </c>
    </row>
    <row r="56" spans="1:13" ht="12.75" customHeight="1" x14ac:dyDescent="0.25">
      <c r="A56" s="641">
        <v>46</v>
      </c>
      <c r="B56" s="646" t="s">
        <v>134</v>
      </c>
      <c r="C56" s="648" t="s">
        <v>33</v>
      </c>
      <c r="D56" s="59"/>
      <c r="E56" s="60"/>
      <c r="F56" s="60"/>
      <c r="G56" s="60"/>
      <c r="H56" s="61"/>
      <c r="I56" s="62"/>
      <c r="J56" s="63"/>
      <c r="K56" s="63"/>
      <c r="L56" s="637"/>
      <c r="M56" s="326"/>
    </row>
    <row r="57" spans="1:13" ht="12.75" customHeight="1" x14ac:dyDescent="0.25">
      <c r="A57" s="641">
        <v>47</v>
      </c>
      <c r="B57" s="646" t="s">
        <v>89</v>
      </c>
      <c r="C57" s="648" t="s">
        <v>38</v>
      </c>
      <c r="D57" s="59"/>
      <c r="E57" s="60"/>
      <c r="F57" s="60"/>
      <c r="G57" s="60"/>
      <c r="H57" s="61"/>
      <c r="I57" s="62"/>
      <c r="J57" s="63"/>
      <c r="K57" s="63"/>
      <c r="L57" s="637"/>
      <c r="M57" s="326"/>
    </row>
    <row r="58" spans="1:13" ht="12.75" customHeight="1" x14ac:dyDescent="0.25">
      <c r="A58" s="641">
        <v>48</v>
      </c>
      <c r="B58" s="644" t="s">
        <v>90</v>
      </c>
      <c r="C58" s="645" t="s">
        <v>39</v>
      </c>
      <c r="D58" s="59"/>
      <c r="E58" s="60"/>
      <c r="F58" s="60"/>
      <c r="G58" s="60"/>
      <c r="H58" s="61"/>
      <c r="I58" s="62"/>
      <c r="J58" s="63"/>
      <c r="K58" s="63"/>
      <c r="L58" s="637"/>
      <c r="M58" s="326"/>
    </row>
    <row r="59" spans="1:13" ht="12.75" customHeight="1" x14ac:dyDescent="0.25">
      <c r="A59" s="641">
        <v>49</v>
      </c>
      <c r="B59" s="646" t="s">
        <v>135</v>
      </c>
      <c r="C59" s="645" t="s">
        <v>40</v>
      </c>
      <c r="D59" s="59"/>
      <c r="E59" s="60"/>
      <c r="F59" s="60"/>
      <c r="G59" s="60"/>
      <c r="H59" s="61"/>
      <c r="I59" s="62"/>
      <c r="J59" s="63"/>
      <c r="K59" s="63"/>
      <c r="L59" s="637"/>
      <c r="M59" s="326"/>
    </row>
    <row r="60" spans="1:13" ht="12.75" customHeight="1" x14ac:dyDescent="0.25">
      <c r="A60" s="641">
        <v>50</v>
      </c>
      <c r="B60" s="644" t="s">
        <v>91</v>
      </c>
      <c r="C60" s="645" t="s">
        <v>53</v>
      </c>
      <c r="D60" s="59"/>
      <c r="E60" s="60"/>
      <c r="F60" s="60"/>
      <c r="G60" s="60"/>
      <c r="H60" s="61"/>
      <c r="I60" s="62"/>
      <c r="J60" s="63"/>
      <c r="K60" s="63"/>
      <c r="L60" s="637"/>
      <c r="M60" s="326"/>
    </row>
    <row r="61" spans="1:13" ht="12.75" customHeight="1" x14ac:dyDescent="0.25">
      <c r="A61" s="641">
        <v>51</v>
      </c>
      <c r="B61" s="646" t="s">
        <v>92</v>
      </c>
      <c r="C61" s="645" t="s">
        <v>56</v>
      </c>
      <c r="D61" s="59"/>
      <c r="E61" s="60"/>
      <c r="F61" s="60"/>
      <c r="G61" s="60"/>
      <c r="H61" s="61"/>
      <c r="I61" s="62"/>
      <c r="J61" s="63"/>
      <c r="K61" s="63"/>
      <c r="L61" s="637"/>
      <c r="M61" s="326"/>
    </row>
    <row r="62" spans="1:13" ht="12.75" customHeight="1" x14ac:dyDescent="0.25">
      <c r="A62" s="641">
        <v>52</v>
      </c>
      <c r="B62" s="646" t="s">
        <v>136</v>
      </c>
      <c r="C62" s="647" t="s">
        <v>15</v>
      </c>
      <c r="D62" s="59"/>
      <c r="E62" s="60">
        <f>1893+308</f>
        <v>2201</v>
      </c>
      <c r="F62" s="60">
        <v>0</v>
      </c>
      <c r="G62" s="60"/>
      <c r="H62" s="61">
        <f t="shared" si="6"/>
        <v>2201</v>
      </c>
      <c r="I62" s="62"/>
      <c r="J62" s="63"/>
      <c r="K62" s="63"/>
      <c r="L62" s="637">
        <f t="shared" si="7"/>
        <v>0</v>
      </c>
      <c r="M62" s="326">
        <f t="shared" si="8"/>
        <v>2201</v>
      </c>
    </row>
    <row r="63" spans="1:13" ht="12.75" customHeight="1" x14ac:dyDescent="0.25">
      <c r="A63" s="641">
        <v>53</v>
      </c>
      <c r="B63" s="646" t="s">
        <v>137</v>
      </c>
      <c r="C63" s="645" t="s">
        <v>61</v>
      </c>
      <c r="D63" s="59"/>
      <c r="E63" s="60"/>
      <c r="F63" s="60"/>
      <c r="G63" s="60"/>
      <c r="H63" s="61"/>
      <c r="I63" s="62"/>
      <c r="J63" s="63"/>
      <c r="K63" s="63"/>
      <c r="L63" s="637"/>
      <c r="M63" s="326"/>
    </row>
    <row r="64" spans="1:13" ht="12.75" customHeight="1" x14ac:dyDescent="0.25">
      <c r="A64" s="641">
        <v>54</v>
      </c>
      <c r="B64" s="646" t="s">
        <v>186</v>
      </c>
      <c r="C64" s="649" t="s">
        <v>187</v>
      </c>
      <c r="D64" s="59"/>
      <c r="E64" s="60"/>
      <c r="F64" s="60"/>
      <c r="G64" s="60"/>
      <c r="H64" s="61"/>
      <c r="I64" s="62"/>
      <c r="J64" s="63"/>
      <c r="K64" s="63"/>
      <c r="L64" s="637"/>
      <c r="M64" s="326"/>
    </row>
    <row r="65" spans="1:13" ht="12.75" customHeight="1" x14ac:dyDescent="0.25">
      <c r="A65" s="641">
        <v>55</v>
      </c>
      <c r="B65" s="646" t="s">
        <v>188</v>
      </c>
      <c r="C65" s="649" t="s">
        <v>189</v>
      </c>
      <c r="D65" s="59"/>
      <c r="E65" s="60"/>
      <c r="F65" s="60"/>
      <c r="G65" s="60"/>
      <c r="H65" s="61"/>
      <c r="I65" s="62"/>
      <c r="J65" s="63"/>
      <c r="K65" s="63"/>
      <c r="L65" s="637"/>
      <c r="M65" s="326"/>
    </row>
    <row r="66" spans="1:13" ht="12.75" customHeight="1" x14ac:dyDescent="0.25">
      <c r="A66" s="641">
        <v>56</v>
      </c>
      <c r="B66" s="646" t="s">
        <v>190</v>
      </c>
      <c r="C66" s="649" t="s">
        <v>191</v>
      </c>
      <c r="D66" s="59"/>
      <c r="E66" s="60"/>
      <c r="F66" s="60"/>
      <c r="G66" s="60"/>
      <c r="H66" s="61"/>
      <c r="I66" s="62"/>
      <c r="J66" s="63"/>
      <c r="K66" s="63"/>
      <c r="L66" s="637"/>
      <c r="M66" s="326"/>
    </row>
    <row r="67" spans="1:13" ht="12.75" customHeight="1" x14ac:dyDescent="0.25">
      <c r="A67" s="641">
        <v>57</v>
      </c>
      <c r="B67" s="644" t="s">
        <v>192</v>
      </c>
      <c r="C67" s="649" t="s">
        <v>343</v>
      </c>
      <c r="D67" s="59"/>
      <c r="E67" s="60"/>
      <c r="F67" s="60"/>
      <c r="G67" s="60"/>
      <c r="H67" s="61"/>
      <c r="I67" s="62"/>
      <c r="J67" s="63"/>
      <c r="K67" s="63"/>
      <c r="L67" s="637"/>
      <c r="M67" s="326"/>
    </row>
    <row r="68" spans="1:13" ht="12.75" customHeight="1" x14ac:dyDescent="0.25">
      <c r="A68" s="641">
        <v>58</v>
      </c>
      <c r="B68" s="642" t="s">
        <v>194</v>
      </c>
      <c r="C68" s="649" t="s">
        <v>195</v>
      </c>
      <c r="D68" s="59"/>
      <c r="E68" s="60"/>
      <c r="F68" s="60"/>
      <c r="G68" s="60"/>
      <c r="H68" s="61"/>
      <c r="I68" s="62"/>
      <c r="J68" s="63"/>
      <c r="K68" s="63"/>
      <c r="L68" s="637"/>
      <c r="M68" s="326"/>
    </row>
    <row r="69" spans="1:13" ht="12.75" customHeight="1" x14ac:dyDescent="0.25">
      <c r="A69" s="641">
        <v>59</v>
      </c>
      <c r="B69" s="644" t="s">
        <v>196</v>
      </c>
      <c r="C69" s="645" t="s">
        <v>2255</v>
      </c>
      <c r="D69" s="59"/>
      <c r="E69" s="60"/>
      <c r="F69" s="60"/>
      <c r="G69" s="60"/>
      <c r="H69" s="61"/>
      <c r="I69" s="62"/>
      <c r="J69" s="63"/>
      <c r="K69" s="63"/>
      <c r="L69" s="637"/>
      <c r="M69" s="326"/>
    </row>
    <row r="70" spans="1:13" ht="12.75" customHeight="1" x14ac:dyDescent="0.25">
      <c r="A70" s="641">
        <v>60</v>
      </c>
      <c r="B70" s="646" t="s">
        <v>198</v>
      </c>
      <c r="C70" s="649" t="s">
        <v>199</v>
      </c>
      <c r="D70" s="59"/>
      <c r="E70" s="60"/>
      <c r="F70" s="60"/>
      <c r="G70" s="60"/>
      <c r="H70" s="61"/>
      <c r="I70" s="62"/>
      <c r="J70" s="63"/>
      <c r="K70" s="63"/>
      <c r="L70" s="637"/>
      <c r="M70" s="326"/>
    </row>
    <row r="71" spans="1:13" ht="12.75" customHeight="1" x14ac:dyDescent="0.25">
      <c r="A71" s="641">
        <v>61</v>
      </c>
      <c r="B71" s="642" t="s">
        <v>200</v>
      </c>
      <c r="C71" s="649" t="s">
        <v>543</v>
      </c>
      <c r="D71" s="59"/>
      <c r="E71" s="60"/>
      <c r="F71" s="60"/>
      <c r="G71" s="60"/>
      <c r="H71" s="61"/>
      <c r="I71" s="62"/>
      <c r="J71" s="63"/>
      <c r="K71" s="63"/>
      <c r="L71" s="637"/>
      <c r="M71" s="326"/>
    </row>
    <row r="72" spans="1:13" ht="12.75" customHeight="1" x14ac:dyDescent="0.25">
      <c r="A72" s="641">
        <v>62</v>
      </c>
      <c r="B72" s="642" t="s">
        <v>202</v>
      </c>
      <c r="C72" s="649" t="s">
        <v>544</v>
      </c>
      <c r="D72" s="59"/>
      <c r="E72" s="60"/>
      <c r="F72" s="60"/>
      <c r="G72" s="60"/>
      <c r="H72" s="61"/>
      <c r="I72" s="62"/>
      <c r="J72" s="63"/>
      <c r="K72" s="63"/>
      <c r="L72" s="637"/>
      <c r="M72" s="326"/>
    </row>
    <row r="73" spans="1:13" ht="12.75" customHeight="1" x14ac:dyDescent="0.25">
      <c r="A73" s="641">
        <v>63</v>
      </c>
      <c r="B73" s="644" t="s">
        <v>151</v>
      </c>
      <c r="C73" s="645" t="s">
        <v>2256</v>
      </c>
      <c r="D73" s="59"/>
      <c r="E73" s="60"/>
      <c r="F73" s="60"/>
      <c r="G73" s="60"/>
      <c r="H73" s="61"/>
      <c r="I73" s="62"/>
      <c r="J73" s="63"/>
      <c r="K73" s="63"/>
      <c r="L73" s="637"/>
      <c r="M73" s="326"/>
    </row>
    <row r="74" spans="1:13" ht="12.75" customHeight="1" x14ac:dyDescent="0.25">
      <c r="A74" s="641">
        <v>64</v>
      </c>
      <c r="B74" s="644" t="s">
        <v>152</v>
      </c>
      <c r="C74" s="647" t="s">
        <v>153</v>
      </c>
      <c r="D74" s="59"/>
      <c r="E74" s="60">
        <f>787</f>
        <v>787</v>
      </c>
      <c r="F74" s="60">
        <f>24</f>
        <v>24</v>
      </c>
      <c r="G74" s="60">
        <f>211</f>
        <v>211</v>
      </c>
      <c r="H74" s="61">
        <f t="shared" si="6"/>
        <v>1022</v>
      </c>
      <c r="I74" s="62"/>
      <c r="J74" s="63"/>
      <c r="K74" s="63"/>
      <c r="L74" s="637">
        <f t="shared" si="7"/>
        <v>0</v>
      </c>
      <c r="M74" s="326">
        <f t="shared" si="8"/>
        <v>1022</v>
      </c>
    </row>
    <row r="75" spans="1:13" ht="12.75" customHeight="1" x14ac:dyDescent="0.25">
      <c r="A75" s="641">
        <v>65</v>
      </c>
      <c r="B75" s="644" t="s">
        <v>154</v>
      </c>
      <c r="C75" s="645" t="s">
        <v>2258</v>
      </c>
      <c r="D75" s="59"/>
      <c r="E75" s="60"/>
      <c r="F75" s="60"/>
      <c r="G75" s="60"/>
      <c r="H75" s="61"/>
      <c r="I75" s="62"/>
      <c r="J75" s="63"/>
      <c r="K75" s="63"/>
      <c r="L75" s="637"/>
      <c r="M75" s="326"/>
    </row>
    <row r="76" spans="1:13" ht="27.75" customHeight="1" x14ac:dyDescent="0.25">
      <c r="A76" s="641">
        <v>66</v>
      </c>
      <c r="B76" s="644" t="s">
        <v>206</v>
      </c>
      <c r="C76" s="649" t="s">
        <v>545</v>
      </c>
      <c r="D76" s="59"/>
      <c r="E76" s="60"/>
      <c r="F76" s="60"/>
      <c r="G76" s="60"/>
      <c r="H76" s="61"/>
      <c r="I76" s="62"/>
      <c r="J76" s="63"/>
      <c r="K76" s="63"/>
      <c r="L76" s="637"/>
      <c r="M76" s="326"/>
    </row>
    <row r="77" spans="1:13" ht="27.75" customHeight="1" x14ac:dyDescent="0.25">
      <c r="A77" s="641">
        <v>67</v>
      </c>
      <c r="B77" s="642" t="s">
        <v>208</v>
      </c>
      <c r="C77" s="649" t="s">
        <v>386</v>
      </c>
      <c r="D77" s="59"/>
      <c r="E77" s="60"/>
      <c r="F77" s="60"/>
      <c r="G77" s="60"/>
      <c r="H77" s="61"/>
      <c r="I77" s="62"/>
      <c r="J77" s="63"/>
      <c r="K77" s="63"/>
      <c r="L77" s="637"/>
      <c r="M77" s="326"/>
    </row>
    <row r="78" spans="1:13" ht="27.75" customHeight="1" x14ac:dyDescent="0.25">
      <c r="A78" s="641">
        <v>68</v>
      </c>
      <c r="B78" s="644" t="s">
        <v>210</v>
      </c>
      <c r="C78" s="649" t="s">
        <v>546</v>
      </c>
      <c r="D78" s="59"/>
      <c r="E78" s="60"/>
      <c r="F78" s="60"/>
      <c r="G78" s="60"/>
      <c r="H78" s="61"/>
      <c r="I78" s="62"/>
      <c r="J78" s="63"/>
      <c r="K78" s="63"/>
      <c r="L78" s="637"/>
      <c r="M78" s="326"/>
    </row>
    <row r="79" spans="1:13" ht="27.75" customHeight="1" x14ac:dyDescent="0.25">
      <c r="A79" s="641">
        <v>69</v>
      </c>
      <c r="B79" s="644" t="s">
        <v>212</v>
      </c>
      <c r="C79" s="649" t="s">
        <v>547</v>
      </c>
      <c r="D79" s="59"/>
      <c r="E79" s="60"/>
      <c r="F79" s="60"/>
      <c r="G79" s="60"/>
      <c r="H79" s="61"/>
      <c r="I79" s="62"/>
      <c r="J79" s="63"/>
      <c r="K79" s="63"/>
      <c r="L79" s="637"/>
      <c r="M79" s="326"/>
    </row>
    <row r="80" spans="1:13" ht="27.75" customHeight="1" x14ac:dyDescent="0.25">
      <c r="A80" s="641">
        <v>70</v>
      </c>
      <c r="B80" s="642" t="s">
        <v>214</v>
      </c>
      <c r="C80" s="649" t="s">
        <v>548</v>
      </c>
      <c r="D80" s="59"/>
      <c r="E80" s="60"/>
      <c r="F80" s="60"/>
      <c r="G80" s="60"/>
      <c r="H80" s="61"/>
      <c r="I80" s="62"/>
      <c r="J80" s="63"/>
      <c r="K80" s="63"/>
      <c r="L80" s="637"/>
      <c r="M80" s="326"/>
    </row>
    <row r="81" spans="1:13" ht="27.75" customHeight="1" x14ac:dyDescent="0.25">
      <c r="A81" s="641">
        <v>71</v>
      </c>
      <c r="B81" s="642" t="s">
        <v>216</v>
      </c>
      <c r="C81" s="649" t="s">
        <v>549</v>
      </c>
      <c r="D81" s="59"/>
      <c r="E81" s="60"/>
      <c r="F81" s="60"/>
      <c r="G81" s="60"/>
      <c r="H81" s="61"/>
      <c r="I81" s="62"/>
      <c r="J81" s="63"/>
      <c r="K81" s="63"/>
      <c r="L81" s="637"/>
      <c r="M81" s="326"/>
    </row>
    <row r="82" spans="1:13" ht="27.75" customHeight="1" x14ac:dyDescent="0.25">
      <c r="A82" s="641">
        <v>72</v>
      </c>
      <c r="B82" s="642" t="s">
        <v>218</v>
      </c>
      <c r="C82" s="649" t="s">
        <v>550</v>
      </c>
      <c r="D82" s="59"/>
      <c r="E82" s="60"/>
      <c r="F82" s="60"/>
      <c r="G82" s="60"/>
      <c r="H82" s="61"/>
      <c r="I82" s="62"/>
      <c r="J82" s="63"/>
      <c r="K82" s="63"/>
      <c r="L82" s="637"/>
      <c r="M82" s="326"/>
    </row>
    <row r="83" spans="1:13" ht="12.75" customHeight="1" x14ac:dyDescent="0.25">
      <c r="A83" s="641">
        <v>73</v>
      </c>
      <c r="B83" s="646" t="s">
        <v>148</v>
      </c>
      <c r="C83" s="647" t="s">
        <v>16</v>
      </c>
      <c r="D83" s="59"/>
      <c r="E83" s="60">
        <f>952-887+725</f>
        <v>790</v>
      </c>
      <c r="F83" s="60">
        <f>40-37+30</f>
        <v>33</v>
      </c>
      <c r="G83" s="60"/>
      <c r="H83" s="61">
        <f t="shared" si="6"/>
        <v>823</v>
      </c>
      <c r="I83" s="62"/>
      <c r="J83" s="63"/>
      <c r="K83" s="63"/>
      <c r="L83" s="637"/>
      <c r="M83" s="326">
        <f t="shared" si="8"/>
        <v>823</v>
      </c>
    </row>
    <row r="84" spans="1:13" ht="12.75" customHeight="1" x14ac:dyDescent="0.25">
      <c r="A84" s="641">
        <v>74</v>
      </c>
      <c r="B84" s="642" t="s">
        <v>145</v>
      </c>
      <c r="C84" s="645" t="s">
        <v>2260</v>
      </c>
      <c r="D84" s="59"/>
      <c r="E84" s="60"/>
      <c r="F84" s="60"/>
      <c r="G84" s="60"/>
      <c r="H84" s="61"/>
      <c r="I84" s="62"/>
      <c r="J84" s="63"/>
      <c r="K84" s="63"/>
      <c r="L84" s="637"/>
      <c r="M84" s="326"/>
    </row>
    <row r="85" spans="1:13" ht="12.75" customHeight="1" x14ac:dyDescent="0.25">
      <c r="A85" s="641">
        <v>75</v>
      </c>
      <c r="B85" s="646" t="s">
        <v>146</v>
      </c>
      <c r="C85" s="647" t="s">
        <v>147</v>
      </c>
      <c r="D85" s="59"/>
      <c r="E85" s="60">
        <f>795+651</f>
        <v>1446</v>
      </c>
      <c r="F85" s="60">
        <f>24+20</f>
        <v>44</v>
      </c>
      <c r="G85" s="68">
        <f>0+175</f>
        <v>175</v>
      </c>
      <c r="H85" s="61">
        <f t="shared" si="6"/>
        <v>1665</v>
      </c>
      <c r="I85" s="62"/>
      <c r="J85" s="63"/>
      <c r="K85" s="63"/>
      <c r="L85" s="637">
        <f t="shared" si="7"/>
        <v>0</v>
      </c>
      <c r="M85" s="326">
        <f t="shared" si="8"/>
        <v>1665</v>
      </c>
    </row>
    <row r="86" spans="1:13" ht="12.75" customHeight="1" x14ac:dyDescent="0.25">
      <c r="A86" s="641">
        <v>76</v>
      </c>
      <c r="B86" s="642" t="s">
        <v>140</v>
      </c>
      <c r="C86" s="645" t="s">
        <v>2261</v>
      </c>
      <c r="D86" s="59"/>
      <c r="E86" s="60"/>
      <c r="F86" s="60"/>
      <c r="G86" s="68"/>
      <c r="H86" s="61"/>
      <c r="I86" s="62"/>
      <c r="J86" s="63"/>
      <c r="K86" s="63"/>
      <c r="L86" s="637"/>
      <c r="M86" s="326"/>
    </row>
    <row r="87" spans="1:13" ht="12.75" customHeight="1" x14ac:dyDescent="0.25">
      <c r="A87" s="641">
        <v>77</v>
      </c>
      <c r="B87" s="642" t="s">
        <v>142</v>
      </c>
      <c r="C87" s="647" t="s">
        <v>143</v>
      </c>
      <c r="D87" s="59">
        <f>30320+1247</f>
        <v>31567</v>
      </c>
      <c r="E87" s="60">
        <f>4253+886</f>
        <v>5139</v>
      </c>
      <c r="F87" s="60">
        <f>164-9</f>
        <v>155</v>
      </c>
      <c r="G87" s="60">
        <f>1277-175</f>
        <v>1102</v>
      </c>
      <c r="H87" s="61">
        <f t="shared" si="6"/>
        <v>37963</v>
      </c>
      <c r="I87" s="62"/>
      <c r="J87" s="63"/>
      <c r="K87" s="63"/>
      <c r="L87" s="637">
        <f t="shared" si="7"/>
        <v>0</v>
      </c>
      <c r="M87" s="326">
        <f t="shared" si="8"/>
        <v>37963</v>
      </c>
    </row>
    <row r="88" spans="1:13" ht="12.75" customHeight="1" x14ac:dyDescent="0.25">
      <c r="A88" s="641">
        <v>78</v>
      </c>
      <c r="B88" s="642" t="s">
        <v>221</v>
      </c>
      <c r="C88" s="647" t="s">
        <v>222</v>
      </c>
      <c r="D88" s="59"/>
      <c r="E88" s="60">
        <v>2315</v>
      </c>
      <c r="F88" s="60">
        <v>16</v>
      </c>
      <c r="G88" s="60">
        <v>147</v>
      </c>
      <c r="H88" s="61">
        <f t="shared" si="6"/>
        <v>2478</v>
      </c>
      <c r="I88" s="62">
        <v>2923</v>
      </c>
      <c r="J88" s="63"/>
      <c r="K88" s="63"/>
      <c r="L88" s="637">
        <f t="shared" si="7"/>
        <v>2923</v>
      </c>
      <c r="M88" s="326">
        <f t="shared" si="8"/>
        <v>5401</v>
      </c>
    </row>
    <row r="89" spans="1:13" ht="12.75" customHeight="1" x14ac:dyDescent="0.25">
      <c r="A89" s="641">
        <v>79</v>
      </c>
      <c r="B89" s="642" t="s">
        <v>144</v>
      </c>
      <c r="C89" s="647" t="s">
        <v>334</v>
      </c>
      <c r="D89" s="59"/>
      <c r="E89" s="60">
        <v>332</v>
      </c>
      <c r="F89" s="60">
        <v>10</v>
      </c>
      <c r="G89" s="60">
        <v>89</v>
      </c>
      <c r="H89" s="61">
        <f t="shared" si="6"/>
        <v>431</v>
      </c>
      <c r="I89" s="62">
        <v>423</v>
      </c>
      <c r="J89" s="63">
        <v>17</v>
      </c>
      <c r="K89" s="63">
        <v>25</v>
      </c>
      <c r="L89" s="637">
        <f t="shared" si="7"/>
        <v>465</v>
      </c>
      <c r="M89" s="326">
        <f t="shared" si="8"/>
        <v>896</v>
      </c>
    </row>
    <row r="90" spans="1:13" ht="12.75" customHeight="1" x14ac:dyDescent="0.25">
      <c r="A90" s="641">
        <v>80</v>
      </c>
      <c r="B90" s="642" t="s">
        <v>224</v>
      </c>
      <c r="C90" s="649" t="s">
        <v>225</v>
      </c>
      <c r="D90" s="59"/>
      <c r="E90" s="60"/>
      <c r="F90" s="60"/>
      <c r="G90" s="60"/>
      <c r="H90" s="61"/>
      <c r="I90" s="62"/>
      <c r="J90" s="63"/>
      <c r="K90" s="63"/>
      <c r="L90" s="637"/>
      <c r="M90" s="326"/>
    </row>
    <row r="91" spans="1:13" ht="12.75" customHeight="1" x14ac:dyDescent="0.25">
      <c r="A91" s="641">
        <v>81</v>
      </c>
      <c r="B91" s="644" t="s">
        <v>93</v>
      </c>
      <c r="C91" s="649" t="s">
        <v>551</v>
      </c>
      <c r="D91" s="59"/>
      <c r="E91" s="60"/>
      <c r="F91" s="60"/>
      <c r="G91" s="60"/>
      <c r="H91" s="61"/>
      <c r="I91" s="62"/>
      <c r="J91" s="63"/>
      <c r="K91" s="63"/>
      <c r="L91" s="637"/>
      <c r="M91" s="326"/>
    </row>
    <row r="92" spans="1:13" ht="12.75" customHeight="1" x14ac:dyDescent="0.25">
      <c r="A92" s="641">
        <v>82</v>
      </c>
      <c r="B92" s="646" t="s">
        <v>157</v>
      </c>
      <c r="C92" s="647" t="s">
        <v>17</v>
      </c>
      <c r="D92" s="59"/>
      <c r="E92" s="60">
        <v>373</v>
      </c>
      <c r="F92" s="60">
        <v>0</v>
      </c>
      <c r="G92" s="60">
        <f>491-417</f>
        <v>74</v>
      </c>
      <c r="H92" s="61">
        <f t="shared" si="6"/>
        <v>447</v>
      </c>
      <c r="I92" s="62">
        <v>134</v>
      </c>
      <c r="J92" s="63">
        <v>5</v>
      </c>
      <c r="K92" s="63"/>
      <c r="L92" s="637">
        <f t="shared" si="7"/>
        <v>139</v>
      </c>
      <c r="M92" s="326">
        <f t="shared" si="8"/>
        <v>586</v>
      </c>
    </row>
    <row r="93" spans="1:13" ht="12.75" customHeight="1" x14ac:dyDescent="0.25">
      <c r="A93" s="641">
        <v>83</v>
      </c>
      <c r="B93" s="644" t="s">
        <v>226</v>
      </c>
      <c r="C93" s="649" t="s">
        <v>227</v>
      </c>
      <c r="D93" s="59"/>
      <c r="E93" s="60"/>
      <c r="F93" s="60"/>
      <c r="G93" s="60"/>
      <c r="H93" s="61"/>
      <c r="I93" s="62"/>
      <c r="J93" s="63"/>
      <c r="K93" s="63"/>
      <c r="L93" s="637"/>
      <c r="M93" s="326"/>
    </row>
    <row r="94" spans="1:13" ht="12.75" customHeight="1" x14ac:dyDescent="0.25">
      <c r="A94" s="641">
        <v>84</v>
      </c>
      <c r="B94" s="644" t="s">
        <v>155</v>
      </c>
      <c r="C94" s="649" t="s">
        <v>156</v>
      </c>
      <c r="D94" s="59"/>
      <c r="E94" s="60"/>
      <c r="F94" s="60"/>
      <c r="G94" s="60"/>
      <c r="H94" s="61"/>
      <c r="I94" s="62"/>
      <c r="J94" s="63"/>
      <c r="K94" s="63"/>
      <c r="L94" s="637"/>
      <c r="M94" s="326"/>
    </row>
    <row r="95" spans="1:13" ht="12.75" customHeight="1" x14ac:dyDescent="0.25">
      <c r="A95" s="641">
        <v>85</v>
      </c>
      <c r="B95" s="646" t="s">
        <v>158</v>
      </c>
      <c r="C95" s="647" t="s">
        <v>228</v>
      </c>
      <c r="D95" s="59"/>
      <c r="E95" s="60">
        <f>2944-952+887-725</f>
        <v>2154</v>
      </c>
      <c r="F95" s="60">
        <f>111-40+37-30</f>
        <v>78</v>
      </c>
      <c r="G95" s="60"/>
      <c r="H95" s="61">
        <f t="shared" si="6"/>
        <v>2232</v>
      </c>
      <c r="I95" s="62"/>
      <c r="J95" s="63"/>
      <c r="K95" s="63"/>
      <c r="L95" s="637">
        <f t="shared" si="7"/>
        <v>0</v>
      </c>
      <c r="M95" s="326">
        <f t="shared" si="8"/>
        <v>2232</v>
      </c>
    </row>
    <row r="96" spans="1:13" ht="12.75" customHeight="1" x14ac:dyDescent="0.25">
      <c r="A96" s="641">
        <v>86</v>
      </c>
      <c r="B96" s="644" t="s">
        <v>95</v>
      </c>
      <c r="C96" s="648" t="s">
        <v>27</v>
      </c>
      <c r="D96" s="59"/>
      <c r="E96" s="60"/>
      <c r="F96" s="60"/>
      <c r="G96" s="60"/>
      <c r="H96" s="61"/>
      <c r="I96" s="62"/>
      <c r="J96" s="63"/>
      <c r="K96" s="63"/>
      <c r="L96" s="637"/>
      <c r="M96" s="326"/>
    </row>
    <row r="97" spans="1:13" ht="12.75" customHeight="1" x14ac:dyDescent="0.25">
      <c r="A97" s="641">
        <v>87</v>
      </c>
      <c r="B97" s="646" t="s">
        <v>138</v>
      </c>
      <c r="C97" s="648" t="s">
        <v>32</v>
      </c>
      <c r="D97" s="59"/>
      <c r="E97" s="60"/>
      <c r="F97" s="60"/>
      <c r="G97" s="60"/>
      <c r="H97" s="61"/>
      <c r="I97" s="62"/>
      <c r="J97" s="63"/>
      <c r="K97" s="63"/>
      <c r="L97" s="637"/>
      <c r="M97" s="326"/>
    </row>
    <row r="98" spans="1:13" ht="12.75" customHeight="1" x14ac:dyDescent="0.25">
      <c r="A98" s="641">
        <v>88</v>
      </c>
      <c r="B98" s="646" t="s">
        <v>96</v>
      </c>
      <c r="C98" s="647" t="s">
        <v>18</v>
      </c>
      <c r="D98" s="59"/>
      <c r="E98" s="60">
        <v>316</v>
      </c>
      <c r="F98" s="60"/>
      <c r="G98" s="60"/>
      <c r="H98" s="61">
        <f t="shared" si="6"/>
        <v>316</v>
      </c>
      <c r="I98" s="62"/>
      <c r="J98" s="63"/>
      <c r="K98" s="63"/>
      <c r="L98" s="637">
        <f t="shared" si="7"/>
        <v>0</v>
      </c>
      <c r="M98" s="326">
        <f t="shared" si="8"/>
        <v>316</v>
      </c>
    </row>
    <row r="99" spans="1:13" ht="12.75" customHeight="1" x14ac:dyDescent="0.25">
      <c r="A99" s="641">
        <v>89</v>
      </c>
      <c r="B99" s="644" t="s">
        <v>139</v>
      </c>
      <c r="C99" s="647" t="s">
        <v>19</v>
      </c>
      <c r="D99" s="59"/>
      <c r="E99" s="60">
        <v>511</v>
      </c>
      <c r="F99" s="60"/>
      <c r="G99" s="60"/>
      <c r="H99" s="61">
        <f t="shared" si="6"/>
        <v>511</v>
      </c>
      <c r="I99" s="62"/>
      <c r="J99" s="63"/>
      <c r="K99" s="63"/>
      <c r="L99" s="637">
        <f t="shared" si="7"/>
        <v>0</v>
      </c>
      <c r="M99" s="326">
        <f t="shared" si="8"/>
        <v>511</v>
      </c>
    </row>
    <row r="100" spans="1:13" ht="12.75" customHeight="1" x14ac:dyDescent="0.25">
      <c r="A100" s="641">
        <v>90</v>
      </c>
      <c r="B100" s="644" t="s">
        <v>97</v>
      </c>
      <c r="C100" s="645" t="s">
        <v>34</v>
      </c>
      <c r="D100" s="59"/>
      <c r="E100" s="60"/>
      <c r="F100" s="60"/>
      <c r="G100" s="60"/>
      <c r="H100" s="61"/>
      <c r="I100" s="62"/>
      <c r="J100" s="63"/>
      <c r="K100" s="63"/>
      <c r="L100" s="637"/>
      <c r="M100" s="326"/>
    </row>
    <row r="101" spans="1:13" ht="12.75" customHeight="1" x14ac:dyDescent="0.25">
      <c r="A101" s="641">
        <v>91</v>
      </c>
      <c r="B101" s="642" t="s">
        <v>98</v>
      </c>
      <c r="C101" s="645" t="s">
        <v>42</v>
      </c>
      <c r="D101" s="59"/>
      <c r="E101" s="60"/>
      <c r="F101" s="60"/>
      <c r="G101" s="60"/>
      <c r="H101" s="61"/>
      <c r="I101" s="62"/>
      <c r="J101" s="63"/>
      <c r="K101" s="63"/>
      <c r="L101" s="637"/>
      <c r="M101" s="326"/>
    </row>
    <row r="102" spans="1:13" ht="12.75" customHeight="1" x14ac:dyDescent="0.25">
      <c r="A102" s="641">
        <v>92</v>
      </c>
      <c r="B102" s="642" t="s">
        <v>99</v>
      </c>
      <c r="C102" s="645" t="s">
        <v>2264</v>
      </c>
      <c r="D102" s="59"/>
      <c r="E102" s="60"/>
      <c r="F102" s="60"/>
      <c r="G102" s="60"/>
      <c r="H102" s="61"/>
      <c r="I102" s="62"/>
      <c r="J102" s="63"/>
      <c r="K102" s="63"/>
      <c r="L102" s="637"/>
      <c r="M102" s="326"/>
    </row>
    <row r="103" spans="1:13" ht="12.75" customHeight="1" x14ac:dyDescent="0.25">
      <c r="A103" s="641">
        <v>93</v>
      </c>
      <c r="B103" s="646" t="s">
        <v>149</v>
      </c>
      <c r="C103" s="648" t="s">
        <v>47</v>
      </c>
      <c r="D103" s="59"/>
      <c r="E103" s="60"/>
      <c r="F103" s="60"/>
      <c r="G103" s="60"/>
      <c r="H103" s="61"/>
      <c r="I103" s="62"/>
      <c r="J103" s="63"/>
      <c r="K103" s="63"/>
      <c r="L103" s="637"/>
      <c r="M103" s="326"/>
    </row>
    <row r="104" spans="1:13" ht="12.75" customHeight="1" x14ac:dyDescent="0.25">
      <c r="A104" s="641">
        <v>94</v>
      </c>
      <c r="B104" s="642" t="s">
        <v>100</v>
      </c>
      <c r="C104" s="645" t="s">
        <v>50</v>
      </c>
      <c r="D104" s="59"/>
      <c r="E104" s="60"/>
      <c r="F104" s="60"/>
      <c r="G104" s="60"/>
      <c r="H104" s="61"/>
      <c r="I104" s="62"/>
      <c r="J104" s="63"/>
      <c r="K104" s="63"/>
      <c r="L104" s="637"/>
      <c r="M104" s="326"/>
    </row>
    <row r="105" spans="1:13" ht="12.75" customHeight="1" x14ac:dyDescent="0.25">
      <c r="A105" s="641">
        <v>95</v>
      </c>
      <c r="B105" s="642" t="s">
        <v>150</v>
      </c>
      <c r="C105" s="648" t="s">
        <v>51</v>
      </c>
      <c r="D105" s="59"/>
      <c r="E105" s="60"/>
      <c r="F105" s="60"/>
      <c r="G105" s="60"/>
      <c r="H105" s="61"/>
      <c r="I105" s="62"/>
      <c r="J105" s="63"/>
      <c r="K105" s="63"/>
      <c r="L105" s="637"/>
      <c r="M105" s="326"/>
    </row>
    <row r="106" spans="1:13" ht="12.75" customHeight="1" x14ac:dyDescent="0.25">
      <c r="A106" s="641">
        <v>96</v>
      </c>
      <c r="B106" s="644" t="s">
        <v>101</v>
      </c>
      <c r="C106" s="647" t="s">
        <v>20</v>
      </c>
      <c r="D106" s="59"/>
      <c r="E106" s="60">
        <v>442</v>
      </c>
      <c r="F106" s="60">
        <v>45</v>
      </c>
      <c r="G106" s="60">
        <v>496</v>
      </c>
      <c r="H106" s="61">
        <f t="shared" si="6"/>
        <v>983</v>
      </c>
      <c r="I106" s="62"/>
      <c r="J106" s="63"/>
      <c r="K106" s="63"/>
      <c r="L106" s="637">
        <f t="shared" si="7"/>
        <v>0</v>
      </c>
      <c r="M106" s="326">
        <f t="shared" si="8"/>
        <v>983</v>
      </c>
    </row>
    <row r="107" spans="1:13" ht="12.75" customHeight="1" x14ac:dyDescent="0.25">
      <c r="A107" s="641">
        <v>97</v>
      </c>
      <c r="B107" s="646" t="s">
        <v>102</v>
      </c>
      <c r="C107" s="645" t="s">
        <v>55</v>
      </c>
      <c r="D107" s="59"/>
      <c r="E107" s="60"/>
      <c r="F107" s="60"/>
      <c r="G107" s="60"/>
      <c r="H107" s="61"/>
      <c r="I107" s="62"/>
      <c r="J107" s="63"/>
      <c r="K107" s="63"/>
      <c r="L107" s="637"/>
      <c r="M107" s="326"/>
    </row>
    <row r="108" spans="1:13" ht="12.75" customHeight="1" x14ac:dyDescent="0.25">
      <c r="A108" s="641">
        <v>98</v>
      </c>
      <c r="B108" s="646" t="s">
        <v>103</v>
      </c>
      <c r="C108" s="645" t="s">
        <v>60</v>
      </c>
      <c r="D108" s="59"/>
      <c r="E108" s="60"/>
      <c r="F108" s="60"/>
      <c r="G108" s="60"/>
      <c r="H108" s="61"/>
      <c r="I108" s="62"/>
      <c r="J108" s="63"/>
      <c r="K108" s="63"/>
      <c r="L108" s="637"/>
      <c r="M108" s="326"/>
    </row>
    <row r="109" spans="1:13" ht="12.75" customHeight="1" x14ac:dyDescent="0.25">
      <c r="A109" s="641">
        <v>99</v>
      </c>
      <c r="B109" s="642" t="s">
        <v>104</v>
      </c>
      <c r="C109" s="647" t="s">
        <v>21</v>
      </c>
      <c r="D109" s="59"/>
      <c r="E109" s="60">
        <v>647</v>
      </c>
      <c r="F109" s="60">
        <v>25</v>
      </c>
      <c r="G109" s="60"/>
      <c r="H109" s="61">
        <f t="shared" si="6"/>
        <v>672</v>
      </c>
      <c r="I109" s="62"/>
      <c r="J109" s="63"/>
      <c r="K109" s="63"/>
      <c r="L109" s="637">
        <f t="shared" si="7"/>
        <v>0</v>
      </c>
      <c r="M109" s="326">
        <f t="shared" si="8"/>
        <v>672</v>
      </c>
    </row>
    <row r="110" spans="1:13" ht="12.75" customHeight="1" x14ac:dyDescent="0.25">
      <c r="A110" s="641">
        <v>100</v>
      </c>
      <c r="B110" s="644" t="s">
        <v>105</v>
      </c>
      <c r="C110" s="648" t="s">
        <v>62</v>
      </c>
      <c r="D110" s="59"/>
      <c r="E110" s="60"/>
      <c r="F110" s="60"/>
      <c r="G110" s="60"/>
      <c r="H110" s="61"/>
      <c r="I110" s="62"/>
      <c r="J110" s="63"/>
      <c r="K110" s="63"/>
      <c r="L110" s="637"/>
      <c r="M110" s="326"/>
    </row>
    <row r="111" spans="1:13" ht="12.75" customHeight="1" x14ac:dyDescent="0.25">
      <c r="A111" s="641">
        <v>101</v>
      </c>
      <c r="B111" s="642" t="s">
        <v>229</v>
      </c>
      <c r="C111" s="649" t="s">
        <v>230</v>
      </c>
      <c r="D111" s="59"/>
      <c r="E111" s="60"/>
      <c r="F111" s="60"/>
      <c r="G111" s="60"/>
      <c r="H111" s="61"/>
      <c r="I111" s="62"/>
      <c r="J111" s="63"/>
      <c r="K111" s="63"/>
      <c r="L111" s="637"/>
      <c r="M111" s="326"/>
    </row>
    <row r="112" spans="1:13" ht="12.75" customHeight="1" x14ac:dyDescent="0.25">
      <c r="A112" s="641">
        <v>102</v>
      </c>
      <c r="B112" s="642" t="s">
        <v>231</v>
      </c>
      <c r="C112" s="649" t="s">
        <v>232</v>
      </c>
      <c r="D112" s="59"/>
      <c r="E112" s="60"/>
      <c r="F112" s="60"/>
      <c r="G112" s="60"/>
      <c r="H112" s="61"/>
      <c r="I112" s="62"/>
      <c r="J112" s="63"/>
      <c r="K112" s="63"/>
      <c r="L112" s="637"/>
      <c r="M112" s="326"/>
    </row>
    <row r="113" spans="1:13" ht="12.75" customHeight="1" x14ac:dyDescent="0.25">
      <c r="A113" s="641">
        <v>103</v>
      </c>
      <c r="B113" s="646" t="s">
        <v>233</v>
      </c>
      <c r="C113" s="649" t="s">
        <v>234</v>
      </c>
      <c r="D113" s="59"/>
      <c r="E113" s="60"/>
      <c r="F113" s="60"/>
      <c r="G113" s="60"/>
      <c r="H113" s="61"/>
      <c r="I113" s="62"/>
      <c r="J113" s="63"/>
      <c r="K113" s="63"/>
      <c r="L113" s="637"/>
      <c r="M113" s="326"/>
    </row>
    <row r="114" spans="1:13" ht="12.75" customHeight="1" x14ac:dyDescent="0.25">
      <c r="A114" s="641">
        <v>104</v>
      </c>
      <c r="B114" s="646" t="s">
        <v>235</v>
      </c>
      <c r="C114" s="649" t="s">
        <v>236</v>
      </c>
      <c r="D114" s="59"/>
      <c r="E114" s="60"/>
      <c r="F114" s="60"/>
      <c r="G114" s="60"/>
      <c r="H114" s="61"/>
      <c r="I114" s="62"/>
      <c r="J114" s="63"/>
      <c r="K114" s="63"/>
      <c r="L114" s="637"/>
      <c r="M114" s="326"/>
    </row>
    <row r="115" spans="1:13" ht="12.75" customHeight="1" x14ac:dyDescent="0.25">
      <c r="A115" s="641">
        <v>105</v>
      </c>
      <c r="B115" s="646" t="s">
        <v>237</v>
      </c>
      <c r="C115" s="649" t="s">
        <v>238</v>
      </c>
      <c r="D115" s="59"/>
      <c r="E115" s="60"/>
      <c r="F115" s="60"/>
      <c r="G115" s="60"/>
      <c r="H115" s="61"/>
      <c r="I115" s="62"/>
      <c r="J115" s="63"/>
      <c r="K115" s="63"/>
      <c r="L115" s="637"/>
      <c r="M115" s="326"/>
    </row>
    <row r="116" spans="1:13" ht="12.75" customHeight="1" x14ac:dyDescent="0.25">
      <c r="A116" s="641">
        <v>106</v>
      </c>
      <c r="B116" s="646" t="s">
        <v>239</v>
      </c>
      <c r="C116" s="649" t="s">
        <v>240</v>
      </c>
      <c r="D116" s="59"/>
      <c r="E116" s="60"/>
      <c r="F116" s="60"/>
      <c r="G116" s="60"/>
      <c r="H116" s="61"/>
      <c r="I116" s="62"/>
      <c r="J116" s="63"/>
      <c r="K116" s="63"/>
      <c r="L116" s="637"/>
      <c r="M116" s="326"/>
    </row>
    <row r="117" spans="1:13" ht="12.75" customHeight="1" x14ac:dyDescent="0.25">
      <c r="A117" s="641">
        <v>107</v>
      </c>
      <c r="B117" s="646" t="s">
        <v>241</v>
      </c>
      <c r="C117" s="647" t="s">
        <v>242</v>
      </c>
      <c r="D117" s="59"/>
      <c r="E117" s="60"/>
      <c r="F117" s="60"/>
      <c r="G117" s="60"/>
      <c r="H117" s="61">
        <f t="shared" si="6"/>
        <v>0</v>
      </c>
      <c r="I117" s="62">
        <f>2532-851</f>
        <v>1681</v>
      </c>
      <c r="J117" s="63"/>
      <c r="K117" s="63"/>
      <c r="L117" s="637">
        <f t="shared" si="7"/>
        <v>1681</v>
      </c>
      <c r="M117" s="326">
        <f t="shared" si="8"/>
        <v>1681</v>
      </c>
    </row>
    <row r="118" spans="1:13" ht="12.75" customHeight="1" x14ac:dyDescent="0.25">
      <c r="A118" s="641">
        <v>108</v>
      </c>
      <c r="B118" s="646" t="s">
        <v>243</v>
      </c>
      <c r="C118" s="649" t="s">
        <v>244</v>
      </c>
      <c r="D118" s="59"/>
      <c r="E118" s="60"/>
      <c r="F118" s="60"/>
      <c r="G118" s="60"/>
      <c r="H118" s="61"/>
      <c r="I118" s="62"/>
      <c r="J118" s="63"/>
      <c r="K118" s="63"/>
      <c r="L118" s="637"/>
      <c r="M118" s="326"/>
    </row>
    <row r="119" spans="1:13" ht="12.75" customHeight="1" x14ac:dyDescent="0.25">
      <c r="A119" s="641">
        <v>109</v>
      </c>
      <c r="B119" s="651" t="s">
        <v>245</v>
      </c>
      <c r="C119" s="647" t="s">
        <v>246</v>
      </c>
      <c r="D119" s="59"/>
      <c r="E119" s="60">
        <f>5063-1389</f>
        <v>3674</v>
      </c>
      <c r="F119" s="60">
        <f>39+5</f>
        <v>44</v>
      </c>
      <c r="G119" s="60">
        <f>1007-275</f>
        <v>732</v>
      </c>
      <c r="H119" s="61">
        <f t="shared" si="6"/>
        <v>4450</v>
      </c>
      <c r="I119" s="62">
        <f>19216+274</f>
        <v>19490</v>
      </c>
      <c r="J119" s="63">
        <f>432+27</f>
        <v>459</v>
      </c>
      <c r="K119" s="63">
        <f>670+90</f>
        <v>760</v>
      </c>
      <c r="L119" s="637">
        <f t="shared" si="7"/>
        <v>20709</v>
      </c>
      <c r="M119" s="326">
        <f t="shared" si="8"/>
        <v>25159</v>
      </c>
    </row>
    <row r="120" spans="1:13" ht="12.75" customHeight="1" x14ac:dyDescent="0.25">
      <c r="A120" s="641">
        <v>110</v>
      </c>
      <c r="B120" s="651" t="s">
        <v>2331</v>
      </c>
      <c r="C120" s="652" t="s">
        <v>247</v>
      </c>
      <c r="D120" s="59"/>
      <c r="E120" s="60"/>
      <c r="F120" s="60"/>
      <c r="G120" s="60"/>
      <c r="H120" s="61"/>
      <c r="I120" s="62"/>
      <c r="J120" s="63"/>
      <c r="K120" s="63"/>
      <c r="L120" s="637"/>
      <c r="M120" s="326"/>
    </row>
    <row r="121" spans="1:13" ht="12.75" customHeight="1" x14ac:dyDescent="0.25">
      <c r="A121" s="641">
        <v>111</v>
      </c>
      <c r="B121" s="644" t="s">
        <v>248</v>
      </c>
      <c r="C121" s="647" t="s">
        <v>249</v>
      </c>
      <c r="D121" s="59"/>
      <c r="E121" s="60"/>
      <c r="F121" s="60"/>
      <c r="G121" s="60"/>
      <c r="H121" s="61">
        <f t="shared" si="6"/>
        <v>0</v>
      </c>
      <c r="I121" s="62">
        <f>1249-927+3137</f>
        <v>3459</v>
      </c>
      <c r="J121" s="63">
        <f>162+123</f>
        <v>285</v>
      </c>
      <c r="K121" s="63"/>
      <c r="L121" s="637">
        <f t="shared" si="7"/>
        <v>3744</v>
      </c>
      <c r="M121" s="326">
        <f t="shared" si="8"/>
        <v>3744</v>
      </c>
    </row>
    <row r="122" spans="1:13" ht="12.75" customHeight="1" x14ac:dyDescent="0.25">
      <c r="A122" s="641">
        <v>112</v>
      </c>
      <c r="B122" s="646" t="s">
        <v>250</v>
      </c>
      <c r="C122" s="649" t="s">
        <v>251</v>
      </c>
      <c r="D122" s="59"/>
      <c r="E122" s="60"/>
      <c r="F122" s="60"/>
      <c r="G122" s="60"/>
      <c r="H122" s="61"/>
      <c r="I122" s="62"/>
      <c r="J122" s="63"/>
      <c r="K122" s="63"/>
      <c r="L122" s="637"/>
      <c r="M122" s="326"/>
    </row>
    <row r="123" spans="1:13" ht="12.75" customHeight="1" x14ac:dyDescent="0.25">
      <c r="A123" s="641">
        <v>113</v>
      </c>
      <c r="B123" s="642" t="s">
        <v>252</v>
      </c>
      <c r="C123" s="653" t="s">
        <v>253</v>
      </c>
      <c r="D123" s="59"/>
      <c r="E123" s="60"/>
      <c r="F123" s="60"/>
      <c r="G123" s="60"/>
      <c r="H123" s="61"/>
      <c r="I123" s="62"/>
      <c r="J123" s="63"/>
      <c r="K123" s="63"/>
      <c r="L123" s="637"/>
      <c r="M123" s="326"/>
    </row>
    <row r="124" spans="1:13" ht="12.75" customHeight="1" x14ac:dyDescent="0.25">
      <c r="A124" s="641">
        <v>114</v>
      </c>
      <c r="B124" s="646" t="s">
        <v>254</v>
      </c>
      <c r="C124" s="649" t="s">
        <v>255</v>
      </c>
      <c r="D124" s="59"/>
      <c r="E124" s="60"/>
      <c r="F124" s="60"/>
      <c r="G124" s="60"/>
      <c r="H124" s="61"/>
      <c r="I124" s="62"/>
      <c r="J124" s="63"/>
      <c r="K124" s="63"/>
      <c r="L124" s="637"/>
      <c r="M124" s="326"/>
    </row>
    <row r="125" spans="1:13" ht="12.75" customHeight="1" x14ac:dyDescent="0.25">
      <c r="A125" s="641">
        <v>115</v>
      </c>
      <c r="B125" s="646" t="s">
        <v>256</v>
      </c>
      <c r="C125" s="647" t="s">
        <v>257</v>
      </c>
      <c r="D125" s="59"/>
      <c r="E125" s="60"/>
      <c r="F125" s="60"/>
      <c r="G125" s="60"/>
      <c r="H125" s="61">
        <f t="shared" si="6"/>
        <v>0</v>
      </c>
      <c r="I125" s="62"/>
      <c r="J125" s="63"/>
      <c r="K125" s="63"/>
      <c r="L125" s="637">
        <f t="shared" si="7"/>
        <v>0</v>
      </c>
      <c r="M125" s="326">
        <f t="shared" si="8"/>
        <v>0</v>
      </c>
    </row>
    <row r="126" spans="1:13" ht="12.75" customHeight="1" x14ac:dyDescent="0.25">
      <c r="A126" s="641">
        <v>116</v>
      </c>
      <c r="B126" s="644" t="s">
        <v>258</v>
      </c>
      <c r="C126" s="647" t="s">
        <v>335</v>
      </c>
      <c r="D126" s="59"/>
      <c r="E126" s="60">
        <f>2258-1190</f>
        <v>1068</v>
      </c>
      <c r="F126" s="60">
        <f>57-16</f>
        <v>41</v>
      </c>
      <c r="G126" s="60"/>
      <c r="H126" s="61">
        <f t="shared" si="6"/>
        <v>1109</v>
      </c>
      <c r="I126" s="62">
        <v>1776</v>
      </c>
      <c r="J126" s="63">
        <v>70</v>
      </c>
      <c r="K126" s="63"/>
      <c r="L126" s="637">
        <f t="shared" si="7"/>
        <v>1846</v>
      </c>
      <c r="M126" s="326">
        <f t="shared" si="8"/>
        <v>2955</v>
      </c>
    </row>
    <row r="127" spans="1:13" ht="12.75" customHeight="1" x14ac:dyDescent="0.25">
      <c r="A127" s="641">
        <v>117</v>
      </c>
      <c r="B127" s="644" t="s">
        <v>260</v>
      </c>
      <c r="C127" s="649" t="s">
        <v>261</v>
      </c>
      <c r="D127" s="59"/>
      <c r="E127" s="60"/>
      <c r="F127" s="60"/>
      <c r="G127" s="60"/>
      <c r="H127" s="61"/>
      <c r="I127" s="62"/>
      <c r="J127" s="63"/>
      <c r="K127" s="63"/>
      <c r="L127" s="637"/>
      <c r="M127" s="326"/>
    </row>
    <row r="128" spans="1:13" ht="12.75" customHeight="1" x14ac:dyDescent="0.25">
      <c r="A128" s="641">
        <v>118</v>
      </c>
      <c r="B128" s="644" t="s">
        <v>262</v>
      </c>
      <c r="C128" s="649" t="s">
        <v>263</v>
      </c>
      <c r="D128" s="59"/>
      <c r="E128" s="60"/>
      <c r="F128" s="60"/>
      <c r="G128" s="60"/>
      <c r="H128" s="61"/>
      <c r="I128" s="62"/>
      <c r="J128" s="63"/>
      <c r="K128" s="63"/>
      <c r="L128" s="637"/>
      <c r="M128" s="326"/>
    </row>
    <row r="129" spans="1:13" ht="12.75" customHeight="1" x14ac:dyDescent="0.25">
      <c r="A129" s="641">
        <v>119</v>
      </c>
      <c r="B129" s="642" t="s">
        <v>264</v>
      </c>
      <c r="C129" s="649" t="s">
        <v>265</v>
      </c>
      <c r="D129" s="59"/>
      <c r="E129" s="60"/>
      <c r="F129" s="60"/>
      <c r="G129" s="60"/>
      <c r="H129" s="61"/>
      <c r="I129" s="62"/>
      <c r="J129" s="63"/>
      <c r="K129" s="63"/>
      <c r="L129" s="637"/>
      <c r="M129" s="326"/>
    </row>
    <row r="130" spans="1:13" ht="12.75" customHeight="1" x14ac:dyDescent="0.25">
      <c r="A130" s="641">
        <v>120</v>
      </c>
      <c r="B130" s="644" t="s">
        <v>266</v>
      </c>
      <c r="C130" s="649" t="s">
        <v>267</v>
      </c>
      <c r="D130" s="59"/>
      <c r="E130" s="60"/>
      <c r="F130" s="60"/>
      <c r="G130" s="60"/>
      <c r="H130" s="61"/>
      <c r="I130" s="62"/>
      <c r="J130" s="63"/>
      <c r="K130" s="63"/>
      <c r="L130" s="637"/>
      <c r="M130" s="326"/>
    </row>
    <row r="131" spans="1:13" ht="12.75" customHeight="1" x14ac:dyDescent="0.25">
      <c r="A131" s="641">
        <v>121</v>
      </c>
      <c r="B131" s="646" t="s">
        <v>268</v>
      </c>
      <c r="C131" s="649" t="s">
        <v>269</v>
      </c>
      <c r="D131" s="59"/>
      <c r="E131" s="60"/>
      <c r="F131" s="60"/>
      <c r="G131" s="60"/>
      <c r="H131" s="61"/>
      <c r="I131" s="62"/>
      <c r="J131" s="63"/>
      <c r="K131" s="63"/>
      <c r="L131" s="637"/>
      <c r="M131" s="326"/>
    </row>
    <row r="132" spans="1:13" ht="12.75" customHeight="1" x14ac:dyDescent="0.25">
      <c r="A132" s="641">
        <v>122</v>
      </c>
      <c r="B132" s="646" t="s">
        <v>270</v>
      </c>
      <c r="C132" s="649" t="s">
        <v>271</v>
      </c>
      <c r="D132" s="59"/>
      <c r="E132" s="60"/>
      <c r="F132" s="60"/>
      <c r="G132" s="60"/>
      <c r="H132" s="61"/>
      <c r="I132" s="62"/>
      <c r="J132" s="63"/>
      <c r="K132" s="63"/>
      <c r="L132" s="637"/>
      <c r="M132" s="326"/>
    </row>
    <row r="133" spans="1:13" ht="12.75" customHeight="1" x14ac:dyDescent="0.25">
      <c r="A133" s="641">
        <v>123</v>
      </c>
      <c r="B133" s="646" t="s">
        <v>272</v>
      </c>
      <c r="C133" s="647" t="s">
        <v>336</v>
      </c>
      <c r="D133" s="59">
        <f>24196-1247-18166</f>
        <v>4783</v>
      </c>
      <c r="E133" s="60">
        <f>8310-398</f>
        <v>7912</v>
      </c>
      <c r="F133" s="60">
        <f>58-15</f>
        <v>43</v>
      </c>
      <c r="G133" s="60">
        <f>2350+649</f>
        <v>2999</v>
      </c>
      <c r="H133" s="61">
        <f t="shared" si="6"/>
        <v>15737</v>
      </c>
      <c r="I133" s="62">
        <f>9729-280-2231</f>
        <v>7218</v>
      </c>
      <c r="J133" s="63"/>
      <c r="K133" s="63">
        <v>1440</v>
      </c>
      <c r="L133" s="637">
        <f t="shared" si="7"/>
        <v>8658</v>
      </c>
      <c r="M133" s="326">
        <f t="shared" si="8"/>
        <v>24395</v>
      </c>
    </row>
    <row r="134" spans="1:13" ht="12.75" customHeight="1" x14ac:dyDescent="0.25">
      <c r="A134" s="641">
        <v>124</v>
      </c>
      <c r="B134" s="646" t="s">
        <v>161</v>
      </c>
      <c r="C134" s="647" t="s">
        <v>274</v>
      </c>
      <c r="D134" s="59"/>
      <c r="E134" s="60">
        <v>20900</v>
      </c>
      <c r="F134" s="60"/>
      <c r="G134" s="60">
        <v>8050</v>
      </c>
      <c r="H134" s="61">
        <f t="shared" si="6"/>
        <v>28950</v>
      </c>
      <c r="I134" s="62">
        <v>13200</v>
      </c>
      <c r="J134" s="63"/>
      <c r="K134" s="63">
        <v>2160</v>
      </c>
      <c r="L134" s="637">
        <f t="shared" si="7"/>
        <v>15360</v>
      </c>
      <c r="M134" s="326">
        <f t="shared" si="8"/>
        <v>44310</v>
      </c>
    </row>
    <row r="135" spans="1:13" ht="12.75" customHeight="1" x14ac:dyDescent="0.25">
      <c r="A135" s="641">
        <v>125</v>
      </c>
      <c r="B135" s="646" t="s">
        <v>275</v>
      </c>
      <c r="C135" s="647" t="s">
        <v>276</v>
      </c>
      <c r="D135" s="59"/>
      <c r="E135" s="60">
        <v>500</v>
      </c>
      <c r="F135" s="60"/>
      <c r="G135" s="60">
        <v>1900</v>
      </c>
      <c r="H135" s="61">
        <f t="shared" si="6"/>
        <v>2400</v>
      </c>
      <c r="I135" s="62"/>
      <c r="J135" s="63"/>
      <c r="K135" s="63"/>
      <c r="L135" s="637">
        <f t="shared" si="7"/>
        <v>0</v>
      </c>
      <c r="M135" s="326">
        <f t="shared" si="8"/>
        <v>2400</v>
      </c>
    </row>
    <row r="136" spans="1:13" ht="12.75" customHeight="1" x14ac:dyDescent="0.25">
      <c r="A136" s="641">
        <v>126</v>
      </c>
      <c r="B136" s="642" t="s">
        <v>277</v>
      </c>
      <c r="C136" s="647" t="s">
        <v>2</v>
      </c>
      <c r="D136" s="59"/>
      <c r="E136" s="60">
        <v>2500</v>
      </c>
      <c r="F136" s="60"/>
      <c r="G136" s="60"/>
      <c r="H136" s="61">
        <f t="shared" si="6"/>
        <v>2500</v>
      </c>
      <c r="I136" s="62">
        <v>4416</v>
      </c>
      <c r="J136" s="63"/>
      <c r="K136" s="63"/>
      <c r="L136" s="637">
        <f t="shared" si="7"/>
        <v>4416</v>
      </c>
      <c r="M136" s="326">
        <f t="shared" si="8"/>
        <v>6916</v>
      </c>
    </row>
    <row r="137" spans="1:13" ht="12.75" customHeight="1" x14ac:dyDescent="0.25">
      <c r="A137" s="641">
        <v>127</v>
      </c>
      <c r="B137" s="646" t="s">
        <v>278</v>
      </c>
      <c r="C137" s="649" t="s">
        <v>279</v>
      </c>
      <c r="D137" s="59"/>
      <c r="E137" s="60"/>
      <c r="F137" s="60"/>
      <c r="G137" s="60"/>
      <c r="H137" s="61"/>
      <c r="I137" s="62"/>
      <c r="J137" s="63"/>
      <c r="K137" s="63"/>
      <c r="L137" s="637"/>
      <c r="M137" s="326"/>
    </row>
    <row r="138" spans="1:13" ht="12.75" customHeight="1" x14ac:dyDescent="0.25">
      <c r="A138" s="641">
        <v>128</v>
      </c>
      <c r="B138" s="642" t="s">
        <v>280</v>
      </c>
      <c r="C138" s="649" t="s">
        <v>64</v>
      </c>
      <c r="D138" s="59"/>
      <c r="E138" s="60"/>
      <c r="F138" s="60"/>
      <c r="G138" s="60"/>
      <c r="H138" s="61"/>
      <c r="I138" s="62"/>
      <c r="J138" s="63"/>
      <c r="K138" s="63"/>
      <c r="L138" s="637"/>
      <c r="M138" s="326"/>
    </row>
    <row r="139" spans="1:13" ht="12.75" customHeight="1" x14ac:dyDescent="0.25">
      <c r="A139" s="641">
        <v>129</v>
      </c>
      <c r="B139" s="642" t="s">
        <v>281</v>
      </c>
      <c r="C139" s="647" t="s">
        <v>22</v>
      </c>
      <c r="D139" s="59"/>
      <c r="E139" s="60"/>
      <c r="F139" s="60"/>
      <c r="G139" s="60"/>
      <c r="H139" s="61">
        <f t="shared" si="6"/>
        <v>0</v>
      </c>
      <c r="I139" s="62">
        <v>4138</v>
      </c>
      <c r="J139" s="63"/>
      <c r="K139" s="63">
        <v>24</v>
      </c>
      <c r="L139" s="637">
        <f t="shared" si="7"/>
        <v>4162</v>
      </c>
      <c r="M139" s="326">
        <f t="shared" si="8"/>
        <v>4162</v>
      </c>
    </row>
    <row r="140" spans="1:13" ht="12.75" customHeight="1" x14ac:dyDescent="0.25">
      <c r="A140" s="641">
        <v>130</v>
      </c>
      <c r="B140" s="646" t="s">
        <v>282</v>
      </c>
      <c r="C140" s="649" t="s">
        <v>283</v>
      </c>
      <c r="D140" s="59"/>
      <c r="E140" s="60"/>
      <c r="F140" s="60"/>
      <c r="G140" s="60"/>
      <c r="H140" s="61"/>
      <c r="I140" s="62"/>
      <c r="J140" s="63"/>
      <c r="K140" s="63"/>
      <c r="L140" s="637"/>
      <c r="M140" s="326"/>
    </row>
    <row r="141" spans="1:13" ht="12.75" customHeight="1" x14ac:dyDescent="0.25">
      <c r="A141" s="641">
        <v>131</v>
      </c>
      <c r="B141" s="646" t="s">
        <v>284</v>
      </c>
      <c r="C141" s="649" t="s">
        <v>67</v>
      </c>
      <c r="D141" s="59"/>
      <c r="E141" s="60"/>
      <c r="F141" s="60"/>
      <c r="G141" s="60"/>
      <c r="H141" s="61"/>
      <c r="I141" s="62"/>
      <c r="J141" s="63"/>
      <c r="K141" s="63"/>
      <c r="L141" s="637"/>
      <c r="M141" s="326"/>
    </row>
    <row r="142" spans="1:13" ht="12.75" customHeight="1" x14ac:dyDescent="0.25">
      <c r="A142" s="641">
        <v>132</v>
      </c>
      <c r="B142" s="646" t="s">
        <v>285</v>
      </c>
      <c r="C142" s="647" t="s">
        <v>286</v>
      </c>
      <c r="D142" s="59"/>
      <c r="E142" s="60">
        <v>1520</v>
      </c>
      <c r="F142" s="60">
        <v>150</v>
      </c>
      <c r="G142" s="60">
        <v>500</v>
      </c>
      <c r="H142" s="61">
        <f t="shared" si="6"/>
        <v>2170</v>
      </c>
      <c r="I142" s="62"/>
      <c r="J142" s="63"/>
      <c r="K142" s="63"/>
      <c r="L142" s="637">
        <f t="shared" si="7"/>
        <v>0</v>
      </c>
      <c r="M142" s="326">
        <f t="shared" si="8"/>
        <v>2170</v>
      </c>
    </row>
    <row r="143" spans="1:13" ht="12.75" customHeight="1" x14ac:dyDescent="0.25">
      <c r="A143" s="641">
        <v>133</v>
      </c>
      <c r="B143" s="642" t="s">
        <v>159</v>
      </c>
      <c r="C143" s="647" t="s">
        <v>160</v>
      </c>
      <c r="D143" s="59"/>
      <c r="E143" s="60">
        <f>5270+1385</f>
        <v>6655</v>
      </c>
      <c r="F143" s="60">
        <v>200</v>
      </c>
      <c r="G143" s="60">
        <f>1747-374</f>
        <v>1373</v>
      </c>
      <c r="H143" s="61">
        <f t="shared" si="6"/>
        <v>8228</v>
      </c>
      <c r="I143" s="62">
        <f>13818+284-3137</f>
        <v>10965</v>
      </c>
      <c r="J143" s="63">
        <f>1008-66-123</f>
        <v>819</v>
      </c>
      <c r="K143" s="63">
        <f>1186-90</f>
        <v>1096</v>
      </c>
      <c r="L143" s="637">
        <f t="shared" si="7"/>
        <v>12880</v>
      </c>
      <c r="M143" s="326">
        <f t="shared" si="8"/>
        <v>21108</v>
      </c>
    </row>
    <row r="144" spans="1:13" ht="12.75" customHeight="1" x14ac:dyDescent="0.25">
      <c r="A144" s="641">
        <v>134</v>
      </c>
      <c r="B144" s="644" t="s">
        <v>113</v>
      </c>
      <c r="C144" s="647" t="s">
        <v>114</v>
      </c>
      <c r="D144" s="59"/>
      <c r="E144" s="60">
        <v>1438</v>
      </c>
      <c r="F144" s="60">
        <v>54</v>
      </c>
      <c r="G144" s="60">
        <v>483</v>
      </c>
      <c r="H144" s="61">
        <f t="shared" si="6"/>
        <v>1975</v>
      </c>
      <c r="I144" s="62">
        <v>1832</v>
      </c>
      <c r="J144" s="63">
        <v>72</v>
      </c>
      <c r="K144" s="63"/>
      <c r="L144" s="637">
        <f t="shared" si="7"/>
        <v>1904</v>
      </c>
      <c r="M144" s="326">
        <f t="shared" si="8"/>
        <v>3879</v>
      </c>
    </row>
    <row r="145" spans="1:13" ht="12.75" customHeight="1" x14ac:dyDescent="0.25">
      <c r="A145" s="641">
        <v>135</v>
      </c>
      <c r="B145" s="646" t="s">
        <v>287</v>
      </c>
      <c r="C145" s="647" t="s">
        <v>288</v>
      </c>
      <c r="D145" s="59">
        <v>6168</v>
      </c>
      <c r="E145" s="60"/>
      <c r="F145" s="60"/>
      <c r="G145" s="60"/>
      <c r="H145" s="61">
        <f t="shared" si="6"/>
        <v>6168</v>
      </c>
      <c r="I145" s="62"/>
      <c r="J145" s="63"/>
      <c r="K145" s="63"/>
      <c r="L145" s="637">
        <f t="shared" si="7"/>
        <v>0</v>
      </c>
      <c r="M145" s="326">
        <f t="shared" si="8"/>
        <v>6168</v>
      </c>
    </row>
    <row r="146" spans="1:13" ht="12.75" customHeight="1" x14ac:dyDescent="0.25">
      <c r="A146" s="641">
        <v>136</v>
      </c>
      <c r="B146" s="642" t="s">
        <v>289</v>
      </c>
      <c r="C146" s="654" t="s">
        <v>68</v>
      </c>
      <c r="D146" s="59"/>
      <c r="E146" s="60"/>
      <c r="F146" s="60"/>
      <c r="G146" s="60"/>
      <c r="H146" s="61"/>
      <c r="I146" s="62"/>
      <c r="J146" s="63"/>
      <c r="K146" s="63"/>
      <c r="L146" s="637"/>
      <c r="M146" s="326"/>
    </row>
    <row r="147" spans="1:13" ht="12.75" customHeight="1" thickBot="1" x14ac:dyDescent="0.3">
      <c r="A147" s="655">
        <v>137</v>
      </c>
      <c r="B147" s="656" t="s">
        <v>290</v>
      </c>
      <c r="C147" s="657" t="s">
        <v>291</v>
      </c>
      <c r="D147" s="373"/>
      <c r="E147" s="374"/>
      <c r="F147" s="374"/>
      <c r="G147" s="374"/>
      <c r="H147" s="69"/>
      <c r="I147" s="55"/>
      <c r="J147" s="53"/>
      <c r="K147" s="53"/>
      <c r="L147" s="362"/>
      <c r="M147" s="65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47"/>
  <sheetViews>
    <sheetView workbookViewId="0">
      <pane xSplit="3" ySplit="10" topLeftCell="D133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 x14ac:dyDescent="0.25"/>
  <cols>
    <col min="1" max="1" width="4.5703125" style="50" customWidth="1"/>
    <col min="2" max="2" width="11.28515625" style="50" customWidth="1"/>
    <col min="3" max="3" width="41.140625" style="70" customWidth="1"/>
    <col min="4" max="4" width="13.28515625" style="50" customWidth="1"/>
    <col min="5" max="5" width="16.28515625" style="50" customWidth="1"/>
    <col min="6" max="6" width="19.140625" style="50" customWidth="1"/>
    <col min="7" max="7" width="15.42578125" style="51" customWidth="1"/>
    <col min="8" max="16384" width="9.140625" style="50"/>
  </cols>
  <sheetData>
    <row r="1" spans="1:7" ht="43.5" customHeight="1" x14ac:dyDescent="0.25">
      <c r="A1" s="1020" t="s">
        <v>2332</v>
      </c>
      <c r="B1" s="1020"/>
      <c r="C1" s="1021"/>
      <c r="D1" s="1021"/>
      <c r="E1" s="1021"/>
      <c r="F1" s="1021"/>
      <c r="G1" s="1021"/>
    </row>
    <row r="2" spans="1:7" ht="17.25" customHeight="1" thickBot="1" x14ac:dyDescent="0.3"/>
    <row r="3" spans="1:7" ht="15.75" customHeight="1" x14ac:dyDescent="0.25">
      <c r="A3" s="1022" t="s">
        <v>0</v>
      </c>
      <c r="B3" s="1024" t="s">
        <v>296</v>
      </c>
      <c r="C3" s="1026" t="s">
        <v>338</v>
      </c>
      <c r="D3" s="659" t="s">
        <v>339</v>
      </c>
      <c r="E3" s="660"/>
      <c r="F3" s="661"/>
      <c r="G3" s="662"/>
    </row>
    <row r="4" spans="1:7" ht="45.75" customHeight="1" thickBot="1" x14ac:dyDescent="0.3">
      <c r="A4" s="1023"/>
      <c r="B4" s="1025"/>
      <c r="C4" s="1027"/>
      <c r="D4" s="663" t="s">
        <v>340</v>
      </c>
      <c r="E4" s="54" t="s">
        <v>341</v>
      </c>
      <c r="F4" s="54" t="s">
        <v>342</v>
      </c>
      <c r="G4" s="69" t="s">
        <v>1</v>
      </c>
    </row>
    <row r="5" spans="1:7" ht="11.25" customHeight="1" x14ac:dyDescent="0.25">
      <c r="A5" s="77"/>
      <c r="B5" s="664"/>
      <c r="C5" s="665" t="s">
        <v>1</v>
      </c>
      <c r="D5" s="56">
        <f>SUM(D6:D10)</f>
        <v>180549</v>
      </c>
      <c r="E5" s="321">
        <f t="shared" ref="E5:G5" si="0">SUM(E6:E10)</f>
        <v>88633</v>
      </c>
      <c r="F5" s="321">
        <f t="shared" si="0"/>
        <v>59090</v>
      </c>
      <c r="G5" s="476">
        <f t="shared" si="0"/>
        <v>328272</v>
      </c>
    </row>
    <row r="6" spans="1:7" ht="11.25" customHeight="1" x14ac:dyDescent="0.25">
      <c r="A6" s="73"/>
      <c r="B6" s="666"/>
      <c r="C6" s="667" t="s">
        <v>3</v>
      </c>
      <c r="D6" s="65">
        <v>0</v>
      </c>
      <c r="E6" s="66">
        <v>0</v>
      </c>
      <c r="F6" s="66">
        <v>0</v>
      </c>
      <c r="G6" s="61">
        <v>0</v>
      </c>
    </row>
    <row r="7" spans="1:7" ht="11.25" customHeight="1" x14ac:dyDescent="0.25">
      <c r="A7" s="73"/>
      <c r="B7" s="666"/>
      <c r="C7" s="667" t="s">
        <v>2328</v>
      </c>
      <c r="D7" s="65">
        <v>0</v>
      </c>
      <c r="E7" s="66">
        <v>0</v>
      </c>
      <c r="F7" s="66">
        <v>0</v>
      </c>
      <c r="G7" s="61">
        <v>0</v>
      </c>
    </row>
    <row r="8" spans="1:7" ht="24.75" customHeight="1" x14ac:dyDescent="0.25">
      <c r="A8" s="73"/>
      <c r="B8" s="666"/>
      <c r="C8" s="667" t="s">
        <v>2329</v>
      </c>
      <c r="D8" s="65">
        <v>0</v>
      </c>
      <c r="E8" s="66">
        <v>0</v>
      </c>
      <c r="F8" s="66">
        <v>0</v>
      </c>
      <c r="G8" s="61">
        <v>0</v>
      </c>
    </row>
    <row r="9" spans="1:7" ht="11.25" customHeight="1" x14ac:dyDescent="0.25">
      <c r="A9" s="73"/>
      <c r="B9" s="666"/>
      <c r="C9" s="667" t="s">
        <v>2330</v>
      </c>
      <c r="D9" s="65">
        <v>0</v>
      </c>
      <c r="E9" s="66">
        <v>0</v>
      </c>
      <c r="F9" s="66">
        <v>0</v>
      </c>
      <c r="G9" s="61">
        <v>0</v>
      </c>
    </row>
    <row r="10" spans="1:7" ht="11.25" customHeight="1" x14ac:dyDescent="0.25">
      <c r="A10" s="73"/>
      <c r="B10" s="666"/>
      <c r="C10" s="667" t="s">
        <v>4</v>
      </c>
      <c r="D10" s="327">
        <f>SUM(D11:D147)</f>
        <v>180549</v>
      </c>
      <c r="E10" s="327">
        <f t="shared" ref="E10:G10" si="1">SUM(E11:E147)</f>
        <v>88633</v>
      </c>
      <c r="F10" s="327">
        <f t="shared" si="1"/>
        <v>59090</v>
      </c>
      <c r="G10" s="67">
        <f t="shared" si="1"/>
        <v>328272</v>
      </c>
    </row>
    <row r="11" spans="1:7" ht="11.25" customHeight="1" x14ac:dyDescent="0.25">
      <c r="A11" s="641">
        <v>1</v>
      </c>
      <c r="B11" s="668" t="s">
        <v>69</v>
      </c>
      <c r="C11" s="669" t="s">
        <v>29</v>
      </c>
      <c r="D11" s="73">
        <v>887</v>
      </c>
      <c r="E11" s="74">
        <v>435</v>
      </c>
      <c r="F11" s="74"/>
      <c r="G11" s="61">
        <f>D11+E11+F11</f>
        <v>1322</v>
      </c>
    </row>
    <row r="12" spans="1:7" ht="11.25" customHeight="1" x14ac:dyDescent="0.25">
      <c r="A12" s="641">
        <v>2</v>
      </c>
      <c r="B12" s="670" t="s">
        <v>70</v>
      </c>
      <c r="C12" s="669" t="s">
        <v>31</v>
      </c>
      <c r="D12" s="73">
        <v>902</v>
      </c>
      <c r="E12" s="74">
        <v>463</v>
      </c>
      <c r="F12" s="74">
        <v>310</v>
      </c>
      <c r="G12" s="61">
        <f t="shared" ref="G12:G106" si="2">D12+E12+F12</f>
        <v>1675</v>
      </c>
    </row>
    <row r="13" spans="1:7" ht="11.25" customHeight="1" x14ac:dyDescent="0.25">
      <c r="A13" s="641">
        <v>3</v>
      </c>
      <c r="B13" s="671" t="s">
        <v>71</v>
      </c>
      <c r="C13" s="669" t="s">
        <v>5</v>
      </c>
      <c r="D13" s="73">
        <v>2571</v>
      </c>
      <c r="E13" s="74">
        <f>1259-100</f>
        <v>1159</v>
      </c>
      <c r="F13" s="74">
        <f>1183</f>
        <v>1183</v>
      </c>
      <c r="G13" s="61">
        <f t="shared" si="2"/>
        <v>4913</v>
      </c>
    </row>
    <row r="14" spans="1:7" ht="11.25" customHeight="1" x14ac:dyDescent="0.25">
      <c r="A14" s="641">
        <v>4</v>
      </c>
      <c r="B14" s="668" t="s">
        <v>72</v>
      </c>
      <c r="C14" s="669" t="s">
        <v>35</v>
      </c>
      <c r="D14" s="73">
        <v>786</v>
      </c>
      <c r="E14" s="74">
        <f>507-50</f>
        <v>457</v>
      </c>
      <c r="F14" s="74"/>
      <c r="G14" s="61">
        <f t="shared" si="2"/>
        <v>1243</v>
      </c>
    </row>
    <row r="15" spans="1:7" ht="11.25" customHeight="1" x14ac:dyDescent="0.25">
      <c r="A15" s="641">
        <v>5</v>
      </c>
      <c r="B15" s="668" t="s">
        <v>108</v>
      </c>
      <c r="C15" s="669" t="s">
        <v>37</v>
      </c>
      <c r="D15" s="73">
        <f>1020-100+500</f>
        <v>1420</v>
      </c>
      <c r="E15" s="74">
        <v>515</v>
      </c>
      <c r="F15" s="74">
        <v>345</v>
      </c>
      <c r="G15" s="61">
        <f t="shared" si="2"/>
        <v>2280</v>
      </c>
    </row>
    <row r="16" spans="1:7" ht="11.25" customHeight="1" x14ac:dyDescent="0.25">
      <c r="A16" s="641">
        <v>6</v>
      </c>
      <c r="B16" s="671" t="s">
        <v>73</v>
      </c>
      <c r="C16" s="669" t="s">
        <v>6</v>
      </c>
      <c r="D16" s="73">
        <f>2618-852</f>
        <v>1766</v>
      </c>
      <c r="E16" s="74">
        <f>1690-550</f>
        <v>1140</v>
      </c>
      <c r="F16" s="74">
        <f>1765-1002</f>
        <v>763</v>
      </c>
      <c r="G16" s="61">
        <f t="shared" si="2"/>
        <v>3669</v>
      </c>
    </row>
    <row r="17" spans="1:7" ht="11.25" customHeight="1" x14ac:dyDescent="0.25">
      <c r="A17" s="641">
        <v>7</v>
      </c>
      <c r="B17" s="668" t="s">
        <v>109</v>
      </c>
      <c r="C17" s="672" t="s">
        <v>23</v>
      </c>
      <c r="D17" s="73"/>
      <c r="E17" s="74"/>
      <c r="F17" s="74"/>
      <c r="G17" s="61">
        <f t="shared" si="2"/>
        <v>0</v>
      </c>
    </row>
    <row r="18" spans="1:7" ht="11.25" customHeight="1" x14ac:dyDescent="0.25">
      <c r="A18" s="641">
        <v>8</v>
      </c>
      <c r="B18" s="671" t="s">
        <v>110</v>
      </c>
      <c r="C18" s="673" t="s">
        <v>44</v>
      </c>
      <c r="D18" s="73"/>
      <c r="E18" s="74"/>
      <c r="F18" s="74"/>
      <c r="G18" s="61">
        <f t="shared" si="2"/>
        <v>0</v>
      </c>
    </row>
    <row r="19" spans="1:7" ht="11.25" customHeight="1" x14ac:dyDescent="0.25">
      <c r="A19" s="641">
        <v>9</v>
      </c>
      <c r="B19" s="671" t="s">
        <v>74</v>
      </c>
      <c r="C19" s="669" t="s">
        <v>45</v>
      </c>
      <c r="D19" s="73">
        <v>776</v>
      </c>
      <c r="E19" s="74">
        <v>501</v>
      </c>
      <c r="F19" s="74">
        <v>336</v>
      </c>
      <c r="G19" s="61">
        <f t="shared" si="2"/>
        <v>1613</v>
      </c>
    </row>
    <row r="20" spans="1:7" ht="11.25" customHeight="1" x14ac:dyDescent="0.25">
      <c r="A20" s="641">
        <v>10</v>
      </c>
      <c r="B20" s="671" t="s">
        <v>111</v>
      </c>
      <c r="C20" s="669" t="s">
        <v>48</v>
      </c>
      <c r="D20" s="73">
        <v>923</v>
      </c>
      <c r="E20" s="74">
        <v>596</v>
      </c>
      <c r="F20" s="74">
        <v>399</v>
      </c>
      <c r="G20" s="61">
        <f t="shared" si="2"/>
        <v>1918</v>
      </c>
    </row>
    <row r="21" spans="1:7" ht="11.25" customHeight="1" x14ac:dyDescent="0.25">
      <c r="A21" s="641">
        <v>11</v>
      </c>
      <c r="B21" s="671" t="s">
        <v>75</v>
      </c>
      <c r="C21" s="669" t="s">
        <v>52</v>
      </c>
      <c r="D21" s="73">
        <v>1018</v>
      </c>
      <c r="E21" s="74">
        <v>488</v>
      </c>
      <c r="F21" s="74">
        <v>326</v>
      </c>
      <c r="G21" s="61">
        <f t="shared" si="2"/>
        <v>1832</v>
      </c>
    </row>
    <row r="22" spans="1:7" ht="11.25" customHeight="1" x14ac:dyDescent="0.25">
      <c r="A22" s="641">
        <v>12</v>
      </c>
      <c r="B22" s="671" t="s">
        <v>112</v>
      </c>
      <c r="C22" s="669" t="s">
        <v>63</v>
      </c>
      <c r="D22" s="73">
        <v>1907</v>
      </c>
      <c r="E22" s="74">
        <v>948</v>
      </c>
      <c r="F22" s="74"/>
      <c r="G22" s="61">
        <f t="shared" si="2"/>
        <v>2855</v>
      </c>
    </row>
    <row r="23" spans="1:7" ht="11.25" customHeight="1" x14ac:dyDescent="0.25">
      <c r="A23" s="641">
        <v>13</v>
      </c>
      <c r="B23" s="671" t="s">
        <v>292</v>
      </c>
      <c r="C23" s="674" t="s">
        <v>293</v>
      </c>
      <c r="D23" s="73">
        <v>4384</v>
      </c>
      <c r="E23" s="74">
        <v>2830</v>
      </c>
      <c r="F23" s="74">
        <v>2533</v>
      </c>
      <c r="G23" s="61">
        <f t="shared" si="2"/>
        <v>9747</v>
      </c>
    </row>
    <row r="24" spans="1:7" ht="11.25" customHeight="1" x14ac:dyDescent="0.25">
      <c r="A24" s="641">
        <v>14</v>
      </c>
      <c r="B24" s="668" t="s">
        <v>176</v>
      </c>
      <c r="C24" s="675" t="s">
        <v>177</v>
      </c>
      <c r="D24" s="73"/>
      <c r="E24" s="74"/>
      <c r="F24" s="74"/>
      <c r="G24" s="61">
        <f t="shared" si="2"/>
        <v>0</v>
      </c>
    </row>
    <row r="25" spans="1:7" ht="11.25" customHeight="1" x14ac:dyDescent="0.25">
      <c r="A25" s="641">
        <v>15</v>
      </c>
      <c r="B25" s="671" t="s">
        <v>115</v>
      </c>
      <c r="C25" s="673" t="s">
        <v>26</v>
      </c>
      <c r="D25" s="329">
        <f>0+543</f>
        <v>543</v>
      </c>
      <c r="E25" s="74"/>
      <c r="F25" s="74"/>
      <c r="G25" s="61">
        <f t="shared" si="2"/>
        <v>543</v>
      </c>
    </row>
    <row r="26" spans="1:7" ht="11.25" customHeight="1" x14ac:dyDescent="0.25">
      <c r="A26" s="641">
        <v>16</v>
      </c>
      <c r="B26" s="671" t="s">
        <v>116</v>
      </c>
      <c r="C26" s="673" t="s">
        <v>28</v>
      </c>
      <c r="D26" s="73"/>
      <c r="E26" s="74"/>
      <c r="F26" s="74"/>
      <c r="G26" s="61">
        <f t="shared" si="2"/>
        <v>0</v>
      </c>
    </row>
    <row r="27" spans="1:7" ht="11.25" customHeight="1" x14ac:dyDescent="0.25">
      <c r="A27" s="641">
        <v>17</v>
      </c>
      <c r="B27" s="671" t="s">
        <v>117</v>
      </c>
      <c r="C27" s="669" t="s">
        <v>24</v>
      </c>
      <c r="D27" s="73">
        <v>2562</v>
      </c>
      <c r="E27" s="74">
        <v>1208</v>
      </c>
      <c r="F27" s="74">
        <v>809</v>
      </c>
      <c r="G27" s="61">
        <f t="shared" si="2"/>
        <v>4579</v>
      </c>
    </row>
    <row r="28" spans="1:7" ht="11.25" customHeight="1" x14ac:dyDescent="0.25">
      <c r="A28" s="641">
        <v>18</v>
      </c>
      <c r="B28" s="671" t="s">
        <v>76</v>
      </c>
      <c r="C28" s="669" t="s">
        <v>7</v>
      </c>
      <c r="D28" s="73">
        <v>6476</v>
      </c>
      <c r="E28" s="74">
        <v>3368</v>
      </c>
      <c r="F28" s="74">
        <v>2256</v>
      </c>
      <c r="G28" s="61">
        <f t="shared" si="2"/>
        <v>12100</v>
      </c>
    </row>
    <row r="29" spans="1:7" ht="11.25" customHeight="1" x14ac:dyDescent="0.25">
      <c r="A29" s="641">
        <v>19</v>
      </c>
      <c r="B29" s="668" t="s">
        <v>118</v>
      </c>
      <c r="C29" s="669" t="s">
        <v>36</v>
      </c>
      <c r="D29" s="73">
        <v>543</v>
      </c>
      <c r="E29" s="74">
        <v>0</v>
      </c>
      <c r="F29" s="74"/>
      <c r="G29" s="61">
        <f t="shared" si="2"/>
        <v>543</v>
      </c>
    </row>
    <row r="30" spans="1:7" ht="11.25" customHeight="1" x14ac:dyDescent="0.25">
      <c r="A30" s="641">
        <v>20</v>
      </c>
      <c r="B30" s="668" t="s">
        <v>119</v>
      </c>
      <c r="C30" s="676" t="s">
        <v>41</v>
      </c>
      <c r="D30" s="73"/>
      <c r="E30" s="74"/>
      <c r="F30" s="74"/>
      <c r="G30" s="61">
        <f t="shared" si="2"/>
        <v>0</v>
      </c>
    </row>
    <row r="31" spans="1:7" ht="11.25" customHeight="1" x14ac:dyDescent="0.25">
      <c r="A31" s="641">
        <v>21</v>
      </c>
      <c r="B31" s="668" t="s">
        <v>120</v>
      </c>
      <c r="C31" s="669" t="s">
        <v>8</v>
      </c>
      <c r="D31" s="73">
        <v>3054</v>
      </c>
      <c r="E31" s="74">
        <v>1472</v>
      </c>
      <c r="F31" s="74">
        <v>986</v>
      </c>
      <c r="G31" s="61">
        <f t="shared" si="2"/>
        <v>5512</v>
      </c>
    </row>
    <row r="32" spans="1:7" ht="11.25" customHeight="1" x14ac:dyDescent="0.25">
      <c r="A32" s="641">
        <v>22</v>
      </c>
      <c r="B32" s="668" t="s">
        <v>77</v>
      </c>
      <c r="C32" s="669" t="s">
        <v>9</v>
      </c>
      <c r="D32" s="73">
        <f>4367-543</f>
        <v>3824</v>
      </c>
      <c r="E32" s="74">
        <v>2176</v>
      </c>
      <c r="F32" s="74">
        <v>1457</v>
      </c>
      <c r="G32" s="61">
        <f t="shared" si="2"/>
        <v>7457</v>
      </c>
    </row>
    <row r="33" spans="1:7" ht="11.25" customHeight="1" x14ac:dyDescent="0.25">
      <c r="A33" s="641">
        <v>23</v>
      </c>
      <c r="B33" s="671" t="s">
        <v>78</v>
      </c>
      <c r="C33" s="669" t="s">
        <v>79</v>
      </c>
      <c r="D33" s="73">
        <v>521</v>
      </c>
      <c r="E33" s="74">
        <v>336</v>
      </c>
      <c r="F33" s="74">
        <v>225</v>
      </c>
      <c r="G33" s="61">
        <f t="shared" si="2"/>
        <v>1082</v>
      </c>
    </row>
    <row r="34" spans="1:7" ht="11.25" customHeight="1" x14ac:dyDescent="0.25">
      <c r="A34" s="641">
        <v>24</v>
      </c>
      <c r="B34" s="671" t="s">
        <v>178</v>
      </c>
      <c r="C34" s="672" t="s">
        <v>179</v>
      </c>
      <c r="D34" s="73"/>
      <c r="E34" s="74"/>
      <c r="F34" s="74"/>
      <c r="G34" s="61">
        <f t="shared" si="2"/>
        <v>0</v>
      </c>
    </row>
    <row r="35" spans="1:7" ht="11.25" customHeight="1" x14ac:dyDescent="0.25">
      <c r="A35" s="641">
        <v>25</v>
      </c>
      <c r="B35" s="671" t="s">
        <v>180</v>
      </c>
      <c r="C35" s="675" t="s">
        <v>181</v>
      </c>
      <c r="D35" s="73"/>
      <c r="E35" s="74"/>
      <c r="F35" s="74"/>
      <c r="G35" s="61">
        <f t="shared" si="2"/>
        <v>0</v>
      </c>
    </row>
    <row r="36" spans="1:7" ht="11.25" customHeight="1" x14ac:dyDescent="0.25">
      <c r="A36" s="641">
        <v>26</v>
      </c>
      <c r="B36" s="668" t="s">
        <v>123</v>
      </c>
      <c r="C36" s="669" t="s">
        <v>124</v>
      </c>
      <c r="D36" s="73">
        <v>4931</v>
      </c>
      <c r="E36" s="74">
        <f>4287-500-177</f>
        <v>3610</v>
      </c>
      <c r="F36" s="74">
        <v>2870</v>
      </c>
      <c r="G36" s="61">
        <f t="shared" si="2"/>
        <v>11411</v>
      </c>
    </row>
    <row r="37" spans="1:7" ht="11.25" customHeight="1" x14ac:dyDescent="0.25">
      <c r="A37" s="641">
        <v>27</v>
      </c>
      <c r="B37" s="671" t="s">
        <v>121</v>
      </c>
      <c r="C37" s="669" t="s">
        <v>122</v>
      </c>
      <c r="D37" s="73">
        <f>6341-260</f>
        <v>6081</v>
      </c>
      <c r="E37" s="74">
        <v>3065</v>
      </c>
      <c r="F37" s="74">
        <v>2052</v>
      </c>
      <c r="G37" s="61">
        <f t="shared" si="2"/>
        <v>11198</v>
      </c>
    </row>
    <row r="38" spans="1:7" ht="11.25" customHeight="1" x14ac:dyDescent="0.25">
      <c r="A38" s="641">
        <v>28</v>
      </c>
      <c r="B38" s="671" t="s">
        <v>182</v>
      </c>
      <c r="C38" s="669" t="s">
        <v>183</v>
      </c>
      <c r="D38" s="73">
        <v>3822</v>
      </c>
      <c r="E38" s="74"/>
      <c r="F38" s="74"/>
      <c r="G38" s="61">
        <f t="shared" si="2"/>
        <v>3822</v>
      </c>
    </row>
    <row r="39" spans="1:7" ht="11.25" customHeight="1" x14ac:dyDescent="0.25">
      <c r="A39" s="641">
        <v>29</v>
      </c>
      <c r="B39" s="670" t="s">
        <v>184</v>
      </c>
      <c r="C39" s="675" t="s">
        <v>65</v>
      </c>
      <c r="D39" s="73"/>
      <c r="E39" s="74"/>
      <c r="F39" s="74"/>
      <c r="G39" s="61">
        <f t="shared" si="2"/>
        <v>0</v>
      </c>
    </row>
    <row r="40" spans="1:7" ht="26.25" customHeight="1" x14ac:dyDescent="0.25">
      <c r="A40" s="641">
        <v>30</v>
      </c>
      <c r="B40" s="668" t="s">
        <v>80</v>
      </c>
      <c r="C40" s="675" t="s">
        <v>81</v>
      </c>
      <c r="D40" s="73"/>
      <c r="E40" s="74"/>
      <c r="F40" s="74"/>
      <c r="G40" s="61">
        <f t="shared" si="2"/>
        <v>0</v>
      </c>
    </row>
    <row r="41" spans="1:7" ht="11.25" customHeight="1" x14ac:dyDescent="0.25">
      <c r="A41" s="641">
        <v>31</v>
      </c>
      <c r="B41" s="671" t="s">
        <v>131</v>
      </c>
      <c r="C41" s="669" t="s">
        <v>185</v>
      </c>
      <c r="D41" s="73">
        <v>337</v>
      </c>
      <c r="E41" s="74">
        <v>217</v>
      </c>
      <c r="F41" s="74">
        <v>146</v>
      </c>
      <c r="G41" s="61">
        <f t="shared" si="2"/>
        <v>700</v>
      </c>
    </row>
    <row r="42" spans="1:7" ht="11.25" customHeight="1" x14ac:dyDescent="0.25">
      <c r="A42" s="641">
        <v>32</v>
      </c>
      <c r="B42" s="670" t="s">
        <v>82</v>
      </c>
      <c r="C42" s="669" t="s">
        <v>10</v>
      </c>
      <c r="D42" s="73">
        <v>4037</v>
      </c>
      <c r="E42" s="74">
        <v>2713</v>
      </c>
      <c r="F42" s="74">
        <f>1816-400</f>
        <v>1416</v>
      </c>
      <c r="G42" s="61">
        <f t="shared" si="2"/>
        <v>8166</v>
      </c>
    </row>
    <row r="43" spans="1:7" ht="11.25" customHeight="1" x14ac:dyDescent="0.25">
      <c r="A43" s="641">
        <v>33</v>
      </c>
      <c r="B43" s="668" t="s">
        <v>83</v>
      </c>
      <c r="C43" s="669" t="s">
        <v>11</v>
      </c>
      <c r="D43" s="73">
        <v>5270</v>
      </c>
      <c r="E43" s="74">
        <v>4434</v>
      </c>
      <c r="F43" s="74">
        <v>2968</v>
      </c>
      <c r="G43" s="61">
        <f t="shared" si="2"/>
        <v>12672</v>
      </c>
    </row>
    <row r="44" spans="1:7" ht="11.25" customHeight="1" x14ac:dyDescent="0.25">
      <c r="A44" s="641">
        <v>34</v>
      </c>
      <c r="B44" s="670" t="s">
        <v>125</v>
      </c>
      <c r="C44" s="669" t="s">
        <v>43</v>
      </c>
      <c r="D44" s="73">
        <f>258-50</f>
        <v>208</v>
      </c>
      <c r="E44" s="74"/>
      <c r="F44" s="74"/>
      <c r="G44" s="61">
        <f t="shared" si="2"/>
        <v>208</v>
      </c>
    </row>
    <row r="45" spans="1:7" ht="11.25" customHeight="1" x14ac:dyDescent="0.25">
      <c r="A45" s="641">
        <v>35</v>
      </c>
      <c r="B45" s="671" t="s">
        <v>84</v>
      </c>
      <c r="C45" s="669" t="s">
        <v>12</v>
      </c>
      <c r="D45" s="73">
        <v>2800</v>
      </c>
      <c r="E45" s="74"/>
      <c r="F45" s="74"/>
      <c r="G45" s="61">
        <f t="shared" si="2"/>
        <v>2800</v>
      </c>
    </row>
    <row r="46" spans="1:7" ht="11.25" customHeight="1" x14ac:dyDescent="0.25">
      <c r="A46" s="641">
        <v>36</v>
      </c>
      <c r="B46" s="670" t="s">
        <v>85</v>
      </c>
      <c r="C46" s="669" t="s">
        <v>49</v>
      </c>
      <c r="D46" s="73">
        <v>1410</v>
      </c>
      <c r="E46" s="74">
        <v>697</v>
      </c>
      <c r="F46" s="74">
        <f>466-50</f>
        <v>416</v>
      </c>
      <c r="G46" s="61">
        <f t="shared" si="2"/>
        <v>2523</v>
      </c>
    </row>
    <row r="47" spans="1:7" ht="11.25" customHeight="1" x14ac:dyDescent="0.25">
      <c r="A47" s="641">
        <v>37</v>
      </c>
      <c r="B47" s="668" t="s">
        <v>126</v>
      </c>
      <c r="C47" s="669" t="s">
        <v>25</v>
      </c>
      <c r="D47" s="73">
        <v>3562</v>
      </c>
      <c r="E47" s="74">
        <v>1789</v>
      </c>
      <c r="F47" s="74">
        <v>1198</v>
      </c>
      <c r="G47" s="61">
        <f t="shared" si="2"/>
        <v>6549</v>
      </c>
    </row>
    <row r="48" spans="1:7" ht="11.25" customHeight="1" x14ac:dyDescent="0.25">
      <c r="A48" s="641">
        <v>38</v>
      </c>
      <c r="B48" s="677" t="s">
        <v>127</v>
      </c>
      <c r="C48" s="669" t="s">
        <v>54</v>
      </c>
      <c r="D48" s="73">
        <v>1282</v>
      </c>
      <c r="E48" s="74"/>
      <c r="F48" s="74"/>
      <c r="G48" s="61">
        <f t="shared" si="2"/>
        <v>1282</v>
      </c>
    </row>
    <row r="49" spans="1:7" ht="11.25" customHeight="1" x14ac:dyDescent="0.25">
      <c r="A49" s="641">
        <v>39</v>
      </c>
      <c r="B49" s="668" t="s">
        <v>86</v>
      </c>
      <c r="C49" s="676" t="s">
        <v>57</v>
      </c>
      <c r="D49" s="62">
        <f>0+260</f>
        <v>260</v>
      </c>
      <c r="E49" s="63">
        <f>0+177</f>
        <v>177</v>
      </c>
      <c r="F49" s="74"/>
      <c r="G49" s="61">
        <f t="shared" si="2"/>
        <v>437</v>
      </c>
    </row>
    <row r="50" spans="1:7" ht="11.25" customHeight="1" x14ac:dyDescent="0.25">
      <c r="A50" s="641">
        <v>40</v>
      </c>
      <c r="B50" s="668" t="s">
        <v>87</v>
      </c>
      <c r="C50" s="669" t="s">
        <v>58</v>
      </c>
      <c r="D50" s="73">
        <v>1054</v>
      </c>
      <c r="E50" s="74"/>
      <c r="F50" s="74"/>
      <c r="G50" s="61">
        <f t="shared" si="2"/>
        <v>1054</v>
      </c>
    </row>
    <row r="51" spans="1:7" ht="11.25" customHeight="1" x14ac:dyDescent="0.25">
      <c r="A51" s="641">
        <v>41</v>
      </c>
      <c r="B51" s="671" t="s">
        <v>128</v>
      </c>
      <c r="C51" s="669" t="s">
        <v>59</v>
      </c>
      <c r="D51" s="73">
        <v>338</v>
      </c>
      <c r="E51" s="74">
        <v>174</v>
      </c>
      <c r="F51" s="74">
        <v>116</v>
      </c>
      <c r="G51" s="61">
        <f t="shared" si="2"/>
        <v>628</v>
      </c>
    </row>
    <row r="52" spans="1:7" ht="11.25" customHeight="1" x14ac:dyDescent="0.25">
      <c r="A52" s="641">
        <v>42</v>
      </c>
      <c r="B52" s="670" t="s">
        <v>129</v>
      </c>
      <c r="C52" s="669" t="s">
        <v>130</v>
      </c>
      <c r="D52" s="73">
        <v>750</v>
      </c>
      <c r="E52" s="74">
        <v>482</v>
      </c>
      <c r="F52" s="74">
        <v>324</v>
      </c>
      <c r="G52" s="61">
        <f t="shared" si="2"/>
        <v>1556</v>
      </c>
    </row>
    <row r="53" spans="1:7" ht="11.25" customHeight="1" x14ac:dyDescent="0.25">
      <c r="A53" s="641">
        <v>43</v>
      </c>
      <c r="B53" s="671" t="s">
        <v>88</v>
      </c>
      <c r="C53" s="669" t="s">
        <v>13</v>
      </c>
      <c r="D53" s="73">
        <v>4647</v>
      </c>
      <c r="E53" s="74">
        <v>2309</v>
      </c>
      <c r="F53" s="74">
        <v>1546</v>
      </c>
      <c r="G53" s="61">
        <f t="shared" si="2"/>
        <v>8502</v>
      </c>
    </row>
    <row r="54" spans="1:7" ht="11.25" customHeight="1" x14ac:dyDescent="0.25">
      <c r="A54" s="641">
        <v>44</v>
      </c>
      <c r="B54" s="668" t="s">
        <v>132</v>
      </c>
      <c r="C54" s="669" t="s">
        <v>30</v>
      </c>
      <c r="D54" s="73">
        <v>892</v>
      </c>
      <c r="E54" s="74">
        <v>576</v>
      </c>
      <c r="F54" s="74">
        <v>386</v>
      </c>
      <c r="G54" s="61">
        <f t="shared" si="2"/>
        <v>1854</v>
      </c>
    </row>
    <row r="55" spans="1:7" ht="11.25" customHeight="1" x14ac:dyDescent="0.25">
      <c r="A55" s="641">
        <v>45</v>
      </c>
      <c r="B55" s="668" t="s">
        <v>133</v>
      </c>
      <c r="C55" s="669" t="s">
        <v>14</v>
      </c>
      <c r="D55" s="73">
        <v>4373</v>
      </c>
      <c r="E55" s="74">
        <v>2286</v>
      </c>
      <c r="F55" s="74">
        <v>1531</v>
      </c>
      <c r="G55" s="61">
        <f t="shared" si="2"/>
        <v>8190</v>
      </c>
    </row>
    <row r="56" spans="1:7" ht="11.25" customHeight="1" x14ac:dyDescent="0.25">
      <c r="A56" s="641">
        <v>46</v>
      </c>
      <c r="B56" s="671" t="s">
        <v>134</v>
      </c>
      <c r="C56" s="669" t="s">
        <v>33</v>
      </c>
      <c r="D56" s="73">
        <v>727</v>
      </c>
      <c r="E56" s="74">
        <v>469</v>
      </c>
      <c r="F56" s="74">
        <v>314</v>
      </c>
      <c r="G56" s="61">
        <f t="shared" si="2"/>
        <v>1510</v>
      </c>
    </row>
    <row r="57" spans="1:7" ht="11.25" customHeight="1" x14ac:dyDescent="0.25">
      <c r="A57" s="641">
        <v>47</v>
      </c>
      <c r="B57" s="671" t="s">
        <v>89</v>
      </c>
      <c r="C57" s="669" t="s">
        <v>38</v>
      </c>
      <c r="D57" s="73">
        <v>1092</v>
      </c>
      <c r="E57" s="74"/>
      <c r="F57" s="74"/>
      <c r="G57" s="61">
        <f t="shared" si="2"/>
        <v>1092</v>
      </c>
    </row>
    <row r="58" spans="1:7" ht="11.25" customHeight="1" x14ac:dyDescent="0.25">
      <c r="A58" s="641">
        <v>48</v>
      </c>
      <c r="B58" s="670" t="s">
        <v>90</v>
      </c>
      <c r="C58" s="669" t="s">
        <v>39</v>
      </c>
      <c r="D58" s="73">
        <v>1719</v>
      </c>
      <c r="E58" s="74">
        <v>857</v>
      </c>
      <c r="F58" s="74">
        <v>574</v>
      </c>
      <c r="G58" s="61">
        <f t="shared" si="2"/>
        <v>3150</v>
      </c>
    </row>
    <row r="59" spans="1:7" ht="11.25" customHeight="1" x14ac:dyDescent="0.25">
      <c r="A59" s="641">
        <v>49</v>
      </c>
      <c r="B59" s="671" t="s">
        <v>135</v>
      </c>
      <c r="C59" s="676" t="s">
        <v>40</v>
      </c>
      <c r="D59" s="73"/>
      <c r="E59" s="74"/>
      <c r="F59" s="74"/>
      <c r="G59" s="61">
        <f t="shared" si="2"/>
        <v>0</v>
      </c>
    </row>
    <row r="60" spans="1:7" ht="11.25" customHeight="1" x14ac:dyDescent="0.25">
      <c r="A60" s="641">
        <v>50</v>
      </c>
      <c r="B60" s="670" t="s">
        <v>91</v>
      </c>
      <c r="C60" s="669" t="s">
        <v>53</v>
      </c>
      <c r="D60" s="73">
        <v>0</v>
      </c>
      <c r="E60" s="74">
        <v>604</v>
      </c>
      <c r="F60" s="74">
        <v>405</v>
      </c>
      <c r="G60" s="61">
        <f t="shared" si="2"/>
        <v>1009</v>
      </c>
    </row>
    <row r="61" spans="1:7" ht="11.25" customHeight="1" x14ac:dyDescent="0.25">
      <c r="A61" s="641">
        <v>51</v>
      </c>
      <c r="B61" s="671" t="s">
        <v>92</v>
      </c>
      <c r="C61" s="669" t="s">
        <v>56</v>
      </c>
      <c r="D61" s="73">
        <v>1723</v>
      </c>
      <c r="E61" s="74">
        <v>850</v>
      </c>
      <c r="F61" s="74">
        <v>569</v>
      </c>
      <c r="G61" s="61">
        <f t="shared" si="2"/>
        <v>3142</v>
      </c>
    </row>
    <row r="62" spans="1:7" ht="11.25" customHeight="1" x14ac:dyDescent="0.25">
      <c r="A62" s="641">
        <v>52</v>
      </c>
      <c r="B62" s="671" t="s">
        <v>136</v>
      </c>
      <c r="C62" s="669" t="s">
        <v>15</v>
      </c>
      <c r="D62" s="73">
        <f>4223-500-500</f>
        <v>3223</v>
      </c>
      <c r="E62" s="74">
        <f>3302-576</f>
        <v>2726</v>
      </c>
      <c r="F62" s="74">
        <f>2211-386</f>
        <v>1825</v>
      </c>
      <c r="G62" s="61">
        <f t="shared" si="2"/>
        <v>7774</v>
      </c>
    </row>
    <row r="63" spans="1:7" ht="11.25" customHeight="1" x14ac:dyDescent="0.25">
      <c r="A63" s="641">
        <v>53</v>
      </c>
      <c r="B63" s="671" t="s">
        <v>137</v>
      </c>
      <c r="C63" s="669" t="s">
        <v>61</v>
      </c>
      <c r="D63" s="73">
        <v>947</v>
      </c>
      <c r="E63" s="74">
        <v>476</v>
      </c>
      <c r="F63" s="74">
        <v>319</v>
      </c>
      <c r="G63" s="61">
        <f t="shared" si="2"/>
        <v>1742</v>
      </c>
    </row>
    <row r="64" spans="1:7" ht="11.25" customHeight="1" x14ac:dyDescent="0.25">
      <c r="A64" s="641">
        <v>54</v>
      </c>
      <c r="B64" s="671" t="s">
        <v>186</v>
      </c>
      <c r="C64" s="675" t="s">
        <v>187</v>
      </c>
      <c r="D64" s="73"/>
      <c r="E64" s="74"/>
      <c r="F64" s="74"/>
      <c r="G64" s="61">
        <f t="shared" si="2"/>
        <v>0</v>
      </c>
    </row>
    <row r="65" spans="1:7" ht="11.25" customHeight="1" x14ac:dyDescent="0.25">
      <c r="A65" s="641">
        <v>55</v>
      </c>
      <c r="B65" s="671" t="s">
        <v>188</v>
      </c>
      <c r="C65" s="675" t="s">
        <v>189</v>
      </c>
      <c r="D65" s="73"/>
      <c r="E65" s="74"/>
      <c r="F65" s="74"/>
      <c r="G65" s="61">
        <f t="shared" si="2"/>
        <v>0</v>
      </c>
    </row>
    <row r="66" spans="1:7" ht="11.25" customHeight="1" x14ac:dyDescent="0.25">
      <c r="A66" s="641">
        <v>56</v>
      </c>
      <c r="B66" s="671" t="s">
        <v>190</v>
      </c>
      <c r="C66" s="669" t="s">
        <v>191</v>
      </c>
      <c r="D66" s="73">
        <v>1711</v>
      </c>
      <c r="E66" s="74"/>
      <c r="F66" s="74"/>
      <c r="G66" s="61">
        <f t="shared" si="2"/>
        <v>1711</v>
      </c>
    </row>
    <row r="67" spans="1:7" ht="11.25" customHeight="1" x14ac:dyDescent="0.25">
      <c r="A67" s="641">
        <v>57</v>
      </c>
      <c r="B67" s="670" t="s">
        <v>192</v>
      </c>
      <c r="C67" s="669" t="s">
        <v>343</v>
      </c>
      <c r="D67" s="73">
        <v>1401</v>
      </c>
      <c r="E67" s="74"/>
      <c r="F67" s="74"/>
      <c r="G67" s="61">
        <f t="shared" si="2"/>
        <v>1401</v>
      </c>
    </row>
    <row r="68" spans="1:7" ht="11.25" customHeight="1" x14ac:dyDescent="0.25">
      <c r="A68" s="641">
        <v>58</v>
      </c>
      <c r="B68" s="668" t="s">
        <v>194</v>
      </c>
      <c r="C68" s="669" t="s">
        <v>195</v>
      </c>
      <c r="D68" s="73">
        <v>1969</v>
      </c>
      <c r="E68" s="74"/>
      <c r="F68" s="74"/>
      <c r="G68" s="61">
        <f t="shared" si="2"/>
        <v>1969</v>
      </c>
    </row>
    <row r="69" spans="1:7" ht="11.25" customHeight="1" x14ac:dyDescent="0.25">
      <c r="A69" s="641">
        <v>59</v>
      </c>
      <c r="B69" s="670" t="s">
        <v>196</v>
      </c>
      <c r="C69" s="669" t="s">
        <v>344</v>
      </c>
      <c r="D69" s="73">
        <v>2452</v>
      </c>
      <c r="E69" s="74"/>
      <c r="F69" s="74"/>
      <c r="G69" s="61">
        <f t="shared" si="2"/>
        <v>2452</v>
      </c>
    </row>
    <row r="70" spans="1:7" ht="27.75" customHeight="1" x14ac:dyDescent="0.25">
      <c r="A70" s="641">
        <v>60</v>
      </c>
      <c r="B70" s="671" t="s">
        <v>198</v>
      </c>
      <c r="C70" s="669" t="s">
        <v>199</v>
      </c>
      <c r="D70" s="73">
        <v>960</v>
      </c>
      <c r="E70" s="74"/>
      <c r="F70" s="74"/>
      <c r="G70" s="61">
        <f t="shared" si="2"/>
        <v>960</v>
      </c>
    </row>
    <row r="71" spans="1:7" ht="27.75" customHeight="1" x14ac:dyDescent="0.25">
      <c r="A71" s="641">
        <v>61</v>
      </c>
      <c r="B71" s="668" t="s">
        <v>200</v>
      </c>
      <c r="C71" s="675" t="s">
        <v>543</v>
      </c>
      <c r="D71" s="73"/>
      <c r="E71" s="74"/>
      <c r="F71" s="74"/>
      <c r="G71" s="61">
        <f t="shared" si="2"/>
        <v>0</v>
      </c>
    </row>
    <row r="72" spans="1:7" ht="27.75" customHeight="1" x14ac:dyDescent="0.25">
      <c r="A72" s="641">
        <v>62</v>
      </c>
      <c r="B72" s="668" t="s">
        <v>202</v>
      </c>
      <c r="C72" s="675" t="s">
        <v>544</v>
      </c>
      <c r="D72" s="73"/>
      <c r="E72" s="74"/>
      <c r="F72" s="74"/>
      <c r="G72" s="61">
        <f t="shared" si="2"/>
        <v>0</v>
      </c>
    </row>
    <row r="73" spans="1:7" ht="11.25" customHeight="1" x14ac:dyDescent="0.25">
      <c r="A73" s="641">
        <v>63</v>
      </c>
      <c r="B73" s="670" t="s">
        <v>151</v>
      </c>
      <c r="C73" s="669" t="s">
        <v>345</v>
      </c>
      <c r="D73" s="73">
        <v>3488</v>
      </c>
      <c r="E73" s="74">
        <v>2252</v>
      </c>
      <c r="F73" s="74">
        <v>1508</v>
      </c>
      <c r="G73" s="61">
        <f t="shared" si="2"/>
        <v>7248</v>
      </c>
    </row>
    <row r="74" spans="1:7" ht="11.25" customHeight="1" x14ac:dyDescent="0.25">
      <c r="A74" s="641">
        <v>64</v>
      </c>
      <c r="B74" s="670" t="s">
        <v>152</v>
      </c>
      <c r="C74" s="669" t="s">
        <v>153</v>
      </c>
      <c r="D74" s="73">
        <v>2080</v>
      </c>
      <c r="E74" s="74">
        <v>1343</v>
      </c>
      <c r="F74" s="74">
        <v>899</v>
      </c>
      <c r="G74" s="61">
        <f t="shared" si="2"/>
        <v>4322</v>
      </c>
    </row>
    <row r="75" spans="1:7" ht="11.25" customHeight="1" x14ac:dyDescent="0.25">
      <c r="A75" s="641">
        <v>65</v>
      </c>
      <c r="B75" s="670" t="s">
        <v>154</v>
      </c>
      <c r="C75" s="669" t="s">
        <v>346</v>
      </c>
      <c r="D75" s="73">
        <v>4791</v>
      </c>
      <c r="E75" s="74">
        <v>3092</v>
      </c>
      <c r="F75" s="74">
        <v>2071</v>
      </c>
      <c r="G75" s="61">
        <f t="shared" si="2"/>
        <v>9954</v>
      </c>
    </row>
    <row r="76" spans="1:7" ht="28.5" customHeight="1" x14ac:dyDescent="0.25">
      <c r="A76" s="641">
        <v>66</v>
      </c>
      <c r="B76" s="670" t="s">
        <v>206</v>
      </c>
      <c r="C76" s="675" t="s">
        <v>545</v>
      </c>
      <c r="D76" s="73"/>
      <c r="E76" s="74"/>
      <c r="F76" s="74"/>
      <c r="G76" s="61">
        <f t="shared" si="2"/>
        <v>0</v>
      </c>
    </row>
    <row r="77" spans="1:7" ht="28.5" customHeight="1" x14ac:dyDescent="0.25">
      <c r="A77" s="641">
        <v>67</v>
      </c>
      <c r="B77" s="668" t="s">
        <v>208</v>
      </c>
      <c r="C77" s="675" t="s">
        <v>386</v>
      </c>
      <c r="D77" s="73"/>
      <c r="E77" s="74"/>
      <c r="F77" s="74"/>
      <c r="G77" s="61">
        <f t="shared" si="2"/>
        <v>0</v>
      </c>
    </row>
    <row r="78" spans="1:7" ht="28.5" customHeight="1" x14ac:dyDescent="0.25">
      <c r="A78" s="641">
        <v>68</v>
      </c>
      <c r="B78" s="670" t="s">
        <v>210</v>
      </c>
      <c r="C78" s="675" t="s">
        <v>546</v>
      </c>
      <c r="D78" s="73"/>
      <c r="E78" s="74"/>
      <c r="F78" s="74"/>
      <c r="G78" s="61">
        <f t="shared" si="2"/>
        <v>0</v>
      </c>
    </row>
    <row r="79" spans="1:7" ht="28.5" customHeight="1" x14ac:dyDescent="0.25">
      <c r="A79" s="641">
        <v>69</v>
      </c>
      <c r="B79" s="670" t="s">
        <v>212</v>
      </c>
      <c r="C79" s="675" t="s">
        <v>547</v>
      </c>
      <c r="D79" s="73"/>
      <c r="E79" s="74"/>
      <c r="F79" s="74"/>
      <c r="G79" s="61">
        <f t="shared" si="2"/>
        <v>0</v>
      </c>
    </row>
    <row r="80" spans="1:7" ht="28.5" customHeight="1" x14ac:dyDescent="0.25">
      <c r="A80" s="641">
        <v>70</v>
      </c>
      <c r="B80" s="668" t="s">
        <v>214</v>
      </c>
      <c r="C80" s="675" t="s">
        <v>548</v>
      </c>
      <c r="D80" s="73"/>
      <c r="E80" s="74"/>
      <c r="F80" s="74"/>
      <c r="G80" s="61">
        <f t="shared" si="2"/>
        <v>0</v>
      </c>
    </row>
    <row r="81" spans="1:7" ht="28.5" customHeight="1" x14ac:dyDescent="0.25">
      <c r="A81" s="641">
        <v>71</v>
      </c>
      <c r="B81" s="668" t="s">
        <v>216</v>
      </c>
      <c r="C81" s="675" t="s">
        <v>549</v>
      </c>
      <c r="D81" s="73"/>
      <c r="E81" s="74"/>
      <c r="F81" s="74"/>
      <c r="G81" s="61">
        <f t="shared" si="2"/>
        <v>0</v>
      </c>
    </row>
    <row r="82" spans="1:7" ht="28.5" customHeight="1" x14ac:dyDescent="0.25">
      <c r="A82" s="641">
        <v>72</v>
      </c>
      <c r="B82" s="668" t="s">
        <v>218</v>
      </c>
      <c r="C82" s="675" t="s">
        <v>550</v>
      </c>
      <c r="D82" s="73"/>
      <c r="E82" s="74"/>
      <c r="F82" s="74"/>
      <c r="G82" s="61">
        <f t="shared" si="2"/>
        <v>0</v>
      </c>
    </row>
    <row r="83" spans="1:7" ht="11.25" customHeight="1" x14ac:dyDescent="0.25">
      <c r="A83" s="641">
        <v>73</v>
      </c>
      <c r="B83" s="671" t="s">
        <v>148</v>
      </c>
      <c r="C83" s="678" t="s">
        <v>16</v>
      </c>
      <c r="D83" s="62">
        <v>3565</v>
      </c>
      <c r="E83" s="63">
        <v>1625</v>
      </c>
      <c r="F83" s="63">
        <v>1088</v>
      </c>
      <c r="G83" s="61">
        <f t="shared" si="2"/>
        <v>6278</v>
      </c>
    </row>
    <row r="84" spans="1:7" ht="11.25" customHeight="1" x14ac:dyDescent="0.25">
      <c r="A84" s="641">
        <v>74</v>
      </c>
      <c r="B84" s="668" t="s">
        <v>145</v>
      </c>
      <c r="C84" s="678" t="s">
        <v>347</v>
      </c>
      <c r="D84" s="62">
        <v>6616</v>
      </c>
      <c r="E84" s="63">
        <v>4134</v>
      </c>
      <c r="F84" s="63">
        <v>2768</v>
      </c>
      <c r="G84" s="61">
        <f t="shared" si="2"/>
        <v>13518</v>
      </c>
    </row>
    <row r="85" spans="1:7" ht="11.25" customHeight="1" x14ac:dyDescent="0.25">
      <c r="A85" s="641">
        <v>75</v>
      </c>
      <c r="B85" s="671" t="s">
        <v>146</v>
      </c>
      <c r="C85" s="678" t="s">
        <v>147</v>
      </c>
      <c r="D85" s="62">
        <v>5592</v>
      </c>
      <c r="E85" s="63">
        <v>3325</v>
      </c>
      <c r="F85" s="63">
        <v>2226</v>
      </c>
      <c r="G85" s="61">
        <f t="shared" si="2"/>
        <v>11143</v>
      </c>
    </row>
    <row r="86" spans="1:7" ht="11.25" customHeight="1" x14ac:dyDescent="0.25">
      <c r="A86" s="641">
        <v>76</v>
      </c>
      <c r="B86" s="668" t="s">
        <v>140</v>
      </c>
      <c r="C86" s="678" t="s">
        <v>141</v>
      </c>
      <c r="D86" s="62">
        <v>1045</v>
      </c>
      <c r="E86" s="63">
        <v>674</v>
      </c>
      <c r="F86" s="63">
        <v>451</v>
      </c>
      <c r="G86" s="61">
        <f t="shared" si="2"/>
        <v>2170</v>
      </c>
    </row>
    <row r="87" spans="1:7" ht="11.25" customHeight="1" x14ac:dyDescent="0.25">
      <c r="A87" s="641">
        <v>77</v>
      </c>
      <c r="B87" s="668" t="s">
        <v>142</v>
      </c>
      <c r="C87" s="678" t="s">
        <v>143</v>
      </c>
      <c r="D87" s="62">
        <v>6047</v>
      </c>
      <c r="E87" s="63">
        <v>3903</v>
      </c>
      <c r="F87" s="63">
        <v>2614</v>
      </c>
      <c r="G87" s="61">
        <f t="shared" si="2"/>
        <v>12564</v>
      </c>
    </row>
    <row r="88" spans="1:7" ht="11.25" customHeight="1" x14ac:dyDescent="0.25">
      <c r="A88" s="641">
        <v>78</v>
      </c>
      <c r="B88" s="668" t="s">
        <v>221</v>
      </c>
      <c r="C88" s="678" t="s">
        <v>222</v>
      </c>
      <c r="D88" s="62">
        <v>1449</v>
      </c>
      <c r="E88" s="63"/>
      <c r="F88" s="63"/>
      <c r="G88" s="61">
        <f t="shared" si="2"/>
        <v>1449</v>
      </c>
    </row>
    <row r="89" spans="1:7" ht="11.25" customHeight="1" x14ac:dyDescent="0.25">
      <c r="A89" s="641">
        <v>79</v>
      </c>
      <c r="B89" s="668" t="s">
        <v>144</v>
      </c>
      <c r="C89" s="678" t="s">
        <v>334</v>
      </c>
      <c r="D89" s="62">
        <v>4937</v>
      </c>
      <c r="E89" s="63">
        <v>3186</v>
      </c>
      <c r="F89" s="63">
        <v>2134</v>
      </c>
      <c r="G89" s="61">
        <f t="shared" si="2"/>
        <v>10257</v>
      </c>
    </row>
    <row r="90" spans="1:7" ht="11.25" customHeight="1" x14ac:dyDescent="0.25">
      <c r="A90" s="641">
        <v>80</v>
      </c>
      <c r="B90" s="668" t="s">
        <v>224</v>
      </c>
      <c r="C90" s="675" t="s">
        <v>225</v>
      </c>
      <c r="D90" s="62"/>
      <c r="E90" s="63"/>
      <c r="F90" s="63"/>
      <c r="G90" s="61">
        <f t="shared" si="2"/>
        <v>0</v>
      </c>
    </row>
    <row r="91" spans="1:7" ht="11.25" customHeight="1" x14ac:dyDescent="0.25">
      <c r="A91" s="641">
        <v>81</v>
      </c>
      <c r="B91" s="670" t="s">
        <v>93</v>
      </c>
      <c r="C91" s="675" t="s">
        <v>551</v>
      </c>
      <c r="D91" s="62"/>
      <c r="E91" s="63"/>
      <c r="F91" s="63"/>
      <c r="G91" s="61">
        <f t="shared" si="2"/>
        <v>0</v>
      </c>
    </row>
    <row r="92" spans="1:7" ht="11.25" customHeight="1" x14ac:dyDescent="0.25">
      <c r="A92" s="641">
        <v>82</v>
      </c>
      <c r="B92" s="671" t="s">
        <v>157</v>
      </c>
      <c r="C92" s="678" t="s">
        <v>17</v>
      </c>
      <c r="D92" s="62">
        <v>279</v>
      </c>
      <c r="E92" s="63">
        <v>180</v>
      </c>
      <c r="F92" s="63">
        <v>120</v>
      </c>
      <c r="G92" s="61">
        <f t="shared" si="2"/>
        <v>579</v>
      </c>
    </row>
    <row r="93" spans="1:7" ht="11.25" customHeight="1" x14ac:dyDescent="0.25">
      <c r="A93" s="641">
        <v>83</v>
      </c>
      <c r="B93" s="670" t="s">
        <v>226</v>
      </c>
      <c r="C93" s="675" t="s">
        <v>227</v>
      </c>
      <c r="D93" s="62"/>
      <c r="E93" s="63"/>
      <c r="F93" s="63"/>
      <c r="G93" s="61">
        <f t="shared" si="2"/>
        <v>0</v>
      </c>
    </row>
    <row r="94" spans="1:7" ht="11.25" customHeight="1" x14ac:dyDescent="0.25">
      <c r="A94" s="641">
        <v>84</v>
      </c>
      <c r="B94" s="670" t="s">
        <v>155</v>
      </c>
      <c r="C94" s="678" t="s">
        <v>156</v>
      </c>
      <c r="D94" s="62">
        <v>245</v>
      </c>
      <c r="E94" s="63">
        <v>158</v>
      </c>
      <c r="F94" s="63">
        <v>106</v>
      </c>
      <c r="G94" s="61">
        <f t="shared" si="2"/>
        <v>509</v>
      </c>
    </row>
    <row r="95" spans="1:7" ht="11.25" customHeight="1" x14ac:dyDescent="0.25">
      <c r="A95" s="641">
        <v>85</v>
      </c>
      <c r="B95" s="671" t="s">
        <v>158</v>
      </c>
      <c r="C95" s="678" t="s">
        <v>228</v>
      </c>
      <c r="D95" s="62">
        <f>5038-1208</f>
        <v>3830</v>
      </c>
      <c r="E95" s="63">
        <f>3956-604</f>
        <v>3352</v>
      </c>
      <c r="F95" s="63">
        <f>2649-522</f>
        <v>2127</v>
      </c>
      <c r="G95" s="61">
        <f t="shared" si="2"/>
        <v>9309</v>
      </c>
    </row>
    <row r="96" spans="1:7" ht="11.25" customHeight="1" x14ac:dyDescent="0.25">
      <c r="A96" s="641">
        <v>86</v>
      </c>
      <c r="B96" s="670" t="s">
        <v>95</v>
      </c>
      <c r="C96" s="678" t="s">
        <v>27</v>
      </c>
      <c r="D96" s="62">
        <v>782</v>
      </c>
      <c r="E96" s="63">
        <v>376</v>
      </c>
      <c r="F96" s="63">
        <v>252</v>
      </c>
      <c r="G96" s="61">
        <f t="shared" si="2"/>
        <v>1410</v>
      </c>
    </row>
    <row r="97" spans="1:7" ht="11.25" customHeight="1" x14ac:dyDescent="0.25">
      <c r="A97" s="641">
        <v>87</v>
      </c>
      <c r="B97" s="671" t="s">
        <v>138</v>
      </c>
      <c r="C97" s="678" t="s">
        <v>32</v>
      </c>
      <c r="D97" s="62">
        <v>315</v>
      </c>
      <c r="E97" s="63">
        <v>203</v>
      </c>
      <c r="F97" s="63">
        <v>136</v>
      </c>
      <c r="G97" s="61">
        <f t="shared" si="2"/>
        <v>654</v>
      </c>
    </row>
    <row r="98" spans="1:7" ht="11.25" customHeight="1" x14ac:dyDescent="0.25">
      <c r="A98" s="641">
        <v>88</v>
      </c>
      <c r="B98" s="671" t="s">
        <v>96</v>
      </c>
      <c r="C98" s="678" t="s">
        <v>18</v>
      </c>
      <c r="D98" s="62">
        <v>2210</v>
      </c>
      <c r="E98" s="63">
        <v>1079</v>
      </c>
      <c r="F98" s="63">
        <f>722-50</f>
        <v>672</v>
      </c>
      <c r="G98" s="61">
        <f t="shared" si="2"/>
        <v>3961</v>
      </c>
    </row>
    <row r="99" spans="1:7" ht="11.25" customHeight="1" x14ac:dyDescent="0.25">
      <c r="A99" s="641">
        <v>89</v>
      </c>
      <c r="B99" s="670" t="s">
        <v>139</v>
      </c>
      <c r="C99" s="678" t="s">
        <v>19</v>
      </c>
      <c r="D99" s="62">
        <v>722</v>
      </c>
      <c r="E99" s="63">
        <v>466</v>
      </c>
      <c r="F99" s="63">
        <v>312</v>
      </c>
      <c r="G99" s="61">
        <f t="shared" si="2"/>
        <v>1500</v>
      </c>
    </row>
    <row r="100" spans="1:7" ht="11.25" customHeight="1" x14ac:dyDescent="0.25">
      <c r="A100" s="641">
        <v>90</v>
      </c>
      <c r="B100" s="670" t="s">
        <v>97</v>
      </c>
      <c r="C100" s="678" t="s">
        <v>34</v>
      </c>
      <c r="D100" s="62">
        <v>1167</v>
      </c>
      <c r="E100" s="63">
        <v>588</v>
      </c>
      <c r="F100" s="63">
        <v>394</v>
      </c>
      <c r="G100" s="61">
        <f t="shared" si="2"/>
        <v>2149</v>
      </c>
    </row>
    <row r="101" spans="1:7" ht="11.25" customHeight="1" x14ac:dyDescent="0.25">
      <c r="A101" s="641">
        <v>91</v>
      </c>
      <c r="B101" s="668" t="s">
        <v>98</v>
      </c>
      <c r="C101" s="676" t="s">
        <v>42</v>
      </c>
      <c r="D101" s="62"/>
      <c r="E101" s="63"/>
      <c r="F101" s="63"/>
      <c r="G101" s="61">
        <f t="shared" si="2"/>
        <v>0</v>
      </c>
    </row>
    <row r="102" spans="1:7" ht="11.25" customHeight="1" x14ac:dyDescent="0.25">
      <c r="A102" s="641">
        <v>92</v>
      </c>
      <c r="B102" s="668" t="s">
        <v>99</v>
      </c>
      <c r="C102" s="676" t="s">
        <v>2264</v>
      </c>
      <c r="D102" s="62"/>
      <c r="E102" s="63"/>
      <c r="F102" s="63"/>
      <c r="G102" s="61">
        <f t="shared" si="2"/>
        <v>0</v>
      </c>
    </row>
    <row r="103" spans="1:7" ht="11.25" customHeight="1" x14ac:dyDescent="0.25">
      <c r="A103" s="641">
        <v>93</v>
      </c>
      <c r="B103" s="671" t="s">
        <v>149</v>
      </c>
      <c r="C103" s="678" t="s">
        <v>47</v>
      </c>
      <c r="D103" s="62">
        <v>517</v>
      </c>
      <c r="E103" s="63"/>
      <c r="F103" s="63"/>
      <c r="G103" s="61">
        <f t="shared" si="2"/>
        <v>517</v>
      </c>
    </row>
    <row r="104" spans="1:7" ht="11.25" customHeight="1" x14ac:dyDescent="0.25">
      <c r="A104" s="641">
        <v>94</v>
      </c>
      <c r="B104" s="668" t="s">
        <v>100</v>
      </c>
      <c r="C104" s="676" t="s">
        <v>50</v>
      </c>
      <c r="D104" s="62"/>
      <c r="E104" s="63"/>
      <c r="F104" s="63"/>
      <c r="G104" s="61">
        <f t="shared" si="2"/>
        <v>0</v>
      </c>
    </row>
    <row r="105" spans="1:7" ht="11.25" customHeight="1" x14ac:dyDescent="0.25">
      <c r="A105" s="641">
        <v>95</v>
      </c>
      <c r="B105" s="668" t="s">
        <v>150</v>
      </c>
      <c r="C105" s="678" t="s">
        <v>51</v>
      </c>
      <c r="D105" s="62">
        <v>1104</v>
      </c>
      <c r="E105" s="63">
        <v>552</v>
      </c>
      <c r="F105" s="63">
        <v>370</v>
      </c>
      <c r="G105" s="61">
        <f t="shared" si="2"/>
        <v>2026</v>
      </c>
    </row>
    <row r="106" spans="1:7" ht="11.25" customHeight="1" x14ac:dyDescent="0.25">
      <c r="A106" s="641">
        <v>96</v>
      </c>
      <c r="B106" s="670" t="s">
        <v>101</v>
      </c>
      <c r="C106" s="678" t="s">
        <v>20</v>
      </c>
      <c r="D106" s="62">
        <f>2152-315</f>
        <v>1837</v>
      </c>
      <c r="E106" s="63">
        <f>1361-203</f>
        <v>1158</v>
      </c>
      <c r="F106" s="63">
        <f>911-136</f>
        <v>775</v>
      </c>
      <c r="G106" s="61">
        <f t="shared" si="2"/>
        <v>3770</v>
      </c>
    </row>
    <row r="107" spans="1:7" ht="11.25" customHeight="1" x14ac:dyDescent="0.25">
      <c r="A107" s="641">
        <v>97</v>
      </c>
      <c r="B107" s="671" t="s">
        <v>102</v>
      </c>
      <c r="C107" s="678" t="s">
        <v>55</v>
      </c>
      <c r="D107" s="62">
        <v>671</v>
      </c>
      <c r="E107" s="63">
        <v>433</v>
      </c>
      <c r="F107" s="63">
        <v>290</v>
      </c>
      <c r="G107" s="61">
        <f t="shared" ref="G107:G147" si="3">D107+E107+F107</f>
        <v>1394</v>
      </c>
    </row>
    <row r="108" spans="1:7" ht="11.25" customHeight="1" x14ac:dyDescent="0.25">
      <c r="A108" s="641">
        <v>98</v>
      </c>
      <c r="B108" s="671" t="s">
        <v>103</v>
      </c>
      <c r="C108" s="678" t="s">
        <v>60</v>
      </c>
      <c r="D108" s="62">
        <v>1268</v>
      </c>
      <c r="E108" s="63">
        <v>638</v>
      </c>
      <c r="F108" s="63">
        <v>425</v>
      </c>
      <c r="G108" s="61">
        <f t="shared" si="3"/>
        <v>2331</v>
      </c>
    </row>
    <row r="109" spans="1:7" ht="11.25" customHeight="1" x14ac:dyDescent="0.25">
      <c r="A109" s="641">
        <v>99</v>
      </c>
      <c r="B109" s="668" t="s">
        <v>104</v>
      </c>
      <c r="C109" s="678" t="s">
        <v>21</v>
      </c>
      <c r="D109" s="62">
        <v>2457</v>
      </c>
      <c r="E109" s="63">
        <v>1586</v>
      </c>
      <c r="F109" s="63">
        <v>1062</v>
      </c>
      <c r="G109" s="61">
        <f t="shared" si="3"/>
        <v>5105</v>
      </c>
    </row>
    <row r="110" spans="1:7" ht="11.25" customHeight="1" x14ac:dyDescent="0.25">
      <c r="A110" s="641">
        <v>100</v>
      </c>
      <c r="B110" s="670" t="s">
        <v>105</v>
      </c>
      <c r="C110" s="673" t="s">
        <v>62</v>
      </c>
      <c r="D110" s="62"/>
      <c r="E110" s="63"/>
      <c r="F110" s="63"/>
      <c r="G110" s="61">
        <f t="shared" si="3"/>
        <v>0</v>
      </c>
    </row>
    <row r="111" spans="1:7" ht="11.25" customHeight="1" x14ac:dyDescent="0.25">
      <c r="A111" s="641">
        <v>101</v>
      </c>
      <c r="B111" s="668" t="s">
        <v>229</v>
      </c>
      <c r="C111" s="675" t="s">
        <v>230</v>
      </c>
      <c r="D111" s="62"/>
      <c r="E111" s="63"/>
      <c r="F111" s="63"/>
      <c r="G111" s="61">
        <f t="shared" si="3"/>
        <v>0</v>
      </c>
    </row>
    <row r="112" spans="1:7" ht="11.25" customHeight="1" x14ac:dyDescent="0.25">
      <c r="A112" s="641">
        <v>102</v>
      </c>
      <c r="B112" s="668" t="s">
        <v>231</v>
      </c>
      <c r="C112" s="675" t="s">
        <v>232</v>
      </c>
      <c r="D112" s="62"/>
      <c r="E112" s="63"/>
      <c r="F112" s="63"/>
      <c r="G112" s="61">
        <f t="shared" si="3"/>
        <v>0</v>
      </c>
    </row>
    <row r="113" spans="1:7" ht="11.25" customHeight="1" x14ac:dyDescent="0.25">
      <c r="A113" s="641">
        <v>103</v>
      </c>
      <c r="B113" s="671" t="s">
        <v>233</v>
      </c>
      <c r="C113" s="675" t="s">
        <v>234</v>
      </c>
      <c r="D113" s="62"/>
      <c r="E113" s="63"/>
      <c r="F113" s="63"/>
      <c r="G113" s="61">
        <f t="shared" si="3"/>
        <v>0</v>
      </c>
    </row>
    <row r="114" spans="1:7" ht="11.25" customHeight="1" x14ac:dyDescent="0.25">
      <c r="A114" s="641">
        <v>104</v>
      </c>
      <c r="B114" s="671" t="s">
        <v>235</v>
      </c>
      <c r="C114" s="675" t="s">
        <v>236</v>
      </c>
      <c r="D114" s="62"/>
      <c r="E114" s="63"/>
      <c r="F114" s="63"/>
      <c r="G114" s="61">
        <f t="shared" si="3"/>
        <v>0</v>
      </c>
    </row>
    <row r="115" spans="1:7" ht="11.25" customHeight="1" x14ac:dyDescent="0.25">
      <c r="A115" s="641">
        <v>105</v>
      </c>
      <c r="B115" s="671" t="s">
        <v>237</v>
      </c>
      <c r="C115" s="675" t="s">
        <v>238</v>
      </c>
      <c r="D115" s="62"/>
      <c r="E115" s="63"/>
      <c r="F115" s="63"/>
      <c r="G115" s="61">
        <f t="shared" si="3"/>
        <v>0</v>
      </c>
    </row>
    <row r="116" spans="1:7" ht="11.25" customHeight="1" x14ac:dyDescent="0.25">
      <c r="A116" s="641">
        <v>106</v>
      </c>
      <c r="B116" s="671" t="s">
        <v>239</v>
      </c>
      <c r="C116" s="675" t="s">
        <v>240</v>
      </c>
      <c r="D116" s="62"/>
      <c r="E116" s="63"/>
      <c r="F116" s="63"/>
      <c r="G116" s="61">
        <f t="shared" si="3"/>
        <v>0</v>
      </c>
    </row>
    <row r="117" spans="1:7" ht="11.25" customHeight="1" x14ac:dyDescent="0.25">
      <c r="A117" s="641">
        <v>107</v>
      </c>
      <c r="B117" s="671" t="s">
        <v>241</v>
      </c>
      <c r="C117" s="672" t="s">
        <v>242</v>
      </c>
      <c r="D117" s="62"/>
      <c r="E117" s="63"/>
      <c r="F117" s="63"/>
      <c r="G117" s="61">
        <f t="shared" si="3"/>
        <v>0</v>
      </c>
    </row>
    <row r="118" spans="1:7" ht="11.25" customHeight="1" x14ac:dyDescent="0.25">
      <c r="A118" s="641">
        <v>108</v>
      </c>
      <c r="B118" s="671" t="s">
        <v>243</v>
      </c>
      <c r="C118" s="675" t="s">
        <v>244</v>
      </c>
      <c r="D118" s="62"/>
      <c r="E118" s="63"/>
      <c r="F118" s="63"/>
      <c r="G118" s="61">
        <f t="shared" si="3"/>
        <v>0</v>
      </c>
    </row>
    <row r="119" spans="1:7" ht="11.25" customHeight="1" x14ac:dyDescent="0.25">
      <c r="A119" s="641">
        <v>109</v>
      </c>
      <c r="B119" s="679" t="s">
        <v>245</v>
      </c>
      <c r="C119" s="678" t="s">
        <v>246</v>
      </c>
      <c r="D119" s="62"/>
      <c r="E119" s="63"/>
      <c r="F119" s="63"/>
      <c r="G119" s="61">
        <f t="shared" si="3"/>
        <v>0</v>
      </c>
    </row>
    <row r="120" spans="1:7" ht="11.25" customHeight="1" x14ac:dyDescent="0.25">
      <c r="A120" s="641">
        <v>110</v>
      </c>
      <c r="B120" s="679" t="s">
        <v>2331</v>
      </c>
      <c r="C120" s="680" t="s">
        <v>247</v>
      </c>
      <c r="D120" s="62"/>
      <c r="E120" s="63"/>
      <c r="F120" s="63"/>
      <c r="G120" s="61">
        <f t="shared" si="3"/>
        <v>0</v>
      </c>
    </row>
    <row r="121" spans="1:7" ht="11.25" customHeight="1" x14ac:dyDescent="0.25">
      <c r="A121" s="641">
        <v>111</v>
      </c>
      <c r="B121" s="670" t="s">
        <v>248</v>
      </c>
      <c r="C121" s="681" t="s">
        <v>249</v>
      </c>
      <c r="D121" s="62"/>
      <c r="E121" s="63"/>
      <c r="F121" s="63"/>
      <c r="G121" s="61">
        <f t="shared" si="3"/>
        <v>0</v>
      </c>
    </row>
    <row r="122" spans="1:7" ht="11.25" customHeight="1" x14ac:dyDescent="0.25">
      <c r="A122" s="641">
        <v>112</v>
      </c>
      <c r="B122" s="671" t="s">
        <v>250</v>
      </c>
      <c r="C122" s="675" t="s">
        <v>251</v>
      </c>
      <c r="D122" s="62"/>
      <c r="E122" s="63"/>
      <c r="F122" s="63"/>
      <c r="G122" s="61">
        <f t="shared" si="3"/>
        <v>0</v>
      </c>
    </row>
    <row r="123" spans="1:7" ht="11.25" customHeight="1" x14ac:dyDescent="0.25">
      <c r="A123" s="641">
        <v>113</v>
      </c>
      <c r="B123" s="668" t="s">
        <v>252</v>
      </c>
      <c r="C123" s="682" t="s">
        <v>253</v>
      </c>
      <c r="D123" s="62"/>
      <c r="E123" s="63"/>
      <c r="F123" s="63"/>
      <c r="G123" s="61">
        <f t="shared" si="3"/>
        <v>0</v>
      </c>
    </row>
    <row r="124" spans="1:7" ht="11.25" customHeight="1" x14ac:dyDescent="0.25">
      <c r="A124" s="641">
        <v>114</v>
      </c>
      <c r="B124" s="671" t="s">
        <v>254</v>
      </c>
      <c r="C124" s="675" t="s">
        <v>255</v>
      </c>
      <c r="D124" s="62"/>
      <c r="E124" s="63"/>
      <c r="F124" s="63"/>
      <c r="G124" s="61">
        <f t="shared" si="3"/>
        <v>0</v>
      </c>
    </row>
    <row r="125" spans="1:7" ht="11.25" customHeight="1" x14ac:dyDescent="0.25">
      <c r="A125" s="641">
        <v>115</v>
      </c>
      <c r="B125" s="671" t="s">
        <v>256</v>
      </c>
      <c r="C125" s="683" t="s">
        <v>257</v>
      </c>
      <c r="D125" s="62"/>
      <c r="E125" s="63"/>
      <c r="F125" s="63"/>
      <c r="G125" s="61">
        <f t="shared" si="3"/>
        <v>0</v>
      </c>
    </row>
    <row r="126" spans="1:7" ht="11.25" customHeight="1" x14ac:dyDescent="0.25">
      <c r="A126" s="641">
        <v>116</v>
      </c>
      <c r="B126" s="670" t="s">
        <v>258</v>
      </c>
      <c r="C126" s="683" t="s">
        <v>335</v>
      </c>
      <c r="D126" s="62"/>
      <c r="E126" s="63"/>
      <c r="F126" s="63"/>
      <c r="G126" s="61">
        <f t="shared" si="3"/>
        <v>0</v>
      </c>
    </row>
    <row r="127" spans="1:7" ht="11.25" customHeight="1" x14ac:dyDescent="0.25">
      <c r="A127" s="641">
        <v>117</v>
      </c>
      <c r="B127" s="670" t="s">
        <v>260</v>
      </c>
      <c r="C127" s="675" t="s">
        <v>261</v>
      </c>
      <c r="D127" s="62"/>
      <c r="E127" s="63"/>
      <c r="F127" s="63"/>
      <c r="G127" s="61">
        <f t="shared" si="3"/>
        <v>0</v>
      </c>
    </row>
    <row r="128" spans="1:7" ht="11.25" customHeight="1" x14ac:dyDescent="0.25">
      <c r="A128" s="641">
        <v>118</v>
      </c>
      <c r="B128" s="670" t="s">
        <v>262</v>
      </c>
      <c r="C128" s="675" t="s">
        <v>263</v>
      </c>
      <c r="D128" s="62"/>
      <c r="E128" s="63"/>
      <c r="F128" s="63"/>
      <c r="G128" s="61">
        <f t="shared" si="3"/>
        <v>0</v>
      </c>
    </row>
    <row r="129" spans="1:7" ht="11.25" customHeight="1" x14ac:dyDescent="0.25">
      <c r="A129" s="641">
        <v>119</v>
      </c>
      <c r="B129" s="668" t="s">
        <v>264</v>
      </c>
      <c r="C129" s="675" t="s">
        <v>265</v>
      </c>
      <c r="D129" s="62"/>
      <c r="E129" s="63"/>
      <c r="F129" s="63"/>
      <c r="G129" s="61">
        <f t="shared" si="3"/>
        <v>0</v>
      </c>
    </row>
    <row r="130" spans="1:7" ht="11.25" customHeight="1" x14ac:dyDescent="0.25">
      <c r="A130" s="641">
        <v>120</v>
      </c>
      <c r="B130" s="670" t="s">
        <v>266</v>
      </c>
      <c r="C130" s="675" t="s">
        <v>267</v>
      </c>
      <c r="D130" s="62"/>
      <c r="E130" s="63"/>
      <c r="F130" s="63"/>
      <c r="G130" s="61">
        <f t="shared" si="3"/>
        <v>0</v>
      </c>
    </row>
    <row r="131" spans="1:7" ht="11.25" customHeight="1" x14ac:dyDescent="0.25">
      <c r="A131" s="641">
        <v>121</v>
      </c>
      <c r="B131" s="671" t="s">
        <v>268</v>
      </c>
      <c r="C131" s="675" t="s">
        <v>269</v>
      </c>
      <c r="D131" s="62"/>
      <c r="E131" s="63"/>
      <c r="F131" s="63"/>
      <c r="G131" s="61">
        <f t="shared" si="3"/>
        <v>0</v>
      </c>
    </row>
    <row r="132" spans="1:7" ht="11.25" customHeight="1" x14ac:dyDescent="0.25">
      <c r="A132" s="641">
        <v>122</v>
      </c>
      <c r="B132" s="671" t="s">
        <v>270</v>
      </c>
      <c r="C132" s="675" t="s">
        <v>271</v>
      </c>
      <c r="D132" s="62"/>
      <c r="E132" s="63"/>
      <c r="F132" s="63"/>
      <c r="G132" s="61">
        <f t="shared" si="3"/>
        <v>0</v>
      </c>
    </row>
    <row r="133" spans="1:7" ht="11.25" customHeight="1" x14ac:dyDescent="0.25">
      <c r="A133" s="641">
        <v>123</v>
      </c>
      <c r="B133" s="671" t="s">
        <v>272</v>
      </c>
      <c r="C133" s="678" t="s">
        <v>336</v>
      </c>
      <c r="D133" s="62">
        <f>4168-1766</f>
        <v>2402</v>
      </c>
      <c r="E133" s="63">
        <f>2975-1140</f>
        <v>1835</v>
      </c>
      <c r="F133" s="63">
        <f>2283-763</f>
        <v>1520</v>
      </c>
      <c r="G133" s="61">
        <f t="shared" si="3"/>
        <v>5757</v>
      </c>
    </row>
    <row r="134" spans="1:7" ht="11.25" customHeight="1" x14ac:dyDescent="0.25">
      <c r="A134" s="641">
        <v>124</v>
      </c>
      <c r="B134" s="671" t="s">
        <v>161</v>
      </c>
      <c r="C134" s="678" t="s">
        <v>274</v>
      </c>
      <c r="D134" s="62">
        <v>3000</v>
      </c>
      <c r="E134" s="63"/>
      <c r="F134" s="63"/>
      <c r="G134" s="61">
        <f t="shared" si="3"/>
        <v>3000</v>
      </c>
    </row>
    <row r="135" spans="1:7" ht="11.25" customHeight="1" x14ac:dyDescent="0.25">
      <c r="A135" s="641">
        <v>125</v>
      </c>
      <c r="B135" s="671" t="s">
        <v>275</v>
      </c>
      <c r="C135" s="678" t="s">
        <v>276</v>
      </c>
      <c r="D135" s="62">
        <f>10000-2466+650</f>
        <v>8184</v>
      </c>
      <c r="E135" s="63">
        <f>1500-1140+650</f>
        <v>1010</v>
      </c>
      <c r="F135" s="63">
        <f>768-768+500</f>
        <v>500</v>
      </c>
      <c r="G135" s="61">
        <f t="shared" si="3"/>
        <v>9694</v>
      </c>
    </row>
    <row r="136" spans="1:7" ht="11.25" customHeight="1" x14ac:dyDescent="0.25">
      <c r="A136" s="641">
        <v>126</v>
      </c>
      <c r="B136" s="668" t="s">
        <v>277</v>
      </c>
      <c r="C136" s="678" t="s">
        <v>2</v>
      </c>
      <c r="D136" s="62">
        <v>2500</v>
      </c>
      <c r="E136" s="63"/>
      <c r="F136" s="63"/>
      <c r="G136" s="61">
        <f t="shared" si="3"/>
        <v>2500</v>
      </c>
    </row>
    <row r="137" spans="1:7" ht="11.25" customHeight="1" x14ac:dyDescent="0.25">
      <c r="A137" s="641">
        <v>127</v>
      </c>
      <c r="B137" s="671" t="s">
        <v>278</v>
      </c>
      <c r="C137" s="675" t="s">
        <v>279</v>
      </c>
      <c r="D137" s="62"/>
      <c r="E137" s="63"/>
      <c r="F137" s="63"/>
      <c r="G137" s="61">
        <f t="shared" si="3"/>
        <v>0</v>
      </c>
    </row>
    <row r="138" spans="1:7" ht="11.25" customHeight="1" x14ac:dyDescent="0.25">
      <c r="A138" s="641">
        <v>128</v>
      </c>
      <c r="B138" s="668" t="s">
        <v>280</v>
      </c>
      <c r="C138" s="675" t="s">
        <v>64</v>
      </c>
      <c r="D138" s="62"/>
      <c r="E138" s="63"/>
      <c r="F138" s="63"/>
      <c r="G138" s="61">
        <f t="shared" si="3"/>
        <v>0</v>
      </c>
    </row>
    <row r="139" spans="1:7" ht="11.25" customHeight="1" x14ac:dyDescent="0.25">
      <c r="A139" s="641">
        <v>129</v>
      </c>
      <c r="B139" s="668" t="s">
        <v>281</v>
      </c>
      <c r="C139" s="674" t="s">
        <v>22</v>
      </c>
      <c r="D139" s="62">
        <v>700</v>
      </c>
      <c r="E139" s="63"/>
      <c r="F139" s="63"/>
      <c r="G139" s="61">
        <f t="shared" si="3"/>
        <v>700</v>
      </c>
    </row>
    <row r="140" spans="1:7" ht="11.25" customHeight="1" x14ac:dyDescent="0.25">
      <c r="A140" s="641">
        <v>130</v>
      </c>
      <c r="B140" s="671" t="s">
        <v>282</v>
      </c>
      <c r="C140" s="675" t="s">
        <v>283</v>
      </c>
      <c r="D140" s="62"/>
      <c r="E140" s="63"/>
      <c r="F140" s="63"/>
      <c r="G140" s="61">
        <f t="shared" si="3"/>
        <v>0</v>
      </c>
    </row>
    <row r="141" spans="1:7" ht="11.25" customHeight="1" x14ac:dyDescent="0.25">
      <c r="A141" s="641">
        <v>131</v>
      </c>
      <c r="B141" s="671" t="s">
        <v>284</v>
      </c>
      <c r="C141" s="675" t="s">
        <v>67</v>
      </c>
      <c r="D141" s="62"/>
      <c r="E141" s="63"/>
      <c r="F141" s="63"/>
      <c r="G141" s="61">
        <f t="shared" si="3"/>
        <v>0</v>
      </c>
    </row>
    <row r="142" spans="1:7" ht="11.25" customHeight="1" x14ac:dyDescent="0.25">
      <c r="A142" s="641">
        <v>132</v>
      </c>
      <c r="B142" s="671" t="s">
        <v>285</v>
      </c>
      <c r="C142" s="678" t="s">
        <v>286</v>
      </c>
      <c r="D142" s="62">
        <v>432</v>
      </c>
      <c r="E142" s="63">
        <v>850</v>
      </c>
      <c r="F142" s="63">
        <v>550</v>
      </c>
      <c r="G142" s="61">
        <f t="shared" si="3"/>
        <v>1832</v>
      </c>
    </row>
    <row r="143" spans="1:7" ht="11.25" customHeight="1" x14ac:dyDescent="0.25">
      <c r="A143" s="641">
        <v>133</v>
      </c>
      <c r="B143" s="668" t="s">
        <v>159</v>
      </c>
      <c r="C143" s="681" t="s">
        <v>160</v>
      </c>
      <c r="D143" s="62">
        <f>1510+1208</f>
        <v>2718</v>
      </c>
      <c r="E143" s="63">
        <f>974+604</f>
        <v>1578</v>
      </c>
      <c r="F143" s="63">
        <f>652+522</f>
        <v>1174</v>
      </c>
      <c r="G143" s="61">
        <f t="shared" si="3"/>
        <v>5470</v>
      </c>
    </row>
    <row r="144" spans="1:7" ht="11.25" customHeight="1" x14ac:dyDescent="0.25">
      <c r="A144" s="641">
        <v>134</v>
      </c>
      <c r="B144" s="670" t="s">
        <v>113</v>
      </c>
      <c r="C144" s="678" t="s">
        <v>114</v>
      </c>
      <c r="D144" s="62">
        <v>4758</v>
      </c>
      <c r="E144" s="63">
        <v>2454</v>
      </c>
      <c r="F144" s="63">
        <v>1643</v>
      </c>
      <c r="G144" s="61">
        <f t="shared" si="3"/>
        <v>8855</v>
      </c>
    </row>
    <row r="145" spans="1:7" ht="11.25" customHeight="1" x14ac:dyDescent="0.25">
      <c r="A145" s="641">
        <v>135</v>
      </c>
      <c r="B145" s="671" t="s">
        <v>287</v>
      </c>
      <c r="C145" s="684" t="s">
        <v>288</v>
      </c>
      <c r="D145" s="62"/>
      <c r="E145" s="63"/>
      <c r="F145" s="63"/>
      <c r="G145" s="61">
        <f t="shared" si="3"/>
        <v>0</v>
      </c>
    </row>
    <row r="146" spans="1:7" ht="11.25" customHeight="1" x14ac:dyDescent="0.25">
      <c r="A146" s="641">
        <v>136</v>
      </c>
      <c r="B146" s="668" t="s">
        <v>289</v>
      </c>
      <c r="C146" s="675" t="s">
        <v>68</v>
      </c>
      <c r="D146" s="62"/>
      <c r="E146" s="63"/>
      <c r="F146" s="63"/>
      <c r="G146" s="61">
        <f t="shared" si="3"/>
        <v>0</v>
      </c>
    </row>
    <row r="147" spans="1:7" ht="12.75" customHeight="1" thickBot="1" x14ac:dyDescent="0.3">
      <c r="A147" s="685">
        <v>137</v>
      </c>
      <c r="B147" s="686" t="s">
        <v>290</v>
      </c>
      <c r="C147" s="687" t="s">
        <v>291</v>
      </c>
      <c r="D147" s="55"/>
      <c r="E147" s="53"/>
      <c r="F147" s="53"/>
      <c r="G147" s="69">
        <f t="shared" si="3"/>
        <v>0</v>
      </c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59"/>
  <sheetViews>
    <sheetView workbookViewId="0">
      <pane xSplit="3" ySplit="8" topLeftCell="R9" activePane="bottomRight" state="frozen"/>
      <selection pane="topRight" activeCell="D1" sqref="D1"/>
      <selection pane="bottomLeft" activeCell="A9" sqref="A9"/>
      <selection pane="bottomRight" activeCell="S21" sqref="S21"/>
    </sheetView>
  </sheetViews>
  <sheetFormatPr defaultRowHeight="12.75" x14ac:dyDescent="0.25"/>
  <cols>
    <col min="1" max="1" width="6.140625" style="81" customWidth="1"/>
    <col min="2" max="2" width="10.42578125" style="81" customWidth="1"/>
    <col min="3" max="3" width="35.42578125" style="129" customWidth="1"/>
    <col min="4" max="4" width="8.7109375" style="123" customWidth="1"/>
    <col min="5" max="5" width="7.42578125" style="83" customWidth="1"/>
    <col min="6" max="6" width="12" style="84" customWidth="1"/>
    <col min="7" max="7" width="13.5703125" style="85" customWidth="1"/>
    <col min="8" max="8" width="8.140625" style="81" customWidth="1"/>
    <col min="9" max="10" width="9" style="81" customWidth="1"/>
    <col min="11" max="11" width="8.85546875" style="86" customWidth="1"/>
    <col min="12" max="12" width="8.7109375" style="81" customWidth="1"/>
    <col min="13" max="13" width="8.5703125" style="81" customWidth="1"/>
    <col min="14" max="14" width="9.5703125" style="81" customWidth="1"/>
    <col min="15" max="15" width="8.7109375" style="81" customWidth="1"/>
    <col min="16" max="16" width="8.140625" style="86" customWidth="1"/>
    <col min="17" max="22" width="13.42578125" style="81" customWidth="1"/>
    <col min="23" max="23" width="15.42578125" style="81" customWidth="1"/>
    <col min="24" max="24" width="9.5703125" style="81" customWidth="1"/>
    <col min="25" max="25" width="10.140625" style="81" customWidth="1"/>
    <col min="26" max="16384" width="9.140625" style="81"/>
  </cols>
  <sheetData>
    <row r="1" spans="1:26" ht="27" customHeight="1" x14ac:dyDescent="0.25">
      <c r="A1" s="1028" t="s">
        <v>348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  <c r="W1" s="1028"/>
      <c r="X1" s="1028"/>
      <c r="Y1" s="1028"/>
    </row>
    <row r="2" spans="1:26" ht="11.25" customHeight="1" thickBot="1" x14ac:dyDescent="0.3">
      <c r="C2" s="82"/>
      <c r="D2" s="83"/>
      <c r="P2" s="87"/>
      <c r="Q2" s="88"/>
      <c r="R2" s="88"/>
      <c r="S2" s="88"/>
      <c r="T2" s="88"/>
      <c r="U2" s="88"/>
      <c r="V2" s="88"/>
      <c r="W2" s="1029" t="s">
        <v>349</v>
      </c>
      <c r="X2" s="1029"/>
      <c r="Y2" s="1029"/>
    </row>
    <row r="3" spans="1:26" s="489" customFormat="1" ht="49.5" customHeight="1" x14ac:dyDescent="0.25">
      <c r="A3" s="1030" t="s">
        <v>0</v>
      </c>
      <c r="B3" s="1033" t="s">
        <v>296</v>
      </c>
      <c r="C3" s="1036" t="s">
        <v>297</v>
      </c>
      <c r="D3" s="1039" t="s">
        <v>350</v>
      </c>
      <c r="E3" s="1040"/>
      <c r="F3" s="1040"/>
      <c r="G3" s="1040"/>
      <c r="H3" s="1040"/>
      <c r="I3" s="1040"/>
      <c r="J3" s="1040"/>
      <c r="K3" s="1041"/>
      <c r="L3" s="1042" t="s">
        <v>351</v>
      </c>
      <c r="M3" s="1043"/>
      <c r="N3" s="1043"/>
      <c r="O3" s="1043"/>
      <c r="P3" s="1044"/>
      <c r="Q3" s="1045" t="s">
        <v>352</v>
      </c>
      <c r="R3" s="1046"/>
      <c r="S3" s="1046"/>
      <c r="T3" s="1046"/>
      <c r="U3" s="1046"/>
      <c r="V3" s="1046"/>
      <c r="W3" s="1046"/>
      <c r="X3" s="1047"/>
      <c r="Y3" s="1048"/>
    </row>
    <row r="4" spans="1:26" s="489" customFormat="1" ht="62.25" customHeight="1" x14ac:dyDescent="0.25">
      <c r="A4" s="1031"/>
      <c r="B4" s="1034"/>
      <c r="C4" s="1037"/>
      <c r="D4" s="1049" t="s">
        <v>353</v>
      </c>
      <c r="E4" s="1051" t="s">
        <v>354</v>
      </c>
      <c r="F4" s="490" t="s">
        <v>355</v>
      </c>
      <c r="G4" s="1054" t="s">
        <v>356</v>
      </c>
      <c r="H4" s="1056" t="s">
        <v>164</v>
      </c>
      <c r="I4" s="1056"/>
      <c r="J4" s="1056"/>
      <c r="K4" s="1057" t="s">
        <v>1</v>
      </c>
      <c r="L4" s="1059" t="s">
        <v>357</v>
      </c>
      <c r="M4" s="1060" t="s">
        <v>358</v>
      </c>
      <c r="N4" s="1060" t="s">
        <v>359</v>
      </c>
      <c r="O4" s="1060" t="s">
        <v>360</v>
      </c>
      <c r="P4" s="1063" t="s">
        <v>1</v>
      </c>
      <c r="Q4" s="1070" t="s">
        <v>361</v>
      </c>
      <c r="R4" s="1053" t="s">
        <v>362</v>
      </c>
      <c r="S4" s="1053" t="s">
        <v>363</v>
      </c>
      <c r="T4" s="1053" t="s">
        <v>364</v>
      </c>
      <c r="U4" s="1053" t="s">
        <v>365</v>
      </c>
      <c r="V4" s="1053" t="s">
        <v>366</v>
      </c>
      <c r="W4" s="1053" t="s">
        <v>367</v>
      </c>
      <c r="X4" s="1065" t="s">
        <v>368</v>
      </c>
      <c r="Y4" s="1067" t="s">
        <v>1</v>
      </c>
    </row>
    <row r="5" spans="1:26" s="489" customFormat="1" ht="72" customHeight="1" thickBot="1" x14ac:dyDescent="0.3">
      <c r="A5" s="1032"/>
      <c r="B5" s="1035"/>
      <c r="C5" s="1038"/>
      <c r="D5" s="1050"/>
      <c r="E5" s="1052"/>
      <c r="F5" s="531" t="s">
        <v>369</v>
      </c>
      <c r="G5" s="1055"/>
      <c r="H5" s="532" t="s">
        <v>370</v>
      </c>
      <c r="I5" s="532" t="s">
        <v>371</v>
      </c>
      <c r="J5" s="532" t="s">
        <v>372</v>
      </c>
      <c r="K5" s="1058"/>
      <c r="L5" s="1050"/>
      <c r="M5" s="1061"/>
      <c r="N5" s="1061"/>
      <c r="O5" s="1061"/>
      <c r="P5" s="1064"/>
      <c r="Q5" s="1071"/>
      <c r="R5" s="1052"/>
      <c r="S5" s="1052"/>
      <c r="T5" s="1052"/>
      <c r="U5" s="1052"/>
      <c r="V5" s="1052"/>
      <c r="W5" s="1052"/>
      <c r="X5" s="1066"/>
      <c r="Y5" s="1064"/>
    </row>
    <row r="6" spans="1:26" s="95" customFormat="1" ht="12.75" customHeight="1" x14ac:dyDescent="0.25">
      <c r="A6" s="477"/>
      <c r="B6" s="484"/>
      <c r="C6" s="488" t="s">
        <v>1</v>
      </c>
      <c r="D6" s="56">
        <f>D7+D8</f>
        <v>90147</v>
      </c>
      <c r="E6" s="90">
        <f t="shared" ref="E6:Y6" si="0">E7+E8</f>
        <v>4745</v>
      </c>
      <c r="F6" s="90">
        <f t="shared" si="0"/>
        <v>13048</v>
      </c>
      <c r="G6" s="90">
        <f t="shared" si="0"/>
        <v>10675</v>
      </c>
      <c r="H6" s="90">
        <f t="shared" si="0"/>
        <v>8260</v>
      </c>
      <c r="I6" s="90">
        <f t="shared" si="0"/>
        <v>549</v>
      </c>
      <c r="J6" s="90">
        <f t="shared" si="0"/>
        <v>1866</v>
      </c>
      <c r="K6" s="92">
        <f t="shared" si="0"/>
        <v>118615</v>
      </c>
      <c r="L6" s="56">
        <f t="shared" si="0"/>
        <v>1570</v>
      </c>
      <c r="M6" s="57">
        <f t="shared" si="0"/>
        <v>12037</v>
      </c>
      <c r="N6" s="57">
        <f t="shared" si="0"/>
        <v>26691</v>
      </c>
      <c r="O6" s="57">
        <f t="shared" si="0"/>
        <v>12037</v>
      </c>
      <c r="P6" s="93">
        <f t="shared" si="0"/>
        <v>52335</v>
      </c>
      <c r="Q6" s="94">
        <f t="shared" si="0"/>
        <v>171</v>
      </c>
      <c r="R6" s="90">
        <f t="shared" si="0"/>
        <v>450</v>
      </c>
      <c r="S6" s="90">
        <f t="shared" si="0"/>
        <v>290</v>
      </c>
      <c r="T6" s="90">
        <f t="shared" si="0"/>
        <v>290</v>
      </c>
      <c r="U6" s="90">
        <f t="shared" si="0"/>
        <v>393</v>
      </c>
      <c r="V6" s="90">
        <f t="shared" si="0"/>
        <v>986</v>
      </c>
      <c r="W6" s="90">
        <f t="shared" si="0"/>
        <v>1059</v>
      </c>
      <c r="X6" s="90">
        <f t="shared" si="0"/>
        <v>6</v>
      </c>
      <c r="Y6" s="93">
        <f t="shared" si="0"/>
        <v>3645</v>
      </c>
    </row>
    <row r="7" spans="1:26" s="95" customFormat="1" ht="12.75" customHeight="1" x14ac:dyDescent="0.25">
      <c r="A7" s="477"/>
      <c r="B7" s="484"/>
      <c r="C7" s="96" t="s">
        <v>3</v>
      </c>
      <c r="D7" s="56">
        <v>0</v>
      </c>
      <c r="E7" s="90">
        <v>0</v>
      </c>
      <c r="F7" s="91">
        <v>0</v>
      </c>
      <c r="G7" s="91">
        <v>0</v>
      </c>
      <c r="H7" s="91">
        <v>0</v>
      </c>
      <c r="I7" s="91">
        <v>0</v>
      </c>
      <c r="J7" s="91">
        <v>0</v>
      </c>
      <c r="K7" s="92">
        <v>0</v>
      </c>
      <c r="L7" s="56">
        <v>0</v>
      </c>
      <c r="M7" s="57">
        <v>0</v>
      </c>
      <c r="N7" s="57">
        <v>0</v>
      </c>
      <c r="O7" s="57">
        <v>0</v>
      </c>
      <c r="P7" s="93">
        <v>0</v>
      </c>
      <c r="Q7" s="94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3">
        <v>0</v>
      </c>
    </row>
    <row r="8" spans="1:26" s="95" customFormat="1" ht="12.75" customHeight="1" x14ac:dyDescent="0.25">
      <c r="A8" s="477"/>
      <c r="B8" s="484"/>
      <c r="C8" s="96" t="s">
        <v>4</v>
      </c>
      <c r="D8" s="56">
        <f t="shared" ref="D8:Y8" si="1">SUM(D9:D95)</f>
        <v>90147</v>
      </c>
      <c r="E8" s="90">
        <f t="shared" si="1"/>
        <v>4745</v>
      </c>
      <c r="F8" s="91">
        <f t="shared" si="1"/>
        <v>13048</v>
      </c>
      <c r="G8" s="91">
        <f t="shared" si="1"/>
        <v>10675</v>
      </c>
      <c r="H8" s="91">
        <f t="shared" si="1"/>
        <v>8260</v>
      </c>
      <c r="I8" s="91">
        <f t="shared" si="1"/>
        <v>549</v>
      </c>
      <c r="J8" s="91">
        <f t="shared" si="1"/>
        <v>1866</v>
      </c>
      <c r="K8" s="92">
        <f t="shared" si="1"/>
        <v>118615</v>
      </c>
      <c r="L8" s="56">
        <f t="shared" si="1"/>
        <v>1570</v>
      </c>
      <c r="M8" s="57">
        <f t="shared" si="1"/>
        <v>12037</v>
      </c>
      <c r="N8" s="57">
        <f t="shared" si="1"/>
        <v>26691</v>
      </c>
      <c r="O8" s="57">
        <f t="shared" si="1"/>
        <v>12037</v>
      </c>
      <c r="P8" s="93">
        <f t="shared" si="1"/>
        <v>52335</v>
      </c>
      <c r="Q8" s="94">
        <f t="shared" si="1"/>
        <v>171</v>
      </c>
      <c r="R8" s="90">
        <f t="shared" si="1"/>
        <v>450</v>
      </c>
      <c r="S8" s="90">
        <f t="shared" si="1"/>
        <v>290</v>
      </c>
      <c r="T8" s="90">
        <f t="shared" si="1"/>
        <v>290</v>
      </c>
      <c r="U8" s="90">
        <f t="shared" si="1"/>
        <v>393</v>
      </c>
      <c r="V8" s="90">
        <f t="shared" si="1"/>
        <v>986</v>
      </c>
      <c r="W8" s="90">
        <f t="shared" si="1"/>
        <v>1059</v>
      </c>
      <c r="X8" s="90">
        <f t="shared" si="1"/>
        <v>6</v>
      </c>
      <c r="Y8" s="97">
        <f t="shared" si="1"/>
        <v>3645</v>
      </c>
    </row>
    <row r="9" spans="1:26" ht="13.5" customHeight="1" x14ac:dyDescent="0.25">
      <c r="A9" s="478">
        <v>1</v>
      </c>
      <c r="B9" s="485" t="s">
        <v>69</v>
      </c>
      <c r="C9" s="481" t="s">
        <v>29</v>
      </c>
      <c r="D9" s="98">
        <v>326</v>
      </c>
      <c r="E9" s="99"/>
      <c r="F9" s="100"/>
      <c r="G9" s="101"/>
      <c r="H9" s="102"/>
      <c r="I9" s="102"/>
      <c r="J9" s="102"/>
      <c r="K9" s="103">
        <f>D9+E9+F9+G9</f>
        <v>326</v>
      </c>
      <c r="L9" s="98"/>
      <c r="M9" s="104"/>
      <c r="N9" s="104"/>
      <c r="O9" s="104"/>
      <c r="P9" s="105"/>
      <c r="Q9" s="89"/>
      <c r="R9" s="99"/>
      <c r="S9" s="99"/>
      <c r="T9" s="99"/>
      <c r="U9" s="99"/>
      <c r="V9" s="99"/>
      <c r="W9" s="99"/>
      <c r="X9" s="106"/>
      <c r="Y9" s="105"/>
      <c r="Z9" s="95"/>
    </row>
    <row r="10" spans="1:26" ht="13.5" customHeight="1" x14ac:dyDescent="0.25">
      <c r="A10" s="478">
        <v>2</v>
      </c>
      <c r="B10" s="485" t="s">
        <v>70</v>
      </c>
      <c r="C10" s="481" t="s">
        <v>31</v>
      </c>
      <c r="D10" s="98">
        <v>346</v>
      </c>
      <c r="E10" s="99"/>
      <c r="F10" s="100"/>
      <c r="G10" s="101"/>
      <c r="H10" s="102"/>
      <c r="I10" s="102"/>
      <c r="J10" s="102"/>
      <c r="K10" s="103">
        <f t="shared" ref="K10:K74" si="2">D10+E10+F10+G10</f>
        <v>346</v>
      </c>
      <c r="L10" s="98"/>
      <c r="M10" s="104"/>
      <c r="N10" s="104"/>
      <c r="O10" s="104"/>
      <c r="P10" s="105"/>
      <c r="Q10" s="89"/>
      <c r="R10" s="99"/>
      <c r="S10" s="99"/>
      <c r="T10" s="99"/>
      <c r="U10" s="99"/>
      <c r="V10" s="99"/>
      <c r="W10" s="99"/>
      <c r="X10" s="106"/>
      <c r="Y10" s="105"/>
    </row>
    <row r="11" spans="1:26" ht="13.5" customHeight="1" x14ac:dyDescent="0.25">
      <c r="A11" s="478">
        <v>3</v>
      </c>
      <c r="B11" s="485" t="s">
        <v>71</v>
      </c>
      <c r="C11" s="481" t="s">
        <v>5</v>
      </c>
      <c r="D11" s="98">
        <v>942</v>
      </c>
      <c r="E11" s="99">
        <v>53</v>
      </c>
      <c r="F11" s="100">
        <v>248</v>
      </c>
      <c r="G11" s="101"/>
      <c r="H11" s="102"/>
      <c r="I11" s="102"/>
      <c r="J11" s="102"/>
      <c r="K11" s="103">
        <f t="shared" si="2"/>
        <v>1243</v>
      </c>
      <c r="L11" s="98">
        <v>23</v>
      </c>
      <c r="M11" s="104">
        <v>171</v>
      </c>
      <c r="N11" s="104">
        <v>378</v>
      </c>
      <c r="O11" s="104">
        <v>170</v>
      </c>
      <c r="P11" s="105">
        <f t="shared" ref="P11:P54" si="3">L11+M11+N11+O11</f>
        <v>742</v>
      </c>
      <c r="Q11" s="89"/>
      <c r="R11" s="99"/>
      <c r="S11" s="99"/>
      <c r="T11" s="99"/>
      <c r="U11" s="99"/>
      <c r="V11" s="99"/>
      <c r="W11" s="99"/>
      <c r="X11" s="106"/>
      <c r="Y11" s="105"/>
    </row>
    <row r="12" spans="1:26" ht="13.5" customHeight="1" x14ac:dyDescent="0.25">
      <c r="A12" s="478">
        <v>4</v>
      </c>
      <c r="B12" s="485" t="s">
        <v>72</v>
      </c>
      <c r="C12" s="481" t="s">
        <v>35</v>
      </c>
      <c r="D12" s="98">
        <v>380</v>
      </c>
      <c r="E12" s="99"/>
      <c r="F12" s="100"/>
      <c r="G12" s="101"/>
      <c r="H12" s="102"/>
      <c r="I12" s="102"/>
      <c r="J12" s="102"/>
      <c r="K12" s="103">
        <f t="shared" si="2"/>
        <v>380</v>
      </c>
      <c r="L12" s="98"/>
      <c r="M12" s="104"/>
      <c r="N12" s="104"/>
      <c r="O12" s="104"/>
      <c r="P12" s="105"/>
      <c r="Q12" s="89"/>
      <c r="R12" s="99"/>
      <c r="S12" s="99"/>
      <c r="T12" s="99"/>
      <c r="U12" s="99"/>
      <c r="V12" s="99"/>
      <c r="W12" s="99"/>
      <c r="X12" s="106"/>
      <c r="Y12" s="105"/>
    </row>
    <row r="13" spans="1:26" ht="13.5" customHeight="1" x14ac:dyDescent="0.25">
      <c r="A13" s="478">
        <v>5</v>
      </c>
      <c r="B13" s="485" t="s">
        <v>108</v>
      </c>
      <c r="C13" s="481" t="s">
        <v>37</v>
      </c>
      <c r="D13" s="98">
        <v>385</v>
      </c>
      <c r="E13" s="99">
        <v>10</v>
      </c>
      <c r="F13" s="100">
        <v>59</v>
      </c>
      <c r="G13" s="101"/>
      <c r="H13" s="102"/>
      <c r="I13" s="102"/>
      <c r="J13" s="102"/>
      <c r="K13" s="103">
        <f t="shared" si="2"/>
        <v>454</v>
      </c>
      <c r="L13" s="98"/>
      <c r="M13" s="104"/>
      <c r="N13" s="104"/>
      <c r="O13" s="104"/>
      <c r="P13" s="105"/>
      <c r="Q13" s="89"/>
      <c r="R13" s="99"/>
      <c r="S13" s="99"/>
      <c r="T13" s="99"/>
      <c r="U13" s="99"/>
      <c r="V13" s="99"/>
      <c r="W13" s="99"/>
      <c r="X13" s="106"/>
      <c r="Y13" s="105"/>
    </row>
    <row r="14" spans="1:26" ht="13.5" customHeight="1" x14ac:dyDescent="0.25">
      <c r="A14" s="478">
        <v>6</v>
      </c>
      <c r="B14" s="485" t="s">
        <v>73</v>
      </c>
      <c r="C14" s="481" t="s">
        <v>6</v>
      </c>
      <c r="D14" s="98">
        <f>1280+1280</f>
        <v>2560</v>
      </c>
      <c r="E14" s="99">
        <v>68</v>
      </c>
      <c r="F14" s="100">
        <v>462</v>
      </c>
      <c r="G14" s="101">
        <f t="shared" ref="G14:G66" si="4">H14+I14+J14</f>
        <v>598</v>
      </c>
      <c r="H14" s="102">
        <v>450</v>
      </c>
      <c r="I14" s="102">
        <v>58</v>
      </c>
      <c r="J14" s="102">
        <v>90</v>
      </c>
      <c r="K14" s="103">
        <f t="shared" si="2"/>
        <v>3688</v>
      </c>
      <c r="L14" s="98">
        <v>59</v>
      </c>
      <c r="M14" s="104">
        <v>452</v>
      </c>
      <c r="N14" s="104">
        <v>1004</v>
      </c>
      <c r="O14" s="104">
        <v>453</v>
      </c>
      <c r="P14" s="105">
        <f t="shared" si="3"/>
        <v>1968</v>
      </c>
      <c r="Q14" s="89"/>
      <c r="R14" s="99"/>
      <c r="S14" s="99"/>
      <c r="T14" s="99"/>
      <c r="U14" s="99"/>
      <c r="V14" s="99"/>
      <c r="W14" s="99"/>
      <c r="X14" s="106"/>
      <c r="Y14" s="105"/>
    </row>
    <row r="15" spans="1:26" ht="13.5" customHeight="1" x14ac:dyDescent="0.25">
      <c r="A15" s="478">
        <v>7</v>
      </c>
      <c r="B15" s="485" t="s">
        <v>109</v>
      </c>
      <c r="C15" s="481" t="s">
        <v>23</v>
      </c>
      <c r="D15" s="98">
        <f>953+786</f>
        <v>1739</v>
      </c>
      <c r="E15" s="99">
        <v>25</v>
      </c>
      <c r="F15" s="100">
        <v>146</v>
      </c>
      <c r="G15" s="101">
        <f t="shared" si="4"/>
        <v>314</v>
      </c>
      <c r="H15" s="102">
        <v>289</v>
      </c>
      <c r="I15" s="102">
        <v>5</v>
      </c>
      <c r="J15" s="102">
        <v>20</v>
      </c>
      <c r="K15" s="103">
        <f t="shared" si="2"/>
        <v>2224</v>
      </c>
      <c r="L15" s="98"/>
      <c r="M15" s="104"/>
      <c r="N15" s="104"/>
      <c r="O15" s="104"/>
      <c r="P15" s="105"/>
      <c r="Q15" s="89"/>
      <c r="R15" s="99"/>
      <c r="S15" s="99"/>
      <c r="T15" s="99"/>
      <c r="U15" s="99"/>
      <c r="V15" s="99"/>
      <c r="W15" s="99"/>
      <c r="X15" s="106"/>
      <c r="Y15" s="105"/>
    </row>
    <row r="16" spans="1:26" ht="13.5" customHeight="1" x14ac:dyDescent="0.25">
      <c r="A16" s="478">
        <v>8</v>
      </c>
      <c r="B16" s="485" t="s">
        <v>110</v>
      </c>
      <c r="C16" s="481" t="s">
        <v>44</v>
      </c>
      <c r="D16" s="98">
        <v>0</v>
      </c>
      <c r="E16" s="99"/>
      <c r="F16" s="100">
        <v>63</v>
      </c>
      <c r="G16" s="101"/>
      <c r="H16" s="102"/>
      <c r="I16" s="102"/>
      <c r="J16" s="102"/>
      <c r="K16" s="103">
        <f t="shared" si="2"/>
        <v>63</v>
      </c>
      <c r="L16" s="98"/>
      <c r="M16" s="104"/>
      <c r="N16" s="104"/>
      <c r="O16" s="104"/>
      <c r="P16" s="105"/>
      <c r="Q16" s="89"/>
      <c r="R16" s="99"/>
      <c r="S16" s="99"/>
      <c r="T16" s="99"/>
      <c r="U16" s="99"/>
      <c r="V16" s="99"/>
      <c r="W16" s="99"/>
      <c r="X16" s="106"/>
      <c r="Y16" s="105"/>
    </row>
    <row r="17" spans="1:25" ht="13.5" customHeight="1" x14ac:dyDescent="0.25">
      <c r="A17" s="478">
        <v>9</v>
      </c>
      <c r="B17" s="485" t="s">
        <v>74</v>
      </c>
      <c r="C17" s="481" t="s">
        <v>45</v>
      </c>
      <c r="D17" s="98">
        <v>375</v>
      </c>
      <c r="E17" s="99"/>
      <c r="F17" s="100">
        <v>58</v>
      </c>
      <c r="G17" s="101"/>
      <c r="H17" s="102"/>
      <c r="I17" s="102"/>
      <c r="J17" s="102"/>
      <c r="K17" s="103">
        <f t="shared" si="2"/>
        <v>433</v>
      </c>
      <c r="L17" s="98"/>
      <c r="M17" s="104"/>
      <c r="N17" s="104"/>
      <c r="O17" s="104"/>
      <c r="P17" s="105"/>
      <c r="Q17" s="89"/>
      <c r="R17" s="99"/>
      <c r="S17" s="99"/>
      <c r="T17" s="99"/>
      <c r="U17" s="99"/>
      <c r="V17" s="99"/>
      <c r="W17" s="99"/>
      <c r="X17" s="106"/>
      <c r="Y17" s="105"/>
    </row>
    <row r="18" spans="1:25" ht="13.5" customHeight="1" x14ac:dyDescent="0.25">
      <c r="A18" s="478">
        <v>10</v>
      </c>
      <c r="B18" s="485" t="s">
        <v>111</v>
      </c>
      <c r="C18" s="481" t="s">
        <v>48</v>
      </c>
      <c r="D18" s="98">
        <v>446</v>
      </c>
      <c r="E18" s="99"/>
      <c r="F18" s="100"/>
      <c r="G18" s="101"/>
      <c r="H18" s="102"/>
      <c r="I18" s="102"/>
      <c r="J18" s="102"/>
      <c r="K18" s="103">
        <f t="shared" si="2"/>
        <v>446</v>
      </c>
      <c r="L18" s="98"/>
      <c r="M18" s="104"/>
      <c r="N18" s="104"/>
      <c r="O18" s="104"/>
      <c r="P18" s="105"/>
      <c r="Q18" s="89"/>
      <c r="R18" s="99"/>
      <c r="S18" s="99"/>
      <c r="T18" s="99"/>
      <c r="U18" s="99"/>
      <c r="V18" s="99"/>
      <c r="W18" s="99"/>
      <c r="X18" s="106"/>
      <c r="Y18" s="105"/>
    </row>
    <row r="19" spans="1:25" ht="13.5" customHeight="1" x14ac:dyDescent="0.25">
      <c r="A19" s="478">
        <v>11</v>
      </c>
      <c r="B19" s="485" t="s">
        <v>75</v>
      </c>
      <c r="C19" s="481" t="s">
        <v>52</v>
      </c>
      <c r="D19" s="98">
        <v>365</v>
      </c>
      <c r="E19" s="99"/>
      <c r="F19" s="100">
        <v>56</v>
      </c>
      <c r="G19" s="101"/>
      <c r="H19" s="102"/>
      <c r="I19" s="102"/>
      <c r="J19" s="102"/>
      <c r="K19" s="103">
        <f t="shared" si="2"/>
        <v>421</v>
      </c>
      <c r="L19" s="98"/>
      <c r="M19" s="104"/>
      <c r="N19" s="104"/>
      <c r="O19" s="104"/>
      <c r="P19" s="105"/>
      <c r="Q19" s="89"/>
      <c r="R19" s="99"/>
      <c r="S19" s="99"/>
      <c r="T19" s="99"/>
      <c r="U19" s="99"/>
      <c r="V19" s="99"/>
      <c r="W19" s="99"/>
      <c r="X19" s="106"/>
      <c r="Y19" s="105"/>
    </row>
    <row r="20" spans="1:25" ht="13.5" customHeight="1" x14ac:dyDescent="0.25">
      <c r="A20" s="478">
        <v>12</v>
      </c>
      <c r="B20" s="485" t="s">
        <v>112</v>
      </c>
      <c r="C20" s="481" t="s">
        <v>63</v>
      </c>
      <c r="D20" s="98">
        <v>709</v>
      </c>
      <c r="E20" s="99"/>
      <c r="F20" s="100">
        <v>109</v>
      </c>
      <c r="G20" s="101">
        <f t="shared" si="4"/>
        <v>121</v>
      </c>
      <c r="H20" s="102">
        <v>106</v>
      </c>
      <c r="I20" s="102">
        <v>5</v>
      </c>
      <c r="J20" s="102">
        <v>10</v>
      </c>
      <c r="K20" s="103">
        <f t="shared" si="2"/>
        <v>939</v>
      </c>
      <c r="L20" s="98"/>
      <c r="M20" s="104"/>
      <c r="N20" s="104"/>
      <c r="O20" s="104"/>
      <c r="P20" s="105"/>
      <c r="Q20" s="89"/>
      <c r="R20" s="99"/>
      <c r="S20" s="99"/>
      <c r="T20" s="99"/>
      <c r="U20" s="99"/>
      <c r="V20" s="99"/>
      <c r="W20" s="99"/>
      <c r="X20" s="106"/>
      <c r="Y20" s="105"/>
    </row>
    <row r="21" spans="1:25" s="84" customFormat="1" ht="13.5" customHeight="1" x14ac:dyDescent="0.25">
      <c r="A21" s="479">
        <v>13</v>
      </c>
      <c r="B21" s="486" t="s">
        <v>292</v>
      </c>
      <c r="C21" s="482" t="s">
        <v>293</v>
      </c>
      <c r="D21" s="77">
        <v>415</v>
      </c>
      <c r="E21" s="107"/>
      <c r="F21" s="100"/>
      <c r="G21" s="101"/>
      <c r="H21" s="108"/>
      <c r="I21" s="108"/>
      <c r="J21" s="108"/>
      <c r="K21" s="92">
        <f t="shared" si="2"/>
        <v>415</v>
      </c>
      <c r="L21" s="77"/>
      <c r="M21" s="78"/>
      <c r="N21" s="78"/>
      <c r="O21" s="78"/>
      <c r="P21" s="93"/>
      <c r="Q21" s="109"/>
      <c r="R21" s="107"/>
      <c r="S21" s="107"/>
      <c r="T21" s="107"/>
      <c r="U21" s="107"/>
      <c r="V21" s="107"/>
      <c r="W21" s="107"/>
      <c r="X21" s="110"/>
      <c r="Y21" s="93"/>
    </row>
    <row r="22" spans="1:25" ht="13.5" customHeight="1" x14ac:dyDescent="0.25">
      <c r="A22" s="478">
        <v>14</v>
      </c>
      <c r="B22" s="485" t="s">
        <v>115</v>
      </c>
      <c r="C22" s="481" t="s">
        <v>26</v>
      </c>
      <c r="D22" s="98">
        <v>458</v>
      </c>
      <c r="E22" s="99"/>
      <c r="F22" s="100">
        <v>70</v>
      </c>
      <c r="G22" s="101">
        <f t="shared" si="4"/>
        <v>110</v>
      </c>
      <c r="H22" s="102">
        <v>106</v>
      </c>
      <c r="I22" s="102">
        <v>0</v>
      </c>
      <c r="J22" s="102">
        <v>4</v>
      </c>
      <c r="K22" s="103">
        <f t="shared" si="2"/>
        <v>638</v>
      </c>
      <c r="L22" s="98"/>
      <c r="M22" s="104"/>
      <c r="N22" s="104"/>
      <c r="O22" s="104"/>
      <c r="P22" s="105"/>
      <c r="Q22" s="89"/>
      <c r="R22" s="99"/>
      <c r="S22" s="99"/>
      <c r="T22" s="99"/>
      <c r="U22" s="99"/>
      <c r="V22" s="99"/>
      <c r="W22" s="99"/>
      <c r="X22" s="106"/>
      <c r="Y22" s="105"/>
    </row>
    <row r="23" spans="1:25" ht="13.5" customHeight="1" x14ac:dyDescent="0.25">
      <c r="A23" s="478">
        <v>15</v>
      </c>
      <c r="B23" s="485" t="s">
        <v>116</v>
      </c>
      <c r="C23" s="481" t="s">
        <v>28</v>
      </c>
      <c r="D23" s="98">
        <v>610</v>
      </c>
      <c r="E23" s="99"/>
      <c r="F23" s="100"/>
      <c r="G23" s="101"/>
      <c r="H23" s="102"/>
      <c r="I23" s="102"/>
      <c r="J23" s="102"/>
      <c r="K23" s="103">
        <f t="shared" si="2"/>
        <v>610</v>
      </c>
      <c r="L23" s="98"/>
      <c r="M23" s="104"/>
      <c r="N23" s="104"/>
      <c r="O23" s="104"/>
      <c r="P23" s="105"/>
      <c r="Q23" s="89"/>
      <c r="R23" s="99"/>
      <c r="S23" s="99"/>
      <c r="T23" s="99"/>
      <c r="U23" s="99"/>
      <c r="V23" s="99"/>
      <c r="W23" s="99"/>
      <c r="X23" s="106"/>
      <c r="Y23" s="105"/>
    </row>
    <row r="24" spans="1:25" ht="13.5" customHeight="1" x14ac:dyDescent="0.25">
      <c r="A24" s="478">
        <v>16</v>
      </c>
      <c r="B24" s="485" t="s">
        <v>117</v>
      </c>
      <c r="C24" s="481" t="s">
        <v>24</v>
      </c>
      <c r="D24" s="98">
        <v>904</v>
      </c>
      <c r="E24" s="99">
        <v>24</v>
      </c>
      <c r="F24" s="100">
        <v>139</v>
      </c>
      <c r="G24" s="101">
        <f t="shared" si="4"/>
        <v>132</v>
      </c>
      <c r="H24" s="102">
        <v>117</v>
      </c>
      <c r="I24" s="102">
        <v>5</v>
      </c>
      <c r="J24" s="102">
        <v>10</v>
      </c>
      <c r="K24" s="103">
        <f t="shared" si="2"/>
        <v>1199</v>
      </c>
      <c r="L24" s="98"/>
      <c r="M24" s="104"/>
      <c r="N24" s="104"/>
      <c r="O24" s="104"/>
      <c r="P24" s="105"/>
      <c r="Q24" s="89"/>
      <c r="R24" s="99"/>
      <c r="S24" s="99"/>
      <c r="T24" s="99"/>
      <c r="U24" s="99"/>
      <c r="V24" s="99"/>
      <c r="W24" s="99"/>
      <c r="X24" s="106"/>
      <c r="Y24" s="105"/>
    </row>
    <row r="25" spans="1:25" ht="13.5" customHeight="1" x14ac:dyDescent="0.25">
      <c r="A25" s="478">
        <v>17</v>
      </c>
      <c r="B25" s="485" t="s">
        <v>76</v>
      </c>
      <c r="C25" s="481" t="s">
        <v>7</v>
      </c>
      <c r="D25" s="98">
        <v>1648</v>
      </c>
      <c r="E25" s="99">
        <v>67</v>
      </c>
      <c r="F25" s="100">
        <v>293</v>
      </c>
      <c r="G25" s="101">
        <f t="shared" si="4"/>
        <v>406</v>
      </c>
      <c r="H25" s="102">
        <f>304-32</f>
        <v>272</v>
      </c>
      <c r="I25" s="102">
        <f>44-4</f>
        <v>40</v>
      </c>
      <c r="J25" s="102">
        <f>100-6</f>
        <v>94</v>
      </c>
      <c r="K25" s="103">
        <f t="shared" si="2"/>
        <v>2414</v>
      </c>
      <c r="L25" s="98">
        <v>62</v>
      </c>
      <c r="M25" s="104">
        <v>476</v>
      </c>
      <c r="N25" s="104">
        <v>1053</v>
      </c>
      <c r="O25" s="104">
        <v>475</v>
      </c>
      <c r="P25" s="105">
        <f t="shared" si="3"/>
        <v>2066</v>
      </c>
      <c r="Q25" s="89"/>
      <c r="R25" s="99"/>
      <c r="S25" s="99"/>
      <c r="T25" s="99"/>
      <c r="U25" s="99"/>
      <c r="V25" s="99"/>
      <c r="W25" s="99"/>
      <c r="X25" s="106"/>
      <c r="Y25" s="105"/>
    </row>
    <row r="26" spans="1:25" ht="13.5" customHeight="1" x14ac:dyDescent="0.25">
      <c r="A26" s="478">
        <v>18</v>
      </c>
      <c r="B26" s="485" t="s">
        <v>118</v>
      </c>
      <c r="C26" s="481" t="s">
        <v>36</v>
      </c>
      <c r="D26" s="98">
        <v>262</v>
      </c>
      <c r="E26" s="99"/>
      <c r="F26" s="100"/>
      <c r="G26" s="101"/>
      <c r="H26" s="102"/>
      <c r="I26" s="102"/>
      <c r="J26" s="102"/>
      <c r="K26" s="103">
        <f t="shared" si="2"/>
        <v>262</v>
      </c>
      <c r="L26" s="98"/>
      <c r="M26" s="104"/>
      <c r="N26" s="104"/>
      <c r="O26" s="104"/>
      <c r="P26" s="105"/>
      <c r="Q26" s="89"/>
      <c r="R26" s="99"/>
      <c r="S26" s="99"/>
      <c r="T26" s="99"/>
      <c r="U26" s="99"/>
      <c r="V26" s="99"/>
      <c r="W26" s="99"/>
      <c r="X26" s="106"/>
      <c r="Y26" s="105"/>
    </row>
    <row r="27" spans="1:25" ht="13.5" customHeight="1" x14ac:dyDescent="0.25">
      <c r="A27" s="478">
        <v>19</v>
      </c>
      <c r="B27" s="485" t="s">
        <v>119</v>
      </c>
      <c r="C27" s="481" t="s">
        <v>41</v>
      </c>
      <c r="D27" s="98">
        <v>249</v>
      </c>
      <c r="E27" s="99"/>
      <c r="F27" s="100">
        <v>38</v>
      </c>
      <c r="G27" s="101">
        <f t="shared" si="4"/>
        <v>0</v>
      </c>
      <c r="H27" s="102"/>
      <c r="I27" s="102"/>
      <c r="J27" s="102"/>
      <c r="K27" s="103">
        <f t="shared" si="2"/>
        <v>287</v>
      </c>
      <c r="L27" s="98"/>
      <c r="M27" s="104"/>
      <c r="N27" s="104"/>
      <c r="O27" s="104"/>
      <c r="P27" s="105"/>
      <c r="Q27" s="89"/>
      <c r="R27" s="99"/>
      <c r="S27" s="99"/>
      <c r="T27" s="99"/>
      <c r="U27" s="99"/>
      <c r="V27" s="99"/>
      <c r="W27" s="99"/>
      <c r="X27" s="106"/>
      <c r="Y27" s="105"/>
    </row>
    <row r="28" spans="1:25" ht="13.5" customHeight="1" x14ac:dyDescent="0.25">
      <c r="A28" s="478">
        <v>20</v>
      </c>
      <c r="B28" s="485" t="s">
        <v>120</v>
      </c>
      <c r="C28" s="481" t="s">
        <v>8</v>
      </c>
      <c r="D28" s="98">
        <v>1102</v>
      </c>
      <c r="E28" s="99">
        <v>29</v>
      </c>
      <c r="F28" s="100">
        <v>169</v>
      </c>
      <c r="G28" s="101">
        <f t="shared" si="4"/>
        <v>184</v>
      </c>
      <c r="H28" s="102">
        <v>154</v>
      </c>
      <c r="I28" s="102">
        <v>0</v>
      </c>
      <c r="J28" s="102">
        <v>30</v>
      </c>
      <c r="K28" s="103">
        <f t="shared" si="2"/>
        <v>1484</v>
      </c>
      <c r="L28" s="98"/>
      <c r="M28" s="104"/>
      <c r="N28" s="104"/>
      <c r="O28" s="104"/>
      <c r="P28" s="105"/>
      <c r="Q28" s="89"/>
      <c r="R28" s="99"/>
      <c r="S28" s="99"/>
      <c r="T28" s="99"/>
      <c r="U28" s="99"/>
      <c r="V28" s="99"/>
      <c r="W28" s="99"/>
      <c r="X28" s="106"/>
      <c r="Y28" s="105"/>
    </row>
    <row r="29" spans="1:25" ht="13.5" customHeight="1" x14ac:dyDescent="0.25">
      <c r="A29" s="478">
        <v>21</v>
      </c>
      <c r="B29" s="485" t="s">
        <v>77</v>
      </c>
      <c r="C29" s="481" t="s">
        <v>9</v>
      </c>
      <c r="D29" s="98">
        <v>922</v>
      </c>
      <c r="E29" s="99">
        <v>44</v>
      </c>
      <c r="F29" s="100">
        <v>142</v>
      </c>
      <c r="G29" s="101">
        <f t="shared" si="4"/>
        <v>160</v>
      </c>
      <c r="H29" s="102">
        <v>155</v>
      </c>
      <c r="I29" s="102">
        <v>0</v>
      </c>
      <c r="J29" s="102">
        <v>5</v>
      </c>
      <c r="K29" s="103">
        <f t="shared" si="2"/>
        <v>1268</v>
      </c>
      <c r="L29" s="98"/>
      <c r="M29" s="104"/>
      <c r="N29" s="104"/>
      <c r="O29" s="104"/>
      <c r="P29" s="105"/>
      <c r="Q29" s="89"/>
      <c r="R29" s="99"/>
      <c r="S29" s="99"/>
      <c r="T29" s="99"/>
      <c r="U29" s="99"/>
      <c r="V29" s="99"/>
      <c r="W29" s="99"/>
      <c r="X29" s="106"/>
      <c r="Y29" s="105"/>
    </row>
    <row r="30" spans="1:25" ht="13.5" customHeight="1" x14ac:dyDescent="0.25">
      <c r="A30" s="478">
        <v>22</v>
      </c>
      <c r="B30" s="485" t="s">
        <v>78</v>
      </c>
      <c r="C30" s="481" t="s">
        <v>79</v>
      </c>
      <c r="D30" s="98">
        <v>252</v>
      </c>
      <c r="E30" s="99"/>
      <c r="F30" s="100">
        <v>39</v>
      </c>
      <c r="G30" s="101">
        <f t="shared" si="4"/>
        <v>42</v>
      </c>
      <c r="H30" s="102">
        <v>32</v>
      </c>
      <c r="I30" s="102">
        <v>4</v>
      </c>
      <c r="J30" s="102">
        <v>6</v>
      </c>
      <c r="K30" s="103">
        <f t="shared" si="2"/>
        <v>333</v>
      </c>
      <c r="L30" s="98"/>
      <c r="M30" s="104"/>
      <c r="N30" s="104"/>
      <c r="O30" s="104"/>
      <c r="P30" s="105"/>
      <c r="Q30" s="89"/>
      <c r="R30" s="99"/>
      <c r="S30" s="99"/>
      <c r="T30" s="99"/>
      <c r="U30" s="99"/>
      <c r="V30" s="99"/>
      <c r="W30" s="99"/>
      <c r="X30" s="106"/>
      <c r="Y30" s="105"/>
    </row>
    <row r="31" spans="1:25" ht="13.5" customHeight="1" x14ac:dyDescent="0.25">
      <c r="A31" s="478">
        <v>23</v>
      </c>
      <c r="B31" s="485" t="s">
        <v>123</v>
      </c>
      <c r="C31" s="481" t="s">
        <v>124</v>
      </c>
      <c r="D31" s="98">
        <v>2383</v>
      </c>
      <c r="E31" s="99">
        <v>80</v>
      </c>
      <c r="F31" s="100">
        <v>587</v>
      </c>
      <c r="G31" s="101">
        <f t="shared" si="4"/>
        <v>802</v>
      </c>
      <c r="H31" s="102">
        <v>612</v>
      </c>
      <c r="I31" s="102">
        <v>10</v>
      </c>
      <c r="J31" s="102">
        <v>180</v>
      </c>
      <c r="K31" s="103">
        <f t="shared" si="2"/>
        <v>3852</v>
      </c>
      <c r="L31" s="98">
        <v>76</v>
      </c>
      <c r="M31" s="104">
        <v>576</v>
      </c>
      <c r="N31" s="104">
        <v>1280</v>
      </c>
      <c r="O31" s="104">
        <v>576</v>
      </c>
      <c r="P31" s="105">
        <f t="shared" si="3"/>
        <v>2508</v>
      </c>
      <c r="Q31" s="89"/>
      <c r="R31" s="99"/>
      <c r="S31" s="99"/>
      <c r="T31" s="99"/>
      <c r="U31" s="99"/>
      <c r="V31" s="99"/>
      <c r="W31" s="99"/>
      <c r="X31" s="106"/>
      <c r="Y31" s="105"/>
    </row>
    <row r="32" spans="1:25" ht="13.5" customHeight="1" x14ac:dyDescent="0.25">
      <c r="A32" s="478">
        <v>24</v>
      </c>
      <c r="B32" s="485" t="s">
        <v>121</v>
      </c>
      <c r="C32" s="481" t="s">
        <v>122</v>
      </c>
      <c r="D32" s="98">
        <f>2294+1573</f>
        <v>3867</v>
      </c>
      <c r="E32" s="99">
        <v>75</v>
      </c>
      <c r="F32" s="100">
        <v>352</v>
      </c>
      <c r="G32" s="101">
        <f t="shared" si="4"/>
        <v>418</v>
      </c>
      <c r="H32" s="102">
        <v>373</v>
      </c>
      <c r="I32" s="102">
        <v>0</v>
      </c>
      <c r="J32" s="102">
        <v>45</v>
      </c>
      <c r="K32" s="103">
        <f t="shared" si="2"/>
        <v>4712</v>
      </c>
      <c r="L32" s="98"/>
      <c r="M32" s="104"/>
      <c r="N32" s="104"/>
      <c r="O32" s="104"/>
      <c r="P32" s="105"/>
      <c r="Q32" s="89"/>
      <c r="R32" s="99"/>
      <c r="S32" s="99"/>
      <c r="T32" s="99"/>
      <c r="U32" s="99"/>
      <c r="V32" s="99"/>
      <c r="W32" s="99"/>
      <c r="X32" s="106"/>
      <c r="Y32" s="105"/>
    </row>
    <row r="33" spans="1:25" ht="13.5" customHeight="1" x14ac:dyDescent="0.25">
      <c r="A33" s="478">
        <v>25</v>
      </c>
      <c r="B33" s="485" t="s">
        <v>182</v>
      </c>
      <c r="C33" s="481" t="s">
        <v>183</v>
      </c>
      <c r="D33" s="98">
        <v>1501</v>
      </c>
      <c r="E33" s="99"/>
      <c r="F33" s="100"/>
      <c r="G33" s="101"/>
      <c r="H33" s="102"/>
      <c r="I33" s="102"/>
      <c r="J33" s="102"/>
      <c r="K33" s="103">
        <f t="shared" si="2"/>
        <v>1501</v>
      </c>
      <c r="L33" s="98"/>
      <c r="M33" s="104"/>
      <c r="N33" s="104"/>
      <c r="O33" s="104"/>
      <c r="P33" s="105"/>
      <c r="Q33" s="89"/>
      <c r="R33" s="99"/>
      <c r="S33" s="99"/>
      <c r="T33" s="99"/>
      <c r="U33" s="99"/>
      <c r="V33" s="99"/>
      <c r="W33" s="99"/>
      <c r="X33" s="106"/>
      <c r="Y33" s="105"/>
    </row>
    <row r="34" spans="1:25" ht="13.5" customHeight="1" x14ac:dyDescent="0.25">
      <c r="A34" s="478">
        <v>26</v>
      </c>
      <c r="B34" s="485" t="s">
        <v>131</v>
      </c>
      <c r="C34" s="481" t="s">
        <v>185</v>
      </c>
      <c r="D34" s="98">
        <v>163</v>
      </c>
      <c r="E34" s="99"/>
      <c r="F34" s="100"/>
      <c r="G34" s="101"/>
      <c r="H34" s="102"/>
      <c r="I34" s="102"/>
      <c r="J34" s="102"/>
      <c r="K34" s="103">
        <f t="shared" si="2"/>
        <v>163</v>
      </c>
      <c r="L34" s="98"/>
      <c r="M34" s="104"/>
      <c r="N34" s="104"/>
      <c r="O34" s="104"/>
      <c r="P34" s="105"/>
      <c r="Q34" s="89"/>
      <c r="R34" s="99"/>
      <c r="S34" s="99"/>
      <c r="T34" s="99"/>
      <c r="U34" s="99"/>
      <c r="V34" s="99"/>
      <c r="W34" s="99"/>
      <c r="X34" s="106"/>
      <c r="Y34" s="105"/>
    </row>
    <row r="35" spans="1:25" ht="13.5" customHeight="1" x14ac:dyDescent="0.25">
      <c r="A35" s="478">
        <v>27</v>
      </c>
      <c r="B35" s="485" t="s">
        <v>82</v>
      </c>
      <c r="C35" s="481" t="s">
        <v>10</v>
      </c>
      <c r="D35" s="98">
        <v>1667</v>
      </c>
      <c r="E35" s="99">
        <v>45</v>
      </c>
      <c r="F35" s="100">
        <v>256</v>
      </c>
      <c r="G35" s="101">
        <f t="shared" si="4"/>
        <v>576</v>
      </c>
      <c r="H35" s="102">
        <v>541</v>
      </c>
      <c r="I35" s="102">
        <v>0</v>
      </c>
      <c r="J35" s="102">
        <v>35</v>
      </c>
      <c r="K35" s="103">
        <f t="shared" si="2"/>
        <v>2544</v>
      </c>
      <c r="L35" s="98">
        <v>39</v>
      </c>
      <c r="M35" s="104">
        <v>302</v>
      </c>
      <c r="N35" s="104">
        <v>673</v>
      </c>
      <c r="O35" s="104">
        <v>303</v>
      </c>
      <c r="P35" s="105">
        <f t="shared" si="3"/>
        <v>1317</v>
      </c>
      <c r="Q35" s="89"/>
      <c r="R35" s="99"/>
      <c r="S35" s="99"/>
      <c r="T35" s="99"/>
      <c r="U35" s="99"/>
      <c r="V35" s="99"/>
      <c r="W35" s="99"/>
      <c r="X35" s="106"/>
      <c r="Y35" s="105"/>
    </row>
    <row r="36" spans="1:25" ht="13.5" customHeight="1" x14ac:dyDescent="0.25">
      <c r="A36" s="478">
        <v>28</v>
      </c>
      <c r="B36" s="485" t="s">
        <v>83</v>
      </c>
      <c r="C36" s="481" t="s">
        <v>11</v>
      </c>
      <c r="D36" s="98">
        <f>1965+786</f>
        <v>2751</v>
      </c>
      <c r="E36" s="99">
        <v>52</v>
      </c>
      <c r="F36" s="100">
        <v>302</v>
      </c>
      <c r="G36" s="101">
        <f t="shared" si="4"/>
        <v>612</v>
      </c>
      <c r="H36" s="102">
        <v>537</v>
      </c>
      <c r="I36" s="102">
        <v>45</v>
      </c>
      <c r="J36" s="102">
        <v>30</v>
      </c>
      <c r="K36" s="103">
        <f t="shared" si="2"/>
        <v>3717</v>
      </c>
      <c r="L36" s="98">
        <v>29</v>
      </c>
      <c r="M36" s="104">
        <v>224</v>
      </c>
      <c r="N36" s="104">
        <v>495</v>
      </c>
      <c r="O36" s="104">
        <v>224</v>
      </c>
      <c r="P36" s="105">
        <f t="shared" si="3"/>
        <v>972</v>
      </c>
      <c r="Q36" s="89"/>
      <c r="R36" s="99"/>
      <c r="S36" s="99"/>
      <c r="T36" s="99"/>
      <c r="U36" s="99"/>
      <c r="V36" s="99"/>
      <c r="W36" s="99"/>
      <c r="X36" s="106"/>
      <c r="Y36" s="105"/>
    </row>
    <row r="37" spans="1:25" ht="13.5" customHeight="1" x14ac:dyDescent="0.25">
      <c r="A37" s="478">
        <v>29</v>
      </c>
      <c r="B37" s="485" t="s">
        <v>125</v>
      </c>
      <c r="C37" s="481" t="s">
        <v>43</v>
      </c>
      <c r="D37" s="98">
        <v>407</v>
      </c>
      <c r="E37" s="99"/>
      <c r="F37" s="100">
        <v>63</v>
      </c>
      <c r="G37" s="101"/>
      <c r="H37" s="102"/>
      <c r="I37" s="102"/>
      <c r="J37" s="102"/>
      <c r="K37" s="103">
        <f t="shared" si="2"/>
        <v>470</v>
      </c>
      <c r="L37" s="98"/>
      <c r="M37" s="104"/>
      <c r="N37" s="104"/>
      <c r="O37" s="104"/>
      <c r="P37" s="105"/>
      <c r="Q37" s="89"/>
      <c r="R37" s="99"/>
      <c r="S37" s="99"/>
      <c r="T37" s="99"/>
      <c r="U37" s="99"/>
      <c r="V37" s="99"/>
      <c r="W37" s="99"/>
      <c r="X37" s="106"/>
      <c r="Y37" s="105"/>
    </row>
    <row r="38" spans="1:25" ht="13.5" customHeight="1" x14ac:dyDescent="0.25">
      <c r="A38" s="478">
        <v>30</v>
      </c>
      <c r="B38" s="485" t="s">
        <v>84</v>
      </c>
      <c r="C38" s="481" t="s">
        <v>12</v>
      </c>
      <c r="D38" s="98">
        <v>1353</v>
      </c>
      <c r="E38" s="99">
        <v>36</v>
      </c>
      <c r="F38" s="100">
        <v>208</v>
      </c>
      <c r="G38" s="101"/>
      <c r="H38" s="102"/>
      <c r="I38" s="102"/>
      <c r="J38" s="102"/>
      <c r="K38" s="103">
        <f t="shared" si="2"/>
        <v>1597</v>
      </c>
      <c r="L38" s="98">
        <v>18</v>
      </c>
      <c r="M38" s="104">
        <v>137</v>
      </c>
      <c r="N38" s="104">
        <v>304</v>
      </c>
      <c r="O38" s="104">
        <v>137</v>
      </c>
      <c r="P38" s="105">
        <f t="shared" si="3"/>
        <v>596</v>
      </c>
      <c r="Q38" s="89"/>
      <c r="R38" s="99"/>
      <c r="S38" s="99"/>
      <c r="T38" s="99"/>
      <c r="U38" s="99"/>
      <c r="V38" s="99"/>
      <c r="W38" s="99"/>
      <c r="X38" s="106"/>
      <c r="Y38" s="105"/>
    </row>
    <row r="39" spans="1:25" ht="13.5" customHeight="1" x14ac:dyDescent="0.25">
      <c r="A39" s="478">
        <v>31</v>
      </c>
      <c r="B39" s="485" t="s">
        <v>85</v>
      </c>
      <c r="C39" s="481" t="s">
        <v>49</v>
      </c>
      <c r="D39" s="98">
        <v>521</v>
      </c>
      <c r="E39" s="99"/>
      <c r="F39" s="100">
        <v>80</v>
      </c>
      <c r="G39" s="101"/>
      <c r="H39" s="102"/>
      <c r="I39" s="102"/>
      <c r="J39" s="102"/>
      <c r="K39" s="103">
        <f t="shared" si="2"/>
        <v>601</v>
      </c>
      <c r="L39" s="98"/>
      <c r="M39" s="104"/>
      <c r="N39" s="104"/>
      <c r="O39" s="104"/>
      <c r="P39" s="105"/>
      <c r="Q39" s="89"/>
      <c r="R39" s="99"/>
      <c r="S39" s="99"/>
      <c r="T39" s="99"/>
      <c r="U39" s="99"/>
      <c r="V39" s="99"/>
      <c r="W39" s="99"/>
      <c r="X39" s="106"/>
      <c r="Y39" s="105"/>
    </row>
    <row r="40" spans="1:25" ht="13.5" customHeight="1" x14ac:dyDescent="0.25">
      <c r="A40" s="478">
        <v>32</v>
      </c>
      <c r="B40" s="485" t="s">
        <v>126</v>
      </c>
      <c r="C40" s="481" t="s">
        <v>25</v>
      </c>
      <c r="D40" s="98">
        <v>1339</v>
      </c>
      <c r="E40" s="99">
        <v>36</v>
      </c>
      <c r="F40" s="100">
        <v>206</v>
      </c>
      <c r="G40" s="101"/>
      <c r="H40" s="102"/>
      <c r="I40" s="102"/>
      <c r="J40" s="102"/>
      <c r="K40" s="103">
        <f t="shared" si="2"/>
        <v>1581</v>
      </c>
      <c r="L40" s="98"/>
      <c r="M40" s="104"/>
      <c r="N40" s="104"/>
      <c r="O40" s="104"/>
      <c r="P40" s="105"/>
      <c r="Q40" s="89"/>
      <c r="R40" s="99"/>
      <c r="S40" s="99"/>
      <c r="T40" s="99"/>
      <c r="U40" s="99"/>
      <c r="V40" s="99"/>
      <c r="W40" s="99"/>
      <c r="X40" s="106"/>
      <c r="Y40" s="105"/>
    </row>
    <row r="41" spans="1:25" ht="13.5" customHeight="1" x14ac:dyDescent="0.25">
      <c r="A41" s="478">
        <v>33</v>
      </c>
      <c r="B41" s="485" t="s">
        <v>127</v>
      </c>
      <c r="C41" s="481" t="s">
        <v>54</v>
      </c>
      <c r="D41" s="98">
        <v>493</v>
      </c>
      <c r="E41" s="99">
        <v>13</v>
      </c>
      <c r="F41" s="100">
        <v>76</v>
      </c>
      <c r="G41" s="101"/>
      <c r="H41" s="102"/>
      <c r="I41" s="102"/>
      <c r="J41" s="102"/>
      <c r="K41" s="103">
        <f t="shared" si="2"/>
        <v>582</v>
      </c>
      <c r="L41" s="98"/>
      <c r="M41" s="104"/>
      <c r="N41" s="104"/>
      <c r="O41" s="104"/>
      <c r="P41" s="105"/>
      <c r="Q41" s="89"/>
      <c r="R41" s="99"/>
      <c r="S41" s="99"/>
      <c r="T41" s="99"/>
      <c r="U41" s="99"/>
      <c r="V41" s="99"/>
      <c r="W41" s="99"/>
      <c r="X41" s="106"/>
      <c r="Y41" s="105"/>
    </row>
    <row r="42" spans="1:25" ht="13.5" customHeight="1" x14ac:dyDescent="0.25">
      <c r="A42" s="478">
        <v>34</v>
      </c>
      <c r="B42" s="485" t="s">
        <v>86</v>
      </c>
      <c r="C42" s="481" t="s">
        <v>57</v>
      </c>
      <c r="D42" s="98">
        <v>317</v>
      </c>
      <c r="E42" s="99"/>
      <c r="F42" s="100"/>
      <c r="G42" s="101"/>
      <c r="H42" s="102"/>
      <c r="I42" s="102"/>
      <c r="J42" s="102"/>
      <c r="K42" s="103">
        <f t="shared" si="2"/>
        <v>317</v>
      </c>
      <c r="L42" s="98"/>
      <c r="M42" s="104"/>
      <c r="N42" s="104"/>
      <c r="O42" s="104"/>
      <c r="P42" s="105"/>
      <c r="Q42" s="89"/>
      <c r="R42" s="99"/>
      <c r="S42" s="99"/>
      <c r="T42" s="99"/>
      <c r="U42" s="99"/>
      <c r="V42" s="99"/>
      <c r="W42" s="99"/>
      <c r="X42" s="106"/>
      <c r="Y42" s="105"/>
    </row>
    <row r="43" spans="1:25" ht="13.5" customHeight="1" x14ac:dyDescent="0.25">
      <c r="A43" s="478">
        <v>35</v>
      </c>
      <c r="B43" s="485" t="s">
        <v>87</v>
      </c>
      <c r="C43" s="481" t="s">
        <v>58</v>
      </c>
      <c r="D43" s="98">
        <v>509</v>
      </c>
      <c r="E43" s="99">
        <v>14</v>
      </c>
      <c r="F43" s="100"/>
      <c r="G43" s="101"/>
      <c r="H43" s="102"/>
      <c r="I43" s="102"/>
      <c r="J43" s="102"/>
      <c r="K43" s="103">
        <f t="shared" si="2"/>
        <v>523</v>
      </c>
      <c r="L43" s="98"/>
      <c r="M43" s="104"/>
      <c r="N43" s="104"/>
      <c r="O43" s="104"/>
      <c r="P43" s="105"/>
      <c r="Q43" s="89"/>
      <c r="R43" s="99"/>
      <c r="S43" s="99"/>
      <c r="T43" s="99"/>
      <c r="U43" s="99"/>
      <c r="V43" s="99"/>
      <c r="W43" s="99"/>
      <c r="X43" s="106"/>
      <c r="Y43" s="105"/>
    </row>
    <row r="44" spans="1:25" ht="13.5" customHeight="1" x14ac:dyDescent="0.25">
      <c r="A44" s="478">
        <v>36</v>
      </c>
      <c r="B44" s="485" t="s">
        <v>129</v>
      </c>
      <c r="C44" s="481" t="s">
        <v>130</v>
      </c>
      <c r="D44" s="98">
        <v>362</v>
      </c>
      <c r="E44" s="99"/>
      <c r="F44" s="100">
        <v>55</v>
      </c>
      <c r="G44" s="101"/>
      <c r="H44" s="102"/>
      <c r="I44" s="102"/>
      <c r="J44" s="102"/>
      <c r="K44" s="103">
        <f t="shared" si="2"/>
        <v>417</v>
      </c>
      <c r="L44" s="98">
        <v>4</v>
      </c>
      <c r="M44" s="104">
        <v>28</v>
      </c>
      <c r="N44" s="104">
        <v>62</v>
      </c>
      <c r="O44" s="104">
        <v>28</v>
      </c>
      <c r="P44" s="105">
        <f t="shared" si="3"/>
        <v>122</v>
      </c>
      <c r="Q44" s="89"/>
      <c r="R44" s="99"/>
      <c r="S44" s="99"/>
      <c r="T44" s="99"/>
      <c r="U44" s="99"/>
      <c r="V44" s="99"/>
      <c r="W44" s="99"/>
      <c r="X44" s="106"/>
      <c r="Y44" s="105"/>
    </row>
    <row r="45" spans="1:25" ht="13.5" customHeight="1" x14ac:dyDescent="0.25">
      <c r="A45" s="478">
        <v>37</v>
      </c>
      <c r="B45" s="485" t="s">
        <v>88</v>
      </c>
      <c r="C45" s="481" t="s">
        <v>13</v>
      </c>
      <c r="D45" s="98">
        <v>1728</v>
      </c>
      <c r="E45" s="99">
        <v>57</v>
      </c>
      <c r="F45" s="100">
        <v>265</v>
      </c>
      <c r="G45" s="101">
        <f t="shared" si="4"/>
        <v>1082</v>
      </c>
      <c r="H45" s="102">
        <v>872</v>
      </c>
      <c r="I45" s="102">
        <v>60</v>
      </c>
      <c r="J45" s="102">
        <v>150</v>
      </c>
      <c r="K45" s="103">
        <f t="shared" si="2"/>
        <v>3132</v>
      </c>
      <c r="L45" s="98">
        <v>23</v>
      </c>
      <c r="M45" s="104">
        <v>174</v>
      </c>
      <c r="N45" s="104">
        <v>388</v>
      </c>
      <c r="O45" s="104">
        <v>175</v>
      </c>
      <c r="P45" s="105">
        <f t="shared" si="3"/>
        <v>760</v>
      </c>
      <c r="Q45" s="89"/>
      <c r="R45" s="99"/>
      <c r="S45" s="99"/>
      <c r="T45" s="99"/>
      <c r="U45" s="99"/>
      <c r="V45" s="99"/>
      <c r="W45" s="99"/>
      <c r="X45" s="106"/>
      <c r="Y45" s="105"/>
    </row>
    <row r="46" spans="1:25" ht="13.5" customHeight="1" x14ac:dyDescent="0.25">
      <c r="A46" s="478">
        <v>38</v>
      </c>
      <c r="B46" s="485" t="s">
        <v>132</v>
      </c>
      <c r="C46" s="481" t="s">
        <v>30</v>
      </c>
      <c r="D46" s="98">
        <v>431</v>
      </c>
      <c r="E46" s="99"/>
      <c r="F46" s="100">
        <v>66</v>
      </c>
      <c r="G46" s="101"/>
      <c r="H46" s="102"/>
      <c r="I46" s="102"/>
      <c r="J46" s="102"/>
      <c r="K46" s="103">
        <f t="shared" si="2"/>
        <v>497</v>
      </c>
      <c r="L46" s="98"/>
      <c r="M46" s="104"/>
      <c r="N46" s="104"/>
      <c r="O46" s="104"/>
      <c r="P46" s="105"/>
      <c r="Q46" s="89"/>
      <c r="R46" s="99"/>
      <c r="S46" s="99"/>
      <c r="T46" s="99"/>
      <c r="U46" s="99"/>
      <c r="V46" s="99"/>
      <c r="W46" s="99"/>
      <c r="X46" s="106"/>
      <c r="Y46" s="105"/>
    </row>
    <row r="47" spans="1:25" ht="13.5" customHeight="1" x14ac:dyDescent="0.25">
      <c r="A47" s="478">
        <v>39</v>
      </c>
      <c r="B47" s="485" t="s">
        <v>133</v>
      </c>
      <c r="C47" s="481" t="s">
        <v>14</v>
      </c>
      <c r="D47" s="98">
        <v>1477</v>
      </c>
      <c r="E47" s="99">
        <v>45</v>
      </c>
      <c r="F47" s="100">
        <v>227</v>
      </c>
      <c r="G47" s="101"/>
      <c r="H47" s="102"/>
      <c r="I47" s="102"/>
      <c r="J47" s="102"/>
      <c r="K47" s="103">
        <f t="shared" si="2"/>
        <v>1749</v>
      </c>
      <c r="L47" s="98">
        <v>27</v>
      </c>
      <c r="M47" s="104">
        <v>204</v>
      </c>
      <c r="N47" s="104">
        <v>452</v>
      </c>
      <c r="O47" s="104">
        <v>205</v>
      </c>
      <c r="P47" s="105">
        <f t="shared" si="3"/>
        <v>888</v>
      </c>
      <c r="Q47" s="89"/>
      <c r="R47" s="99"/>
      <c r="S47" s="99"/>
      <c r="T47" s="99"/>
      <c r="U47" s="99"/>
      <c r="V47" s="99"/>
      <c r="W47" s="99"/>
      <c r="X47" s="106"/>
      <c r="Y47" s="105"/>
    </row>
    <row r="48" spans="1:25" ht="13.5" customHeight="1" x14ac:dyDescent="0.25">
      <c r="A48" s="478">
        <v>40</v>
      </c>
      <c r="B48" s="485" t="s">
        <v>134</v>
      </c>
      <c r="C48" s="481" t="s">
        <v>33</v>
      </c>
      <c r="D48" s="98">
        <v>351</v>
      </c>
      <c r="E48" s="99"/>
      <c r="F48" s="100">
        <v>54</v>
      </c>
      <c r="G48" s="101"/>
      <c r="H48" s="102"/>
      <c r="I48" s="102"/>
      <c r="J48" s="102"/>
      <c r="K48" s="103">
        <f t="shared" si="2"/>
        <v>405</v>
      </c>
      <c r="L48" s="98"/>
      <c r="M48" s="104"/>
      <c r="N48" s="104"/>
      <c r="O48" s="104"/>
      <c r="P48" s="105"/>
      <c r="Q48" s="89"/>
      <c r="R48" s="99"/>
      <c r="S48" s="99"/>
      <c r="T48" s="99"/>
      <c r="U48" s="99"/>
      <c r="V48" s="99"/>
      <c r="W48" s="99"/>
      <c r="X48" s="106"/>
      <c r="Y48" s="105"/>
    </row>
    <row r="49" spans="1:25" ht="13.5" customHeight="1" x14ac:dyDescent="0.25">
      <c r="A49" s="478">
        <v>41</v>
      </c>
      <c r="B49" s="485" t="s">
        <v>89</v>
      </c>
      <c r="C49" s="481" t="s">
        <v>38</v>
      </c>
      <c r="D49" s="98">
        <f>527+275</f>
        <v>802</v>
      </c>
      <c r="E49" s="99"/>
      <c r="F49" s="100">
        <v>81</v>
      </c>
      <c r="G49" s="101"/>
      <c r="H49" s="102"/>
      <c r="I49" s="102"/>
      <c r="J49" s="102"/>
      <c r="K49" s="103">
        <f t="shared" si="2"/>
        <v>883</v>
      </c>
      <c r="L49" s="98"/>
      <c r="M49" s="104"/>
      <c r="N49" s="104"/>
      <c r="O49" s="104"/>
      <c r="P49" s="105"/>
      <c r="Q49" s="89"/>
      <c r="R49" s="99"/>
      <c r="S49" s="99"/>
      <c r="T49" s="99"/>
      <c r="U49" s="99"/>
      <c r="V49" s="99"/>
      <c r="W49" s="99"/>
      <c r="X49" s="106"/>
      <c r="Y49" s="105"/>
    </row>
    <row r="50" spans="1:25" ht="13.5" customHeight="1" x14ac:dyDescent="0.25">
      <c r="A50" s="478">
        <v>42</v>
      </c>
      <c r="B50" s="485" t="s">
        <v>90</v>
      </c>
      <c r="C50" s="481" t="s">
        <v>39</v>
      </c>
      <c r="D50" s="98">
        <v>642</v>
      </c>
      <c r="E50" s="99">
        <v>17</v>
      </c>
      <c r="F50" s="100">
        <v>99</v>
      </c>
      <c r="G50" s="101"/>
      <c r="H50" s="102"/>
      <c r="I50" s="102"/>
      <c r="J50" s="102"/>
      <c r="K50" s="103">
        <f t="shared" si="2"/>
        <v>758</v>
      </c>
      <c r="L50" s="98">
        <v>16</v>
      </c>
      <c r="M50" s="104">
        <v>130</v>
      </c>
      <c r="N50" s="104">
        <v>287</v>
      </c>
      <c r="O50" s="104">
        <v>130</v>
      </c>
      <c r="P50" s="105">
        <f t="shared" si="3"/>
        <v>563</v>
      </c>
      <c r="Q50" s="89"/>
      <c r="R50" s="99"/>
      <c r="S50" s="99"/>
      <c r="T50" s="99"/>
      <c r="U50" s="99"/>
      <c r="V50" s="99"/>
      <c r="W50" s="99"/>
      <c r="X50" s="106"/>
      <c r="Y50" s="105"/>
    </row>
    <row r="51" spans="1:25" ht="13.5" customHeight="1" x14ac:dyDescent="0.25">
      <c r="A51" s="478">
        <v>43</v>
      </c>
      <c r="B51" s="485" t="s">
        <v>135</v>
      </c>
      <c r="C51" s="481" t="s">
        <v>40</v>
      </c>
      <c r="D51" s="98">
        <v>234</v>
      </c>
      <c r="E51" s="99"/>
      <c r="F51" s="100">
        <v>36</v>
      </c>
      <c r="G51" s="101"/>
      <c r="H51" s="102"/>
      <c r="I51" s="102"/>
      <c r="J51" s="102"/>
      <c r="K51" s="103">
        <f t="shared" si="2"/>
        <v>270</v>
      </c>
      <c r="L51" s="98"/>
      <c r="M51" s="104"/>
      <c r="N51" s="104"/>
      <c r="O51" s="104"/>
      <c r="P51" s="105"/>
      <c r="Q51" s="89"/>
      <c r="R51" s="99"/>
      <c r="S51" s="99"/>
      <c r="T51" s="99"/>
      <c r="U51" s="99"/>
      <c r="V51" s="99"/>
      <c r="W51" s="99"/>
      <c r="X51" s="106"/>
      <c r="Y51" s="105"/>
    </row>
    <row r="52" spans="1:25" ht="13.5" customHeight="1" x14ac:dyDescent="0.25">
      <c r="A52" s="478">
        <v>44</v>
      </c>
      <c r="B52" s="485" t="s">
        <v>91</v>
      </c>
      <c r="C52" s="481" t="s">
        <v>53</v>
      </c>
      <c r="D52" s="98">
        <v>452</v>
      </c>
      <c r="E52" s="99"/>
      <c r="F52" s="100"/>
      <c r="G52" s="101"/>
      <c r="H52" s="102"/>
      <c r="I52" s="102"/>
      <c r="J52" s="102"/>
      <c r="K52" s="103">
        <f t="shared" si="2"/>
        <v>452</v>
      </c>
      <c r="L52" s="98"/>
      <c r="M52" s="104"/>
      <c r="N52" s="104"/>
      <c r="O52" s="104"/>
      <c r="P52" s="105"/>
      <c r="Q52" s="89"/>
      <c r="R52" s="99"/>
      <c r="S52" s="99"/>
      <c r="T52" s="99"/>
      <c r="U52" s="99"/>
      <c r="V52" s="99"/>
      <c r="W52" s="99"/>
      <c r="X52" s="106"/>
      <c r="Y52" s="105"/>
    </row>
    <row r="53" spans="1:25" ht="13.5" customHeight="1" x14ac:dyDescent="0.25">
      <c r="A53" s="478">
        <v>45</v>
      </c>
      <c r="B53" s="485" t="s">
        <v>92</v>
      </c>
      <c r="C53" s="481" t="s">
        <v>56</v>
      </c>
      <c r="D53" s="98">
        <v>636</v>
      </c>
      <c r="E53" s="99"/>
      <c r="F53" s="100">
        <v>98</v>
      </c>
      <c r="G53" s="101"/>
      <c r="H53" s="102"/>
      <c r="I53" s="102"/>
      <c r="J53" s="102"/>
      <c r="K53" s="103">
        <f t="shared" si="2"/>
        <v>734</v>
      </c>
      <c r="L53" s="98"/>
      <c r="M53" s="104"/>
      <c r="N53" s="104"/>
      <c r="O53" s="104"/>
      <c r="P53" s="105"/>
      <c r="Q53" s="89"/>
      <c r="R53" s="99"/>
      <c r="S53" s="99"/>
      <c r="T53" s="99"/>
      <c r="U53" s="99"/>
      <c r="V53" s="99"/>
      <c r="W53" s="99"/>
      <c r="X53" s="106"/>
      <c r="Y53" s="105"/>
    </row>
    <row r="54" spans="1:25" ht="13.5" customHeight="1" x14ac:dyDescent="0.25">
      <c r="A54" s="478">
        <v>46</v>
      </c>
      <c r="B54" s="485" t="s">
        <v>136</v>
      </c>
      <c r="C54" s="481" t="s">
        <v>15</v>
      </c>
      <c r="D54" s="98">
        <v>2040</v>
      </c>
      <c r="E54" s="99"/>
      <c r="F54" s="100"/>
      <c r="G54" s="101"/>
      <c r="H54" s="102"/>
      <c r="I54" s="102"/>
      <c r="J54" s="102"/>
      <c r="K54" s="103">
        <f t="shared" si="2"/>
        <v>2040</v>
      </c>
      <c r="L54" s="98">
        <v>32</v>
      </c>
      <c r="M54" s="104">
        <v>246</v>
      </c>
      <c r="N54" s="104">
        <v>543</v>
      </c>
      <c r="O54" s="104">
        <v>244</v>
      </c>
      <c r="P54" s="105">
        <f t="shared" si="3"/>
        <v>1065</v>
      </c>
      <c r="Q54" s="89"/>
      <c r="R54" s="99"/>
      <c r="S54" s="99"/>
      <c r="T54" s="99"/>
      <c r="U54" s="99"/>
      <c r="V54" s="99"/>
      <c r="W54" s="99"/>
      <c r="X54" s="106"/>
      <c r="Y54" s="105"/>
    </row>
    <row r="55" spans="1:25" ht="13.5" customHeight="1" x14ac:dyDescent="0.25">
      <c r="A55" s="478">
        <v>47</v>
      </c>
      <c r="B55" s="485" t="s">
        <v>137</v>
      </c>
      <c r="C55" s="481" t="s">
        <v>61</v>
      </c>
      <c r="D55" s="98">
        <v>356</v>
      </c>
      <c r="E55" s="99"/>
      <c r="F55" s="100">
        <v>55</v>
      </c>
      <c r="G55" s="101"/>
      <c r="H55" s="102"/>
      <c r="I55" s="102"/>
      <c r="J55" s="102"/>
      <c r="K55" s="103">
        <f t="shared" si="2"/>
        <v>411</v>
      </c>
      <c r="L55" s="98"/>
      <c r="M55" s="104"/>
      <c r="N55" s="104"/>
      <c r="O55" s="104"/>
      <c r="P55" s="105"/>
      <c r="Q55" s="89"/>
      <c r="R55" s="99"/>
      <c r="S55" s="99"/>
      <c r="T55" s="99"/>
      <c r="U55" s="99"/>
      <c r="V55" s="99"/>
      <c r="W55" s="99"/>
      <c r="X55" s="106"/>
      <c r="Y55" s="105"/>
    </row>
    <row r="56" spans="1:25" ht="13.5" customHeight="1" x14ac:dyDescent="0.25">
      <c r="A56" s="478">
        <v>48</v>
      </c>
      <c r="B56" s="485" t="s">
        <v>190</v>
      </c>
      <c r="C56" s="481" t="s">
        <v>191</v>
      </c>
      <c r="D56" s="98">
        <v>827</v>
      </c>
      <c r="E56" s="99"/>
      <c r="F56" s="100"/>
      <c r="G56" s="101"/>
      <c r="H56" s="102"/>
      <c r="I56" s="102"/>
      <c r="J56" s="102"/>
      <c r="K56" s="103">
        <f t="shared" si="2"/>
        <v>827</v>
      </c>
      <c r="L56" s="98"/>
      <c r="M56" s="104"/>
      <c r="N56" s="104"/>
      <c r="O56" s="104"/>
      <c r="P56" s="105"/>
      <c r="Q56" s="89"/>
      <c r="R56" s="99"/>
      <c r="S56" s="99"/>
      <c r="T56" s="99"/>
      <c r="U56" s="99"/>
      <c r="V56" s="99"/>
      <c r="W56" s="99"/>
      <c r="X56" s="106"/>
      <c r="Y56" s="105"/>
    </row>
    <row r="57" spans="1:25" ht="13.5" customHeight="1" x14ac:dyDescent="0.25">
      <c r="A57" s="478">
        <v>49</v>
      </c>
      <c r="B57" s="485" t="s">
        <v>192</v>
      </c>
      <c r="C57" s="481" t="s">
        <v>343</v>
      </c>
      <c r="D57" s="98">
        <v>677</v>
      </c>
      <c r="E57" s="99"/>
      <c r="F57" s="100"/>
      <c r="G57" s="101"/>
      <c r="H57" s="102"/>
      <c r="I57" s="102"/>
      <c r="J57" s="102"/>
      <c r="K57" s="103">
        <f t="shared" si="2"/>
        <v>677</v>
      </c>
      <c r="L57" s="98"/>
      <c r="M57" s="104"/>
      <c r="N57" s="104"/>
      <c r="O57" s="104"/>
      <c r="P57" s="105"/>
      <c r="Q57" s="89"/>
      <c r="R57" s="99"/>
      <c r="S57" s="99"/>
      <c r="T57" s="99"/>
      <c r="U57" s="99"/>
      <c r="V57" s="99"/>
      <c r="W57" s="99"/>
      <c r="X57" s="106"/>
      <c r="Y57" s="105"/>
    </row>
    <row r="58" spans="1:25" ht="13.5" customHeight="1" x14ac:dyDescent="0.25">
      <c r="A58" s="478">
        <v>50</v>
      </c>
      <c r="B58" s="485" t="s">
        <v>194</v>
      </c>
      <c r="C58" s="481" t="s">
        <v>195</v>
      </c>
      <c r="D58" s="98">
        <v>951</v>
      </c>
      <c r="E58" s="99"/>
      <c r="F58" s="100"/>
      <c r="G58" s="101"/>
      <c r="H58" s="102"/>
      <c r="I58" s="102"/>
      <c r="J58" s="102"/>
      <c r="K58" s="103">
        <f t="shared" si="2"/>
        <v>951</v>
      </c>
      <c r="L58" s="98"/>
      <c r="M58" s="104"/>
      <c r="N58" s="104"/>
      <c r="O58" s="104"/>
      <c r="P58" s="105"/>
      <c r="Q58" s="89"/>
      <c r="R58" s="99"/>
      <c r="S58" s="99"/>
      <c r="T58" s="99"/>
      <c r="U58" s="99"/>
      <c r="V58" s="99"/>
      <c r="W58" s="99"/>
      <c r="X58" s="106"/>
      <c r="Y58" s="105"/>
    </row>
    <row r="59" spans="1:25" ht="13.5" customHeight="1" x14ac:dyDescent="0.25">
      <c r="A59" s="478">
        <v>51</v>
      </c>
      <c r="B59" s="485" t="s">
        <v>196</v>
      </c>
      <c r="C59" s="481" t="s">
        <v>344</v>
      </c>
      <c r="D59" s="98">
        <v>1184</v>
      </c>
      <c r="E59" s="99"/>
      <c r="F59" s="100"/>
      <c r="G59" s="101"/>
      <c r="H59" s="102"/>
      <c r="I59" s="102"/>
      <c r="J59" s="102"/>
      <c r="K59" s="103">
        <f t="shared" si="2"/>
        <v>1184</v>
      </c>
      <c r="L59" s="98"/>
      <c r="M59" s="104"/>
      <c r="N59" s="104"/>
      <c r="O59" s="104"/>
      <c r="P59" s="105"/>
      <c r="Q59" s="89"/>
      <c r="R59" s="99"/>
      <c r="S59" s="99"/>
      <c r="T59" s="99"/>
      <c r="U59" s="99"/>
      <c r="V59" s="99"/>
      <c r="W59" s="99"/>
      <c r="X59" s="106"/>
      <c r="Y59" s="105"/>
    </row>
    <row r="60" spans="1:25" ht="28.5" customHeight="1" x14ac:dyDescent="0.25">
      <c r="A60" s="478">
        <v>52</v>
      </c>
      <c r="B60" s="485" t="s">
        <v>198</v>
      </c>
      <c r="C60" s="481" t="s">
        <v>199</v>
      </c>
      <c r="D60" s="98">
        <v>463</v>
      </c>
      <c r="E60" s="99"/>
      <c r="F60" s="100"/>
      <c r="G60" s="101"/>
      <c r="H60" s="102"/>
      <c r="I60" s="102"/>
      <c r="J60" s="102"/>
      <c r="K60" s="103">
        <f t="shared" si="2"/>
        <v>463</v>
      </c>
      <c r="L60" s="98"/>
      <c r="M60" s="104"/>
      <c r="N60" s="104"/>
      <c r="O60" s="104"/>
      <c r="P60" s="105"/>
      <c r="Q60" s="89"/>
      <c r="R60" s="99"/>
      <c r="S60" s="99"/>
      <c r="T60" s="99"/>
      <c r="U60" s="99"/>
      <c r="V60" s="99"/>
      <c r="W60" s="99"/>
      <c r="X60" s="106"/>
      <c r="Y60" s="105"/>
    </row>
    <row r="61" spans="1:25" ht="13.5" customHeight="1" x14ac:dyDescent="0.25">
      <c r="A61" s="478">
        <v>53</v>
      </c>
      <c r="B61" s="485" t="s">
        <v>151</v>
      </c>
      <c r="C61" s="481" t="s">
        <v>345</v>
      </c>
      <c r="D61" s="98">
        <v>1685</v>
      </c>
      <c r="E61" s="99"/>
      <c r="F61" s="100">
        <v>259</v>
      </c>
      <c r="G61" s="101"/>
      <c r="H61" s="102"/>
      <c r="I61" s="102"/>
      <c r="J61" s="102"/>
      <c r="K61" s="103">
        <f t="shared" si="2"/>
        <v>1944</v>
      </c>
      <c r="L61" s="98"/>
      <c r="M61" s="104"/>
      <c r="N61" s="104"/>
      <c r="O61" s="104"/>
      <c r="P61" s="105"/>
      <c r="Q61" s="89"/>
      <c r="R61" s="99"/>
      <c r="S61" s="99"/>
      <c r="T61" s="99"/>
      <c r="U61" s="99"/>
      <c r="V61" s="99"/>
      <c r="W61" s="99"/>
      <c r="X61" s="106"/>
      <c r="Y61" s="105"/>
    </row>
    <row r="62" spans="1:25" ht="13.5" customHeight="1" x14ac:dyDescent="0.25">
      <c r="A62" s="478">
        <v>54</v>
      </c>
      <c r="B62" s="485" t="s">
        <v>152</v>
      </c>
      <c r="C62" s="481" t="s">
        <v>153</v>
      </c>
      <c r="D62" s="98">
        <v>1005</v>
      </c>
      <c r="E62" s="99"/>
      <c r="F62" s="100"/>
      <c r="G62" s="101"/>
      <c r="H62" s="102"/>
      <c r="I62" s="102"/>
      <c r="J62" s="102"/>
      <c r="K62" s="103">
        <f t="shared" si="2"/>
        <v>1005</v>
      </c>
      <c r="L62" s="98"/>
      <c r="M62" s="104"/>
      <c r="N62" s="104"/>
      <c r="O62" s="104"/>
      <c r="P62" s="105"/>
      <c r="Q62" s="89"/>
      <c r="R62" s="99"/>
      <c r="S62" s="99"/>
      <c r="T62" s="99"/>
      <c r="U62" s="99"/>
      <c r="V62" s="99"/>
      <c r="W62" s="99"/>
      <c r="X62" s="106"/>
      <c r="Y62" s="105"/>
    </row>
    <row r="63" spans="1:25" ht="13.5" customHeight="1" x14ac:dyDescent="0.25">
      <c r="A63" s="478">
        <v>55</v>
      </c>
      <c r="B63" s="485" t="s">
        <v>154</v>
      </c>
      <c r="C63" s="481" t="s">
        <v>346</v>
      </c>
      <c r="D63" s="98">
        <f>2315+680</f>
        <v>2995</v>
      </c>
      <c r="E63" s="99">
        <f>88-27</f>
        <v>61</v>
      </c>
      <c r="F63" s="100">
        <v>355</v>
      </c>
      <c r="G63" s="101"/>
      <c r="H63" s="102"/>
      <c r="I63" s="102"/>
      <c r="J63" s="102"/>
      <c r="K63" s="103">
        <f t="shared" si="2"/>
        <v>3411</v>
      </c>
      <c r="L63" s="98"/>
      <c r="M63" s="104"/>
      <c r="N63" s="104"/>
      <c r="O63" s="104"/>
      <c r="P63" s="105"/>
      <c r="Q63" s="89"/>
      <c r="R63" s="99"/>
      <c r="S63" s="99"/>
      <c r="T63" s="99"/>
      <c r="U63" s="99"/>
      <c r="V63" s="99"/>
      <c r="W63" s="99"/>
      <c r="X63" s="106"/>
      <c r="Y63" s="105"/>
    </row>
    <row r="64" spans="1:25" ht="13.5" customHeight="1" x14ac:dyDescent="0.25">
      <c r="A64" s="478">
        <v>56</v>
      </c>
      <c r="B64" s="485" t="s">
        <v>148</v>
      </c>
      <c r="C64" s="481" t="s">
        <v>16</v>
      </c>
      <c r="D64" s="98">
        <v>1216</v>
      </c>
      <c r="E64" s="99">
        <v>32</v>
      </c>
      <c r="F64" s="100">
        <v>187</v>
      </c>
      <c r="G64" s="101"/>
      <c r="H64" s="102"/>
      <c r="I64" s="102"/>
      <c r="J64" s="102"/>
      <c r="K64" s="103">
        <f t="shared" si="2"/>
        <v>1435</v>
      </c>
      <c r="L64" s="98"/>
      <c r="M64" s="104"/>
      <c r="N64" s="104"/>
      <c r="O64" s="104"/>
      <c r="P64" s="105"/>
      <c r="Q64" s="89"/>
      <c r="R64" s="99"/>
      <c r="S64" s="99"/>
      <c r="T64" s="99"/>
      <c r="U64" s="99"/>
      <c r="V64" s="99"/>
      <c r="W64" s="99"/>
      <c r="X64" s="106"/>
      <c r="Y64" s="105"/>
    </row>
    <row r="65" spans="1:25" ht="13.5" customHeight="1" x14ac:dyDescent="0.25">
      <c r="A65" s="478">
        <v>57</v>
      </c>
      <c r="B65" s="485" t="s">
        <v>145</v>
      </c>
      <c r="C65" s="481" t="s">
        <v>347</v>
      </c>
      <c r="D65" s="98">
        <f>3094-1783</f>
        <v>1311</v>
      </c>
      <c r="E65" s="99">
        <v>83</v>
      </c>
      <c r="F65" s="100">
        <v>475</v>
      </c>
      <c r="G65" s="101"/>
      <c r="H65" s="102"/>
      <c r="I65" s="102"/>
      <c r="J65" s="102"/>
      <c r="K65" s="103">
        <f t="shared" si="2"/>
        <v>1869</v>
      </c>
      <c r="L65" s="98"/>
      <c r="M65" s="104"/>
      <c r="N65" s="104"/>
      <c r="O65" s="104"/>
      <c r="P65" s="105"/>
      <c r="Q65" s="89"/>
      <c r="R65" s="99"/>
      <c r="S65" s="99"/>
      <c r="T65" s="99"/>
      <c r="U65" s="99"/>
      <c r="V65" s="99"/>
      <c r="W65" s="99"/>
      <c r="X65" s="106"/>
      <c r="Y65" s="105"/>
    </row>
    <row r="66" spans="1:25" ht="13.5" customHeight="1" x14ac:dyDescent="0.25">
      <c r="A66" s="478">
        <v>58</v>
      </c>
      <c r="B66" s="485" t="s">
        <v>146</v>
      </c>
      <c r="C66" s="481" t="s">
        <v>147</v>
      </c>
      <c r="D66" s="98">
        <v>1847</v>
      </c>
      <c r="E66" s="99">
        <f>28+21</f>
        <v>49</v>
      </c>
      <c r="F66" s="100">
        <v>284</v>
      </c>
      <c r="G66" s="101">
        <f t="shared" si="4"/>
        <v>316</v>
      </c>
      <c r="H66" s="102">
        <v>266</v>
      </c>
      <c r="I66" s="102">
        <v>0</v>
      </c>
      <c r="J66" s="102">
        <v>50</v>
      </c>
      <c r="K66" s="103">
        <f t="shared" si="2"/>
        <v>2496</v>
      </c>
      <c r="L66" s="98"/>
      <c r="M66" s="104"/>
      <c r="N66" s="104"/>
      <c r="O66" s="104"/>
      <c r="P66" s="105"/>
      <c r="Q66" s="89"/>
      <c r="R66" s="99"/>
      <c r="S66" s="99"/>
      <c r="T66" s="99"/>
      <c r="U66" s="99"/>
      <c r="V66" s="99"/>
      <c r="W66" s="99"/>
      <c r="X66" s="106"/>
      <c r="Y66" s="105"/>
    </row>
    <row r="67" spans="1:25" ht="13.5" customHeight="1" x14ac:dyDescent="0.25">
      <c r="A67" s="478">
        <v>59</v>
      </c>
      <c r="B67" s="485" t="s">
        <v>140</v>
      </c>
      <c r="C67" s="481" t="s">
        <v>141</v>
      </c>
      <c r="D67" s="98">
        <v>505</v>
      </c>
      <c r="E67" s="99"/>
      <c r="F67" s="100"/>
      <c r="G67" s="101"/>
      <c r="H67" s="102"/>
      <c r="I67" s="102"/>
      <c r="J67" s="102"/>
      <c r="K67" s="103">
        <f t="shared" si="2"/>
        <v>505</v>
      </c>
      <c r="L67" s="98"/>
      <c r="M67" s="104"/>
      <c r="N67" s="104"/>
      <c r="O67" s="104"/>
      <c r="P67" s="105"/>
      <c r="Q67" s="89"/>
      <c r="R67" s="99"/>
      <c r="S67" s="99"/>
      <c r="T67" s="99"/>
      <c r="U67" s="99"/>
      <c r="V67" s="99"/>
      <c r="W67" s="99"/>
      <c r="X67" s="106"/>
      <c r="Y67" s="105"/>
    </row>
    <row r="68" spans="1:25" ht="13.5" customHeight="1" x14ac:dyDescent="0.25">
      <c r="A68" s="478">
        <v>60</v>
      </c>
      <c r="B68" s="485" t="s">
        <v>142</v>
      </c>
      <c r="C68" s="481" t="s">
        <v>143</v>
      </c>
      <c r="D68" s="98">
        <v>2921</v>
      </c>
      <c r="E68" s="99">
        <v>80</v>
      </c>
      <c r="F68" s="100">
        <v>638</v>
      </c>
      <c r="G68" s="101">
        <f t="shared" ref="G68:G95" si="5">H68+I68+J68</f>
        <v>708</v>
      </c>
      <c r="H68" s="102">
        <v>468</v>
      </c>
      <c r="I68" s="102">
        <v>70</v>
      </c>
      <c r="J68" s="102">
        <v>170</v>
      </c>
      <c r="K68" s="103">
        <f t="shared" si="2"/>
        <v>4347</v>
      </c>
      <c r="L68" s="98">
        <v>190</v>
      </c>
      <c r="M68" s="104">
        <v>1461</v>
      </c>
      <c r="N68" s="104">
        <v>3239</v>
      </c>
      <c r="O68" s="104">
        <v>1460</v>
      </c>
      <c r="P68" s="105">
        <f t="shared" ref="P68:P95" si="6">L68+M68+N68+O68</f>
        <v>6350</v>
      </c>
      <c r="Q68" s="89"/>
      <c r="R68" s="99"/>
      <c r="S68" s="99"/>
      <c r="T68" s="99"/>
      <c r="U68" s="99"/>
      <c r="V68" s="99"/>
      <c r="W68" s="99"/>
      <c r="X68" s="106"/>
      <c r="Y68" s="105"/>
    </row>
    <row r="69" spans="1:25" ht="13.5" customHeight="1" x14ac:dyDescent="0.25">
      <c r="A69" s="478">
        <v>61</v>
      </c>
      <c r="B69" s="485" t="s">
        <v>221</v>
      </c>
      <c r="C69" s="481" t="s">
        <v>222</v>
      </c>
      <c r="D69" s="98">
        <v>700</v>
      </c>
      <c r="E69" s="99"/>
      <c r="F69" s="100"/>
      <c r="G69" s="101"/>
      <c r="H69" s="102"/>
      <c r="I69" s="102"/>
      <c r="J69" s="102"/>
      <c r="K69" s="103">
        <f t="shared" si="2"/>
        <v>700</v>
      </c>
      <c r="L69" s="98"/>
      <c r="M69" s="104"/>
      <c r="N69" s="104"/>
      <c r="O69" s="104"/>
      <c r="P69" s="105"/>
      <c r="Q69" s="89"/>
      <c r="R69" s="99"/>
      <c r="S69" s="99"/>
      <c r="T69" s="99"/>
      <c r="U69" s="99"/>
      <c r="V69" s="99"/>
      <c r="W69" s="99"/>
      <c r="X69" s="106"/>
      <c r="Y69" s="105"/>
    </row>
    <row r="70" spans="1:25" ht="13.5" customHeight="1" x14ac:dyDescent="0.25">
      <c r="A70" s="478">
        <v>62</v>
      </c>
      <c r="B70" s="485" t="s">
        <v>144</v>
      </c>
      <c r="C70" s="481" t="s">
        <v>334</v>
      </c>
      <c r="D70" s="98">
        <v>2386</v>
      </c>
      <c r="E70" s="99">
        <f>41-41</f>
        <v>0</v>
      </c>
      <c r="F70" s="100">
        <v>366</v>
      </c>
      <c r="G70" s="101">
        <f t="shared" si="5"/>
        <v>849</v>
      </c>
      <c r="H70" s="102">
        <v>729</v>
      </c>
      <c r="I70" s="102">
        <v>0</v>
      </c>
      <c r="J70" s="102">
        <v>120</v>
      </c>
      <c r="K70" s="103">
        <f t="shared" si="2"/>
        <v>3601</v>
      </c>
      <c r="L70" s="98"/>
      <c r="M70" s="104"/>
      <c r="N70" s="104"/>
      <c r="O70" s="104"/>
      <c r="P70" s="105"/>
      <c r="Q70" s="89"/>
      <c r="R70" s="99"/>
      <c r="S70" s="99"/>
      <c r="T70" s="99"/>
      <c r="U70" s="99"/>
      <c r="V70" s="99"/>
      <c r="W70" s="99"/>
      <c r="X70" s="106"/>
      <c r="Y70" s="105"/>
    </row>
    <row r="71" spans="1:25" ht="13.5" customHeight="1" x14ac:dyDescent="0.25">
      <c r="A71" s="478">
        <v>63</v>
      </c>
      <c r="B71" s="485" t="s">
        <v>157</v>
      </c>
      <c r="C71" s="481" t="s">
        <v>17</v>
      </c>
      <c r="D71" s="98">
        <v>135</v>
      </c>
      <c r="E71" s="99">
        <v>7</v>
      </c>
      <c r="F71" s="100">
        <v>98</v>
      </c>
      <c r="G71" s="101"/>
      <c r="H71" s="102"/>
      <c r="I71" s="102"/>
      <c r="J71" s="102"/>
      <c r="K71" s="103">
        <f t="shared" si="2"/>
        <v>240</v>
      </c>
      <c r="L71" s="98"/>
      <c r="M71" s="104"/>
      <c r="N71" s="104"/>
      <c r="O71" s="104"/>
      <c r="P71" s="105"/>
      <c r="Q71" s="89"/>
      <c r="R71" s="99"/>
      <c r="S71" s="99"/>
      <c r="T71" s="99"/>
      <c r="U71" s="99"/>
      <c r="V71" s="99"/>
      <c r="W71" s="99"/>
      <c r="X71" s="106"/>
      <c r="Y71" s="105"/>
    </row>
    <row r="72" spans="1:25" ht="13.5" customHeight="1" x14ac:dyDescent="0.25">
      <c r="A72" s="478">
        <v>64</v>
      </c>
      <c r="B72" s="485" t="s">
        <v>155</v>
      </c>
      <c r="C72" s="481" t="s">
        <v>156</v>
      </c>
      <c r="D72" s="98">
        <v>118</v>
      </c>
      <c r="E72" s="99"/>
      <c r="F72" s="100"/>
      <c r="G72" s="101"/>
      <c r="H72" s="102"/>
      <c r="I72" s="102"/>
      <c r="J72" s="102"/>
      <c r="K72" s="103">
        <f t="shared" si="2"/>
        <v>118</v>
      </c>
      <c r="L72" s="98"/>
      <c r="M72" s="104"/>
      <c r="N72" s="104"/>
      <c r="O72" s="104"/>
      <c r="P72" s="105"/>
      <c r="Q72" s="89"/>
      <c r="R72" s="99"/>
      <c r="S72" s="99"/>
      <c r="T72" s="99"/>
      <c r="U72" s="99"/>
      <c r="V72" s="99"/>
      <c r="W72" s="99"/>
      <c r="X72" s="106"/>
      <c r="Y72" s="105"/>
    </row>
    <row r="73" spans="1:25" ht="13.5" customHeight="1" x14ac:dyDescent="0.25">
      <c r="A73" s="478">
        <v>65</v>
      </c>
      <c r="B73" s="485" t="s">
        <v>158</v>
      </c>
      <c r="C73" s="481" t="s">
        <v>228</v>
      </c>
      <c r="D73" s="98">
        <f>452+1783</f>
        <v>2235</v>
      </c>
      <c r="E73" s="99">
        <v>25</v>
      </c>
      <c r="F73" s="100">
        <v>87</v>
      </c>
      <c r="G73" s="101">
        <f t="shared" si="5"/>
        <v>272</v>
      </c>
      <c r="H73" s="102">
        <v>216</v>
      </c>
      <c r="I73" s="102">
        <v>26</v>
      </c>
      <c r="J73" s="102">
        <v>30</v>
      </c>
      <c r="K73" s="103">
        <f t="shared" si="2"/>
        <v>2619</v>
      </c>
      <c r="L73" s="98"/>
      <c r="M73" s="104"/>
      <c r="N73" s="104"/>
      <c r="O73" s="104"/>
      <c r="P73" s="105"/>
      <c r="Q73" s="89"/>
      <c r="R73" s="99"/>
      <c r="S73" s="99"/>
      <c r="T73" s="99"/>
      <c r="U73" s="99"/>
      <c r="V73" s="99"/>
      <c r="W73" s="99"/>
      <c r="X73" s="106"/>
      <c r="Y73" s="105"/>
    </row>
    <row r="74" spans="1:25" ht="13.5" customHeight="1" x14ac:dyDescent="0.25">
      <c r="A74" s="478">
        <v>66</v>
      </c>
      <c r="B74" s="485" t="s">
        <v>95</v>
      </c>
      <c r="C74" s="481" t="s">
        <v>27</v>
      </c>
      <c r="D74" s="98">
        <v>282</v>
      </c>
      <c r="E74" s="99">
        <v>8</v>
      </c>
      <c r="F74" s="100"/>
      <c r="G74" s="101"/>
      <c r="H74" s="102"/>
      <c r="I74" s="102"/>
      <c r="J74" s="102"/>
      <c r="K74" s="103">
        <f t="shared" si="2"/>
        <v>290</v>
      </c>
      <c r="L74" s="98"/>
      <c r="M74" s="104"/>
      <c r="N74" s="104"/>
      <c r="O74" s="104"/>
      <c r="P74" s="105"/>
      <c r="Q74" s="89"/>
      <c r="R74" s="99"/>
      <c r="S74" s="99"/>
      <c r="T74" s="99"/>
      <c r="U74" s="99"/>
      <c r="V74" s="99"/>
      <c r="W74" s="99"/>
      <c r="X74" s="106"/>
      <c r="Y74" s="105"/>
    </row>
    <row r="75" spans="1:25" ht="13.5" customHeight="1" x14ac:dyDescent="0.25">
      <c r="A75" s="478">
        <v>67</v>
      </c>
      <c r="B75" s="485" t="s">
        <v>138</v>
      </c>
      <c r="C75" s="481" t="s">
        <v>32</v>
      </c>
      <c r="D75" s="98">
        <v>304</v>
      </c>
      <c r="E75" s="99"/>
      <c r="F75" s="100">
        <v>47</v>
      </c>
      <c r="G75" s="101"/>
      <c r="H75" s="102"/>
      <c r="I75" s="102"/>
      <c r="J75" s="102"/>
      <c r="K75" s="103">
        <f t="shared" ref="K75:K95" si="7">D75+E75+F75+G75</f>
        <v>351</v>
      </c>
      <c r="L75" s="98"/>
      <c r="M75" s="104"/>
      <c r="N75" s="104"/>
      <c r="O75" s="104"/>
      <c r="P75" s="105"/>
      <c r="Q75" s="89"/>
      <c r="R75" s="99"/>
      <c r="S75" s="99"/>
      <c r="T75" s="99"/>
      <c r="U75" s="99"/>
      <c r="V75" s="99"/>
      <c r="W75" s="99"/>
      <c r="X75" s="106"/>
      <c r="Y75" s="105"/>
    </row>
    <row r="76" spans="1:25" ht="13.5" customHeight="1" x14ac:dyDescent="0.25">
      <c r="A76" s="478">
        <v>68</v>
      </c>
      <c r="B76" s="485" t="s">
        <v>96</v>
      </c>
      <c r="C76" s="481" t="s">
        <v>18</v>
      </c>
      <c r="D76" s="98">
        <v>808</v>
      </c>
      <c r="E76" s="99"/>
      <c r="F76" s="100">
        <v>124</v>
      </c>
      <c r="G76" s="101"/>
      <c r="H76" s="102"/>
      <c r="I76" s="102"/>
      <c r="J76" s="102"/>
      <c r="K76" s="103">
        <f t="shared" si="7"/>
        <v>932</v>
      </c>
      <c r="L76" s="98"/>
      <c r="M76" s="104"/>
      <c r="N76" s="104"/>
      <c r="O76" s="104"/>
      <c r="P76" s="105"/>
      <c r="Q76" s="89"/>
      <c r="R76" s="99"/>
      <c r="S76" s="99"/>
      <c r="T76" s="99"/>
      <c r="U76" s="99"/>
      <c r="V76" s="99"/>
      <c r="W76" s="99"/>
      <c r="X76" s="106"/>
      <c r="Y76" s="105"/>
    </row>
    <row r="77" spans="1:25" ht="13.5" customHeight="1" x14ac:dyDescent="0.25">
      <c r="A77" s="478">
        <v>69</v>
      </c>
      <c r="B77" s="485" t="s">
        <v>139</v>
      </c>
      <c r="C77" s="481" t="s">
        <v>19</v>
      </c>
      <c r="D77" s="98">
        <v>349</v>
      </c>
      <c r="E77" s="99">
        <v>9</v>
      </c>
      <c r="F77" s="100">
        <v>54</v>
      </c>
      <c r="G77" s="101"/>
      <c r="H77" s="102"/>
      <c r="I77" s="102"/>
      <c r="J77" s="102"/>
      <c r="K77" s="103">
        <f t="shared" si="7"/>
        <v>412</v>
      </c>
      <c r="L77" s="98"/>
      <c r="M77" s="104"/>
      <c r="N77" s="104"/>
      <c r="O77" s="104"/>
      <c r="P77" s="105"/>
      <c r="Q77" s="89"/>
      <c r="R77" s="99"/>
      <c r="S77" s="99"/>
      <c r="T77" s="99"/>
      <c r="U77" s="99"/>
      <c r="V77" s="99"/>
      <c r="W77" s="99"/>
      <c r="X77" s="106"/>
      <c r="Y77" s="105"/>
    </row>
    <row r="78" spans="1:25" ht="13.5" customHeight="1" x14ac:dyDescent="0.25">
      <c r="A78" s="478">
        <v>70</v>
      </c>
      <c r="B78" s="485" t="s">
        <v>97</v>
      </c>
      <c r="C78" s="481" t="s">
        <v>34</v>
      </c>
      <c r="D78" s="98">
        <v>440</v>
      </c>
      <c r="E78" s="99">
        <v>12</v>
      </c>
      <c r="F78" s="100"/>
      <c r="G78" s="101"/>
      <c r="H78" s="102"/>
      <c r="I78" s="102"/>
      <c r="J78" s="102"/>
      <c r="K78" s="103">
        <f t="shared" si="7"/>
        <v>452</v>
      </c>
      <c r="L78" s="98"/>
      <c r="M78" s="104"/>
      <c r="N78" s="104"/>
      <c r="O78" s="104"/>
      <c r="P78" s="105"/>
      <c r="Q78" s="89"/>
      <c r="R78" s="99"/>
      <c r="S78" s="99"/>
      <c r="T78" s="99"/>
      <c r="U78" s="99"/>
      <c r="V78" s="99"/>
      <c r="W78" s="99"/>
      <c r="X78" s="106"/>
      <c r="Y78" s="105"/>
    </row>
    <row r="79" spans="1:25" ht="13.5" customHeight="1" x14ac:dyDescent="0.25">
      <c r="A79" s="478">
        <v>71</v>
      </c>
      <c r="B79" s="485" t="s">
        <v>98</v>
      </c>
      <c r="C79" s="481" t="s">
        <v>42</v>
      </c>
      <c r="D79" s="98">
        <v>854</v>
      </c>
      <c r="E79" s="99">
        <v>23</v>
      </c>
      <c r="F79" s="100"/>
      <c r="G79" s="101"/>
      <c r="H79" s="102"/>
      <c r="I79" s="102"/>
      <c r="J79" s="102"/>
      <c r="K79" s="103">
        <f t="shared" si="7"/>
        <v>877</v>
      </c>
      <c r="L79" s="98"/>
      <c r="M79" s="104"/>
      <c r="N79" s="104"/>
      <c r="O79" s="104"/>
      <c r="P79" s="105"/>
      <c r="Q79" s="89"/>
      <c r="R79" s="99"/>
      <c r="S79" s="99"/>
      <c r="T79" s="99"/>
      <c r="U79" s="99"/>
      <c r="V79" s="99"/>
      <c r="W79" s="99"/>
      <c r="X79" s="106"/>
      <c r="Y79" s="105"/>
    </row>
    <row r="80" spans="1:25" ht="13.5" customHeight="1" x14ac:dyDescent="0.25">
      <c r="A80" s="478">
        <v>72</v>
      </c>
      <c r="B80" s="485" t="s">
        <v>99</v>
      </c>
      <c r="C80" s="481" t="s">
        <v>46</v>
      </c>
      <c r="D80" s="98">
        <v>753</v>
      </c>
      <c r="E80" s="99"/>
      <c r="F80" s="100"/>
      <c r="G80" s="101"/>
      <c r="H80" s="102"/>
      <c r="I80" s="102"/>
      <c r="J80" s="102"/>
      <c r="K80" s="103">
        <f t="shared" si="7"/>
        <v>753</v>
      </c>
      <c r="L80" s="98"/>
      <c r="M80" s="104"/>
      <c r="N80" s="104"/>
      <c r="O80" s="104"/>
      <c r="P80" s="105"/>
      <c r="Q80" s="89"/>
      <c r="R80" s="99"/>
      <c r="S80" s="99"/>
      <c r="T80" s="99"/>
      <c r="U80" s="99"/>
      <c r="V80" s="99"/>
      <c r="W80" s="99"/>
      <c r="X80" s="106"/>
      <c r="Y80" s="105"/>
    </row>
    <row r="81" spans="1:25" ht="13.5" customHeight="1" x14ac:dyDescent="0.25">
      <c r="A81" s="478">
        <v>73</v>
      </c>
      <c r="B81" s="485" t="s">
        <v>149</v>
      </c>
      <c r="C81" s="481" t="s">
        <v>47</v>
      </c>
      <c r="D81" s="98">
        <v>250</v>
      </c>
      <c r="E81" s="99">
        <v>7</v>
      </c>
      <c r="F81" s="100">
        <v>38</v>
      </c>
      <c r="G81" s="101"/>
      <c r="H81" s="102"/>
      <c r="I81" s="102"/>
      <c r="J81" s="102"/>
      <c r="K81" s="103">
        <f t="shared" si="7"/>
        <v>295</v>
      </c>
      <c r="L81" s="98"/>
      <c r="M81" s="104"/>
      <c r="N81" s="104"/>
      <c r="O81" s="104"/>
      <c r="P81" s="105"/>
      <c r="Q81" s="89"/>
      <c r="R81" s="99"/>
      <c r="S81" s="99"/>
      <c r="T81" s="99"/>
      <c r="U81" s="99"/>
      <c r="V81" s="99"/>
      <c r="W81" s="99"/>
      <c r="X81" s="106"/>
      <c r="Y81" s="105"/>
    </row>
    <row r="82" spans="1:25" ht="13.5" customHeight="1" x14ac:dyDescent="0.25">
      <c r="A82" s="478">
        <v>74</v>
      </c>
      <c r="B82" s="485" t="s">
        <v>100</v>
      </c>
      <c r="C82" s="481" t="s">
        <v>50</v>
      </c>
      <c r="D82" s="98">
        <v>446</v>
      </c>
      <c r="E82" s="99"/>
      <c r="F82" s="100"/>
      <c r="G82" s="101"/>
      <c r="H82" s="102"/>
      <c r="I82" s="102"/>
      <c r="J82" s="102"/>
      <c r="K82" s="103">
        <f t="shared" si="7"/>
        <v>446</v>
      </c>
      <c r="L82" s="98"/>
      <c r="M82" s="104"/>
      <c r="N82" s="104"/>
      <c r="O82" s="104"/>
      <c r="P82" s="105"/>
      <c r="Q82" s="89"/>
      <c r="R82" s="99"/>
      <c r="S82" s="99"/>
      <c r="T82" s="99"/>
      <c r="U82" s="99"/>
      <c r="V82" s="99"/>
      <c r="W82" s="99"/>
      <c r="X82" s="106"/>
      <c r="Y82" s="105"/>
    </row>
    <row r="83" spans="1:25" ht="13.5" customHeight="1" x14ac:dyDescent="0.25">
      <c r="A83" s="478">
        <v>75</v>
      </c>
      <c r="B83" s="485" t="s">
        <v>150</v>
      </c>
      <c r="C83" s="481" t="s">
        <v>51</v>
      </c>
      <c r="D83" s="98">
        <v>413</v>
      </c>
      <c r="E83" s="99">
        <v>11</v>
      </c>
      <c r="F83" s="100">
        <v>63</v>
      </c>
      <c r="G83" s="101"/>
      <c r="H83" s="102"/>
      <c r="I83" s="102"/>
      <c r="J83" s="102"/>
      <c r="K83" s="103">
        <f t="shared" si="7"/>
        <v>487</v>
      </c>
      <c r="L83" s="98"/>
      <c r="M83" s="104"/>
      <c r="N83" s="104"/>
      <c r="O83" s="104"/>
      <c r="P83" s="105"/>
      <c r="Q83" s="89"/>
      <c r="R83" s="99"/>
      <c r="S83" s="99"/>
      <c r="T83" s="99"/>
      <c r="U83" s="99"/>
      <c r="V83" s="99"/>
      <c r="W83" s="99"/>
      <c r="X83" s="106"/>
      <c r="Y83" s="105"/>
    </row>
    <row r="84" spans="1:25" ht="13.5" customHeight="1" x14ac:dyDescent="0.25">
      <c r="A84" s="478">
        <v>76</v>
      </c>
      <c r="B84" s="485" t="s">
        <v>101</v>
      </c>
      <c r="C84" s="481" t="s">
        <v>20</v>
      </c>
      <c r="D84" s="98">
        <f>464+177</f>
        <v>641</v>
      </c>
      <c r="E84" s="99">
        <v>20</v>
      </c>
      <c r="F84" s="100">
        <v>71</v>
      </c>
      <c r="G84" s="101">
        <f t="shared" si="5"/>
        <v>74</v>
      </c>
      <c r="H84" s="102">
        <v>60</v>
      </c>
      <c r="I84" s="102">
        <v>7</v>
      </c>
      <c r="J84" s="102">
        <v>7</v>
      </c>
      <c r="K84" s="103">
        <f t="shared" si="7"/>
        <v>806</v>
      </c>
      <c r="L84" s="98"/>
      <c r="M84" s="104"/>
      <c r="N84" s="104"/>
      <c r="O84" s="104"/>
      <c r="P84" s="105"/>
      <c r="Q84" s="89"/>
      <c r="R84" s="99"/>
      <c r="S84" s="99"/>
      <c r="T84" s="99"/>
      <c r="U84" s="99"/>
      <c r="V84" s="99"/>
      <c r="W84" s="99"/>
      <c r="X84" s="106"/>
      <c r="Y84" s="105"/>
    </row>
    <row r="85" spans="1:25" ht="13.5" customHeight="1" x14ac:dyDescent="0.25">
      <c r="A85" s="478">
        <v>77</v>
      </c>
      <c r="B85" s="485" t="s">
        <v>102</v>
      </c>
      <c r="C85" s="481" t="s">
        <v>55</v>
      </c>
      <c r="D85" s="98">
        <v>324</v>
      </c>
      <c r="E85" s="99"/>
      <c r="F85" s="100"/>
      <c r="G85" s="101"/>
      <c r="H85" s="102"/>
      <c r="I85" s="102"/>
      <c r="J85" s="102"/>
      <c r="K85" s="103">
        <f t="shared" si="7"/>
        <v>324</v>
      </c>
      <c r="L85" s="98"/>
      <c r="M85" s="104"/>
      <c r="N85" s="104"/>
      <c r="O85" s="104"/>
      <c r="P85" s="105"/>
      <c r="Q85" s="89"/>
      <c r="R85" s="99"/>
      <c r="S85" s="99"/>
      <c r="T85" s="99"/>
      <c r="U85" s="99"/>
      <c r="V85" s="99"/>
      <c r="W85" s="99"/>
      <c r="X85" s="106"/>
      <c r="Y85" s="105"/>
    </row>
    <row r="86" spans="1:25" ht="13.5" customHeight="1" x14ac:dyDescent="0.25">
      <c r="A86" s="478">
        <v>78</v>
      </c>
      <c r="B86" s="485" t="s">
        <v>103</v>
      </c>
      <c r="C86" s="481" t="s">
        <v>60</v>
      </c>
      <c r="D86" s="98">
        <v>475</v>
      </c>
      <c r="E86" s="99">
        <v>13</v>
      </c>
      <c r="F86" s="100">
        <v>73</v>
      </c>
      <c r="G86" s="101"/>
      <c r="H86" s="102"/>
      <c r="I86" s="102"/>
      <c r="J86" s="102"/>
      <c r="K86" s="103">
        <f t="shared" si="7"/>
        <v>561</v>
      </c>
      <c r="L86" s="98"/>
      <c r="M86" s="104"/>
      <c r="N86" s="104"/>
      <c r="O86" s="104"/>
      <c r="P86" s="105"/>
      <c r="Q86" s="89"/>
      <c r="R86" s="99"/>
      <c r="S86" s="99"/>
      <c r="T86" s="99"/>
      <c r="U86" s="99"/>
      <c r="V86" s="99"/>
      <c r="W86" s="99"/>
      <c r="X86" s="106"/>
      <c r="Y86" s="105"/>
    </row>
    <row r="87" spans="1:25" ht="13.5" customHeight="1" x14ac:dyDescent="0.25">
      <c r="A87" s="478">
        <v>79</v>
      </c>
      <c r="B87" s="485" t="s">
        <v>104</v>
      </c>
      <c r="C87" s="481" t="s">
        <v>21</v>
      </c>
      <c r="D87" s="98">
        <v>826</v>
      </c>
      <c r="E87" s="99">
        <v>22</v>
      </c>
      <c r="F87" s="100">
        <v>127</v>
      </c>
      <c r="G87" s="101"/>
      <c r="H87" s="102"/>
      <c r="I87" s="102"/>
      <c r="J87" s="102"/>
      <c r="K87" s="103">
        <f t="shared" si="7"/>
        <v>975</v>
      </c>
      <c r="L87" s="98"/>
      <c r="M87" s="104"/>
      <c r="N87" s="104"/>
      <c r="O87" s="104"/>
      <c r="P87" s="105"/>
      <c r="Q87" s="89"/>
      <c r="R87" s="99"/>
      <c r="S87" s="99"/>
      <c r="T87" s="99"/>
      <c r="U87" s="99"/>
      <c r="V87" s="99"/>
      <c r="W87" s="99"/>
      <c r="X87" s="106"/>
      <c r="Y87" s="105"/>
    </row>
    <row r="88" spans="1:25" ht="13.5" customHeight="1" x14ac:dyDescent="0.25">
      <c r="A88" s="478">
        <v>80</v>
      </c>
      <c r="B88" s="485" t="s">
        <v>105</v>
      </c>
      <c r="C88" s="481" t="s">
        <v>62</v>
      </c>
      <c r="D88" s="98">
        <v>361</v>
      </c>
      <c r="E88" s="99"/>
      <c r="F88" s="100"/>
      <c r="G88" s="101"/>
      <c r="H88" s="102"/>
      <c r="I88" s="102"/>
      <c r="J88" s="102"/>
      <c r="K88" s="103">
        <f t="shared" si="7"/>
        <v>361</v>
      </c>
      <c r="L88" s="98"/>
      <c r="M88" s="104"/>
      <c r="N88" s="104"/>
      <c r="O88" s="104"/>
      <c r="P88" s="105"/>
      <c r="Q88" s="89"/>
      <c r="R88" s="99"/>
      <c r="S88" s="99"/>
      <c r="T88" s="99"/>
      <c r="U88" s="99"/>
      <c r="V88" s="99"/>
      <c r="W88" s="99"/>
      <c r="X88" s="106"/>
      <c r="Y88" s="105"/>
    </row>
    <row r="89" spans="1:25" ht="13.5" customHeight="1" x14ac:dyDescent="0.25">
      <c r="A89" s="478">
        <v>81</v>
      </c>
      <c r="B89" s="485" t="s">
        <v>272</v>
      </c>
      <c r="C89" s="481" t="s">
        <v>336</v>
      </c>
      <c r="D89" s="98">
        <f>1977-1977+2000</f>
        <v>2000</v>
      </c>
      <c r="E89" s="99">
        <f>385-48</f>
        <v>337</v>
      </c>
      <c r="F89" s="100">
        <v>807</v>
      </c>
      <c r="G89" s="101">
        <f t="shared" si="5"/>
        <v>755</v>
      </c>
      <c r="H89" s="102">
        <v>581</v>
      </c>
      <c r="I89" s="102">
        <v>74</v>
      </c>
      <c r="J89" s="102">
        <v>100</v>
      </c>
      <c r="K89" s="103">
        <f t="shared" si="7"/>
        <v>3899</v>
      </c>
      <c r="L89" s="98">
        <v>257</v>
      </c>
      <c r="M89" s="104">
        <v>1959</v>
      </c>
      <c r="N89" s="104">
        <v>4343</v>
      </c>
      <c r="O89" s="104">
        <v>1958</v>
      </c>
      <c r="P89" s="105">
        <f t="shared" si="6"/>
        <v>8517</v>
      </c>
      <c r="Q89" s="89"/>
      <c r="R89" s="99"/>
      <c r="S89" s="99"/>
      <c r="T89" s="99"/>
      <c r="U89" s="99"/>
      <c r="V89" s="99"/>
      <c r="W89" s="99"/>
      <c r="X89" s="106"/>
      <c r="Y89" s="105"/>
    </row>
    <row r="90" spans="1:25" ht="13.5" customHeight="1" x14ac:dyDescent="0.25">
      <c r="A90" s="478">
        <v>82</v>
      </c>
      <c r="B90" s="485" t="s">
        <v>161</v>
      </c>
      <c r="C90" s="481" t="s">
        <v>274</v>
      </c>
      <c r="D90" s="98">
        <v>3900</v>
      </c>
      <c r="E90" s="99">
        <v>3000</v>
      </c>
      <c r="F90" s="100">
        <v>3000</v>
      </c>
      <c r="G90" s="101">
        <f t="shared" si="5"/>
        <v>1304</v>
      </c>
      <c r="H90" s="102">
        <v>734</v>
      </c>
      <c r="I90" s="102">
        <v>70</v>
      </c>
      <c r="J90" s="102">
        <v>500</v>
      </c>
      <c r="K90" s="103">
        <f t="shared" si="7"/>
        <v>11204</v>
      </c>
      <c r="L90" s="98">
        <v>596</v>
      </c>
      <c r="M90" s="104">
        <v>4573</v>
      </c>
      <c r="N90" s="104">
        <v>10142</v>
      </c>
      <c r="O90" s="104">
        <v>4574</v>
      </c>
      <c r="P90" s="105">
        <f t="shared" si="6"/>
        <v>19885</v>
      </c>
      <c r="Q90" s="89"/>
      <c r="R90" s="99"/>
      <c r="S90" s="99"/>
      <c r="T90" s="99"/>
      <c r="U90" s="99"/>
      <c r="V90" s="99"/>
      <c r="W90" s="99"/>
      <c r="X90" s="106"/>
      <c r="Y90" s="105"/>
    </row>
    <row r="91" spans="1:25" ht="13.5" customHeight="1" x14ac:dyDescent="0.25">
      <c r="A91" s="478">
        <v>83</v>
      </c>
      <c r="B91" s="485" t="s">
        <v>277</v>
      </c>
      <c r="C91" s="481" t="s">
        <v>2</v>
      </c>
      <c r="D91" s="98">
        <f>12951-6475</f>
        <v>6476</v>
      </c>
      <c r="E91" s="99"/>
      <c r="F91" s="100"/>
      <c r="G91" s="101"/>
      <c r="H91" s="102"/>
      <c r="I91" s="102"/>
      <c r="J91" s="102"/>
      <c r="K91" s="103">
        <f t="shared" si="7"/>
        <v>6476</v>
      </c>
      <c r="L91" s="98"/>
      <c r="M91" s="104"/>
      <c r="N91" s="104"/>
      <c r="O91" s="104"/>
      <c r="P91" s="105"/>
      <c r="Q91" s="89"/>
      <c r="R91" s="99"/>
      <c r="S91" s="99"/>
      <c r="T91" s="99"/>
      <c r="U91" s="99"/>
      <c r="V91" s="99"/>
      <c r="W91" s="99"/>
      <c r="X91" s="106"/>
      <c r="Y91" s="105"/>
    </row>
    <row r="92" spans="1:25" ht="13.5" customHeight="1" x14ac:dyDescent="0.25">
      <c r="A92" s="478">
        <v>84</v>
      </c>
      <c r="B92" s="485" t="s">
        <v>282</v>
      </c>
      <c r="C92" s="481" t="s">
        <v>283</v>
      </c>
      <c r="D92" s="98">
        <v>0</v>
      </c>
      <c r="E92" s="99"/>
      <c r="F92" s="100"/>
      <c r="G92" s="101"/>
      <c r="H92" s="102"/>
      <c r="I92" s="102"/>
      <c r="J92" s="102"/>
      <c r="K92" s="103">
        <f t="shared" si="7"/>
        <v>0</v>
      </c>
      <c r="L92" s="98"/>
      <c r="M92" s="104"/>
      <c r="N92" s="104"/>
      <c r="O92" s="104"/>
      <c r="P92" s="105"/>
      <c r="Q92" s="89">
        <v>171</v>
      </c>
      <c r="R92" s="99">
        <v>450</v>
      </c>
      <c r="S92" s="99">
        <v>290</v>
      </c>
      <c r="T92" s="99">
        <v>290</v>
      </c>
      <c r="U92" s="99">
        <v>393</v>
      </c>
      <c r="V92" s="99">
        <v>986</v>
      </c>
      <c r="W92" s="99">
        <v>1059</v>
      </c>
      <c r="X92" s="106">
        <v>6</v>
      </c>
      <c r="Y92" s="105">
        <f>SUM(Q92:X92)</f>
        <v>3645</v>
      </c>
    </row>
    <row r="93" spans="1:25" ht="13.5" customHeight="1" x14ac:dyDescent="0.25">
      <c r="A93" s="478">
        <v>85</v>
      </c>
      <c r="B93" s="485" t="s">
        <v>285</v>
      </c>
      <c r="C93" s="481" t="s">
        <v>286</v>
      </c>
      <c r="D93" s="98">
        <v>1560</v>
      </c>
      <c r="E93" s="99"/>
      <c r="F93" s="100"/>
      <c r="G93" s="101"/>
      <c r="H93" s="102"/>
      <c r="I93" s="102"/>
      <c r="J93" s="102"/>
      <c r="K93" s="103">
        <f t="shared" si="7"/>
        <v>1560</v>
      </c>
      <c r="L93" s="98"/>
      <c r="M93" s="104"/>
      <c r="N93" s="104"/>
      <c r="O93" s="104"/>
      <c r="P93" s="105"/>
      <c r="Q93" s="89"/>
      <c r="R93" s="99"/>
      <c r="S93" s="99"/>
      <c r="T93" s="99"/>
      <c r="U93" s="99"/>
      <c r="V93" s="99"/>
      <c r="W93" s="99"/>
      <c r="X93" s="106"/>
      <c r="Y93" s="105"/>
    </row>
    <row r="94" spans="1:25" ht="13.5" customHeight="1" x14ac:dyDescent="0.25">
      <c r="A94" s="478">
        <v>86</v>
      </c>
      <c r="B94" s="485" t="s">
        <v>159</v>
      </c>
      <c r="C94" s="481" t="s">
        <v>160</v>
      </c>
      <c r="D94" s="98">
        <v>1312</v>
      </c>
      <c r="E94" s="99">
        <f>35+27</f>
        <v>62</v>
      </c>
      <c r="F94" s="100">
        <v>356</v>
      </c>
      <c r="G94" s="101"/>
      <c r="H94" s="102"/>
      <c r="I94" s="102"/>
      <c r="J94" s="102"/>
      <c r="K94" s="103">
        <f t="shared" si="7"/>
        <v>1730</v>
      </c>
      <c r="L94" s="98"/>
      <c r="M94" s="104"/>
      <c r="N94" s="104"/>
      <c r="O94" s="104"/>
      <c r="P94" s="105"/>
      <c r="Q94" s="89"/>
      <c r="R94" s="99"/>
      <c r="S94" s="99"/>
      <c r="T94" s="99"/>
      <c r="U94" s="99"/>
      <c r="V94" s="99"/>
      <c r="W94" s="99"/>
      <c r="X94" s="106"/>
      <c r="Y94" s="105"/>
    </row>
    <row r="95" spans="1:25" ht="13.5" customHeight="1" thickBot="1" x14ac:dyDescent="0.3">
      <c r="A95" s="480">
        <v>87</v>
      </c>
      <c r="B95" s="487" t="s">
        <v>113</v>
      </c>
      <c r="C95" s="483" t="s">
        <v>114</v>
      </c>
      <c r="D95" s="365">
        <f>1837+198</f>
        <v>2035</v>
      </c>
      <c r="E95" s="366">
        <v>94</v>
      </c>
      <c r="F95" s="367">
        <v>282</v>
      </c>
      <c r="G95" s="111">
        <f t="shared" si="5"/>
        <v>840</v>
      </c>
      <c r="H95" s="366">
        <v>590</v>
      </c>
      <c r="I95" s="366">
        <v>70</v>
      </c>
      <c r="J95" s="366">
        <v>180</v>
      </c>
      <c r="K95" s="112">
        <f t="shared" si="7"/>
        <v>3251</v>
      </c>
      <c r="L95" s="365">
        <v>119</v>
      </c>
      <c r="M95" s="368">
        <v>924</v>
      </c>
      <c r="N95" s="368">
        <v>2048</v>
      </c>
      <c r="O95" s="368">
        <v>925</v>
      </c>
      <c r="P95" s="369">
        <f t="shared" si="6"/>
        <v>4016</v>
      </c>
      <c r="Q95" s="370"/>
      <c r="R95" s="366"/>
      <c r="S95" s="366"/>
      <c r="T95" s="366"/>
      <c r="U95" s="366"/>
      <c r="V95" s="366"/>
      <c r="W95" s="366"/>
      <c r="X95" s="371"/>
      <c r="Y95" s="369"/>
    </row>
    <row r="96" spans="1:25" s="114" customFormat="1" x14ac:dyDescent="0.25">
      <c r="C96" s="113"/>
      <c r="K96" s="115"/>
      <c r="P96" s="115"/>
    </row>
    <row r="97" spans="3:25" s="83" customFormat="1" x14ac:dyDescent="0.25">
      <c r="C97" s="82"/>
      <c r="D97" s="116"/>
      <c r="E97" s="116"/>
      <c r="F97" s="117"/>
      <c r="G97" s="117"/>
      <c r="K97" s="118"/>
      <c r="P97" s="118"/>
    </row>
    <row r="98" spans="3:25" s="83" customFormat="1" x14ac:dyDescent="0.25">
      <c r="C98" s="82"/>
      <c r="D98" s="116"/>
      <c r="E98" s="116"/>
      <c r="F98" s="117"/>
      <c r="G98" s="119"/>
      <c r="K98" s="118"/>
      <c r="P98" s="118"/>
    </row>
    <row r="99" spans="3:25" s="121" customFormat="1" ht="15.75" customHeight="1" x14ac:dyDescent="0.25">
      <c r="C99" s="120"/>
      <c r="F99" s="122"/>
      <c r="G99" s="122"/>
    </row>
    <row r="100" spans="3:25" s="83" customFormat="1" x14ac:dyDescent="0.25">
      <c r="C100" s="82"/>
      <c r="F100" s="117"/>
      <c r="G100" s="119"/>
      <c r="K100" s="121"/>
      <c r="P100" s="118"/>
    </row>
    <row r="101" spans="3:25" s="83" customFormat="1" hidden="1" x14ac:dyDescent="0.25">
      <c r="C101" s="82"/>
      <c r="F101" s="117"/>
      <c r="G101" s="119"/>
      <c r="K101" s="118"/>
      <c r="O101" s="1062"/>
      <c r="P101" s="1062"/>
      <c r="Q101" s="123"/>
      <c r="R101" s="123"/>
      <c r="S101" s="123"/>
      <c r="T101" s="123"/>
      <c r="U101" s="123"/>
      <c r="V101" s="123"/>
      <c r="W101" s="123"/>
      <c r="X101" s="123"/>
      <c r="Y101" s="102"/>
    </row>
    <row r="102" spans="3:25" s="83" customFormat="1" hidden="1" x14ac:dyDescent="0.25">
      <c r="C102" s="82"/>
      <c r="F102" s="117"/>
      <c r="G102" s="119"/>
      <c r="K102" s="118"/>
      <c r="O102" s="1062"/>
      <c r="P102" s="1062"/>
      <c r="Q102" s="124"/>
      <c r="R102" s="124"/>
      <c r="S102" s="124"/>
      <c r="T102" s="124"/>
      <c r="U102" s="124"/>
      <c r="V102" s="124"/>
      <c r="W102" s="124"/>
      <c r="X102" s="124"/>
      <c r="Y102" s="124"/>
    </row>
    <row r="103" spans="3:25" s="83" customFormat="1" ht="13.5" hidden="1" x14ac:dyDescent="0.25">
      <c r="C103" s="82"/>
      <c r="F103" s="117"/>
      <c r="G103" s="119"/>
      <c r="K103" s="118"/>
      <c r="O103" s="1072"/>
      <c r="P103" s="1073"/>
      <c r="Q103" s="125"/>
      <c r="R103" s="125"/>
      <c r="S103" s="125"/>
      <c r="T103" s="125"/>
      <c r="U103" s="125"/>
      <c r="V103" s="125"/>
      <c r="W103" s="125"/>
      <c r="X103" s="125"/>
      <c r="Y103" s="125"/>
    </row>
    <row r="104" spans="3:25" s="83" customFormat="1" hidden="1" x14ac:dyDescent="0.25">
      <c r="C104" s="82"/>
      <c r="F104" s="117"/>
      <c r="G104" s="119"/>
      <c r="K104" s="118"/>
      <c r="O104" s="1062"/>
      <c r="P104" s="1062"/>
      <c r="Q104" s="124"/>
      <c r="R104" s="124"/>
      <c r="S104" s="124"/>
      <c r="T104" s="124"/>
      <c r="U104" s="124"/>
      <c r="V104" s="124"/>
      <c r="W104" s="124"/>
      <c r="X104" s="124"/>
      <c r="Y104" s="124"/>
    </row>
    <row r="105" spans="3:25" s="83" customFormat="1" hidden="1" x14ac:dyDescent="0.25">
      <c r="C105" s="82"/>
      <c r="F105" s="117"/>
      <c r="G105" s="119"/>
      <c r="K105" s="118"/>
      <c r="O105" s="126"/>
      <c r="P105" s="127"/>
    </row>
    <row r="106" spans="3:25" s="83" customFormat="1" hidden="1" x14ac:dyDescent="0.25">
      <c r="C106" s="82"/>
      <c r="F106" s="117"/>
      <c r="G106" s="119"/>
      <c r="K106" s="118"/>
      <c r="O106" s="126"/>
      <c r="P106" s="127"/>
    </row>
    <row r="107" spans="3:25" s="83" customFormat="1" hidden="1" x14ac:dyDescent="0.25">
      <c r="C107" s="82"/>
      <c r="F107" s="117"/>
      <c r="G107" s="119"/>
      <c r="K107" s="118"/>
      <c r="O107" s="1062"/>
      <c r="P107" s="1062"/>
      <c r="Q107" s="102"/>
      <c r="R107" s="102"/>
      <c r="S107" s="102"/>
      <c r="T107" s="102"/>
      <c r="U107" s="102"/>
      <c r="V107" s="102"/>
      <c r="W107" s="102"/>
      <c r="X107" s="123"/>
      <c r="Y107" s="102"/>
    </row>
    <row r="108" spans="3:25" s="83" customFormat="1" hidden="1" x14ac:dyDescent="0.25">
      <c r="C108" s="82"/>
      <c r="F108" s="117"/>
      <c r="G108" s="119"/>
      <c r="K108" s="118"/>
      <c r="O108" s="1062"/>
      <c r="P108" s="1062"/>
      <c r="Q108" s="124"/>
      <c r="R108" s="124"/>
      <c r="S108" s="124"/>
      <c r="T108" s="124"/>
      <c r="U108" s="124"/>
      <c r="V108" s="124"/>
      <c r="W108" s="124"/>
      <c r="X108" s="124"/>
      <c r="Y108" s="124"/>
    </row>
    <row r="109" spans="3:25" s="83" customFormat="1" ht="13.5" hidden="1" x14ac:dyDescent="0.25">
      <c r="C109" s="82"/>
      <c r="F109" s="117"/>
      <c r="G109" s="119"/>
      <c r="K109" s="118"/>
      <c r="O109" s="1072"/>
      <c r="P109" s="1073"/>
      <c r="Q109" s="125"/>
      <c r="R109" s="125"/>
      <c r="S109" s="125"/>
      <c r="T109" s="125"/>
      <c r="U109" s="125"/>
      <c r="V109" s="125"/>
      <c r="W109" s="125"/>
      <c r="X109" s="125"/>
      <c r="Y109" s="125"/>
    </row>
    <row r="110" spans="3:25" s="83" customFormat="1" hidden="1" x14ac:dyDescent="0.25">
      <c r="C110" s="82"/>
      <c r="F110" s="117"/>
      <c r="G110" s="119"/>
      <c r="K110" s="118"/>
      <c r="O110" s="1062"/>
      <c r="P110" s="1062"/>
      <c r="Q110" s="124"/>
      <c r="R110" s="124"/>
      <c r="S110" s="124"/>
      <c r="T110" s="124"/>
      <c r="U110" s="124"/>
      <c r="V110" s="124"/>
      <c r="W110" s="124"/>
      <c r="X110" s="124"/>
      <c r="Y110" s="124"/>
    </row>
    <row r="111" spans="3:25" s="83" customFormat="1" hidden="1" x14ac:dyDescent="0.25">
      <c r="C111" s="82"/>
      <c r="F111" s="117"/>
      <c r="G111" s="119"/>
      <c r="K111" s="118"/>
      <c r="O111" s="1062"/>
      <c r="P111" s="1062"/>
      <c r="Q111" s="124"/>
      <c r="R111" s="124"/>
      <c r="S111" s="124"/>
      <c r="T111" s="124"/>
      <c r="U111" s="124"/>
      <c r="V111" s="124"/>
      <c r="W111" s="124"/>
      <c r="X111" s="124"/>
      <c r="Y111" s="124"/>
    </row>
    <row r="112" spans="3:25" s="83" customFormat="1" hidden="1" x14ac:dyDescent="0.25">
      <c r="C112" s="82"/>
      <c r="F112" s="117"/>
      <c r="G112" s="119"/>
      <c r="K112" s="118"/>
      <c r="O112" s="1068"/>
      <c r="P112" s="1069"/>
      <c r="Q112" s="128"/>
      <c r="R112" s="128"/>
      <c r="S112" s="128"/>
      <c r="T112" s="128"/>
      <c r="U112" s="128"/>
      <c r="V112" s="128"/>
      <c r="W112" s="128"/>
      <c r="X112" s="128"/>
      <c r="Y112" s="128"/>
    </row>
    <row r="113" spans="3:25" s="83" customFormat="1" hidden="1" x14ac:dyDescent="0.25">
      <c r="C113" s="82"/>
      <c r="F113" s="117"/>
      <c r="G113" s="119"/>
      <c r="K113" s="118"/>
      <c r="O113" s="1062"/>
      <c r="P113" s="1062"/>
      <c r="Q113" s="124"/>
      <c r="R113" s="124"/>
      <c r="S113" s="124"/>
      <c r="T113" s="124"/>
      <c r="U113" s="124"/>
      <c r="V113" s="124"/>
      <c r="W113" s="124"/>
      <c r="X113" s="124"/>
      <c r="Y113" s="124"/>
    </row>
    <row r="114" spans="3:25" s="83" customFormat="1" x14ac:dyDescent="0.25">
      <c r="C114" s="82"/>
      <c r="F114" s="117"/>
      <c r="G114" s="119"/>
      <c r="K114" s="118"/>
      <c r="P114" s="118"/>
    </row>
    <row r="115" spans="3:25" s="83" customFormat="1" x14ac:dyDescent="0.25">
      <c r="C115" s="82"/>
      <c r="F115" s="117"/>
      <c r="G115" s="119"/>
      <c r="K115" s="118"/>
      <c r="P115" s="118"/>
    </row>
    <row r="116" spans="3:25" s="83" customFormat="1" x14ac:dyDescent="0.25">
      <c r="C116" s="82"/>
      <c r="F116" s="117"/>
      <c r="G116" s="119"/>
      <c r="K116" s="118"/>
      <c r="P116" s="118"/>
    </row>
    <row r="117" spans="3:25" s="83" customFormat="1" x14ac:dyDescent="0.25">
      <c r="C117" s="82"/>
      <c r="F117" s="117"/>
      <c r="G117" s="119"/>
      <c r="K117" s="118"/>
      <c r="P117" s="118"/>
    </row>
    <row r="118" spans="3:25" s="83" customFormat="1" x14ac:dyDescent="0.25">
      <c r="C118" s="82"/>
      <c r="F118" s="117"/>
      <c r="G118" s="119"/>
      <c r="K118" s="118"/>
      <c r="P118" s="118"/>
    </row>
    <row r="119" spans="3:25" s="83" customFormat="1" x14ac:dyDescent="0.25">
      <c r="C119" s="82"/>
      <c r="F119" s="117"/>
      <c r="G119" s="119"/>
      <c r="K119" s="118"/>
      <c r="P119" s="118"/>
    </row>
    <row r="120" spans="3:25" s="83" customFormat="1" x14ac:dyDescent="0.25">
      <c r="C120" s="82"/>
      <c r="F120" s="117"/>
      <c r="G120" s="119"/>
      <c r="K120" s="118"/>
      <c r="P120" s="118"/>
    </row>
    <row r="121" spans="3:25" s="83" customFormat="1" x14ac:dyDescent="0.25">
      <c r="C121" s="82"/>
      <c r="F121" s="117"/>
      <c r="G121" s="119"/>
      <c r="K121" s="118"/>
      <c r="P121" s="118"/>
    </row>
    <row r="122" spans="3:25" s="83" customFormat="1" x14ac:dyDescent="0.25">
      <c r="C122" s="82"/>
      <c r="F122" s="117"/>
      <c r="G122" s="119"/>
      <c r="K122" s="118"/>
      <c r="P122" s="118"/>
    </row>
    <row r="123" spans="3:25" s="83" customFormat="1" x14ac:dyDescent="0.25">
      <c r="C123" s="82"/>
      <c r="F123" s="117"/>
      <c r="G123" s="119"/>
      <c r="K123" s="118"/>
      <c r="P123" s="118"/>
    </row>
    <row r="124" spans="3:25" s="83" customFormat="1" x14ac:dyDescent="0.25">
      <c r="C124" s="82"/>
      <c r="F124" s="117"/>
      <c r="G124" s="119"/>
      <c r="K124" s="118"/>
      <c r="P124" s="118"/>
    </row>
    <row r="125" spans="3:25" s="83" customFormat="1" x14ac:dyDescent="0.25">
      <c r="C125" s="82"/>
      <c r="F125" s="117"/>
      <c r="G125" s="119"/>
      <c r="K125" s="118"/>
      <c r="P125" s="118"/>
    </row>
    <row r="126" spans="3:25" s="83" customFormat="1" x14ac:dyDescent="0.25">
      <c r="C126" s="82"/>
      <c r="F126" s="117"/>
      <c r="G126" s="119"/>
      <c r="K126" s="118"/>
      <c r="P126" s="118"/>
    </row>
    <row r="127" spans="3:25" s="83" customFormat="1" x14ac:dyDescent="0.25">
      <c r="C127" s="82"/>
      <c r="F127" s="117"/>
      <c r="G127" s="119"/>
      <c r="K127" s="118"/>
      <c r="P127" s="118"/>
    </row>
    <row r="128" spans="3:25" s="83" customFormat="1" x14ac:dyDescent="0.25">
      <c r="C128" s="82"/>
      <c r="F128" s="117"/>
      <c r="G128" s="119"/>
      <c r="K128" s="118"/>
      <c r="P128" s="118"/>
    </row>
    <row r="129" spans="3:16" s="83" customFormat="1" x14ac:dyDescent="0.25">
      <c r="C129" s="82"/>
      <c r="F129" s="117"/>
      <c r="G129" s="119"/>
      <c r="K129" s="118"/>
      <c r="P129" s="118"/>
    </row>
    <row r="130" spans="3:16" s="83" customFormat="1" x14ac:dyDescent="0.25">
      <c r="C130" s="82"/>
      <c r="F130" s="117"/>
      <c r="G130" s="119"/>
      <c r="K130" s="118"/>
      <c r="P130" s="118"/>
    </row>
    <row r="131" spans="3:16" s="83" customFormat="1" x14ac:dyDescent="0.25">
      <c r="C131" s="82"/>
      <c r="F131" s="117"/>
      <c r="G131" s="119"/>
      <c r="K131" s="118"/>
      <c r="P131" s="118"/>
    </row>
    <row r="132" spans="3:16" s="83" customFormat="1" x14ac:dyDescent="0.25">
      <c r="C132" s="82"/>
      <c r="F132" s="117"/>
      <c r="G132" s="119"/>
      <c r="K132" s="118"/>
      <c r="P132" s="118"/>
    </row>
    <row r="133" spans="3:16" s="83" customFormat="1" x14ac:dyDescent="0.25">
      <c r="C133" s="82"/>
      <c r="F133" s="117"/>
      <c r="G133" s="119"/>
      <c r="K133" s="118"/>
      <c r="P133" s="118"/>
    </row>
    <row r="134" spans="3:16" s="83" customFormat="1" x14ac:dyDescent="0.25">
      <c r="C134" s="82"/>
      <c r="F134" s="117"/>
      <c r="G134" s="119"/>
      <c r="K134" s="118"/>
      <c r="P134" s="118"/>
    </row>
    <row r="135" spans="3:16" s="83" customFormat="1" x14ac:dyDescent="0.25">
      <c r="C135" s="82"/>
      <c r="F135" s="117"/>
      <c r="G135" s="119"/>
      <c r="K135" s="118"/>
      <c r="P135" s="118"/>
    </row>
    <row r="136" spans="3:16" s="83" customFormat="1" x14ac:dyDescent="0.25">
      <c r="C136" s="82"/>
      <c r="F136" s="117"/>
      <c r="G136" s="119"/>
      <c r="K136" s="118"/>
      <c r="P136" s="118"/>
    </row>
    <row r="137" spans="3:16" s="83" customFormat="1" x14ac:dyDescent="0.25">
      <c r="C137" s="82"/>
      <c r="F137" s="117"/>
      <c r="G137" s="119"/>
      <c r="K137" s="118"/>
      <c r="P137" s="118"/>
    </row>
    <row r="138" spans="3:16" s="83" customFormat="1" x14ac:dyDescent="0.25">
      <c r="C138" s="82"/>
      <c r="F138" s="117"/>
      <c r="G138" s="119"/>
      <c r="K138" s="118"/>
      <c r="P138" s="118"/>
    </row>
    <row r="139" spans="3:16" s="83" customFormat="1" x14ac:dyDescent="0.25">
      <c r="C139" s="82"/>
      <c r="F139" s="117"/>
      <c r="G139" s="119"/>
      <c r="K139" s="118"/>
      <c r="P139" s="118"/>
    </row>
    <row r="140" spans="3:16" s="83" customFormat="1" x14ac:dyDescent="0.25">
      <c r="C140" s="82"/>
      <c r="F140" s="117"/>
      <c r="G140" s="119"/>
      <c r="K140" s="118"/>
      <c r="P140" s="118"/>
    </row>
    <row r="141" spans="3:16" s="83" customFormat="1" x14ac:dyDescent="0.25">
      <c r="C141" s="82"/>
      <c r="F141" s="117"/>
      <c r="G141" s="119"/>
      <c r="K141" s="118"/>
      <c r="P141" s="118"/>
    </row>
    <row r="142" spans="3:16" s="83" customFormat="1" x14ac:dyDescent="0.25">
      <c r="C142" s="82"/>
      <c r="F142" s="117"/>
      <c r="G142" s="119"/>
      <c r="K142" s="118"/>
      <c r="P142" s="118"/>
    </row>
    <row r="143" spans="3:16" s="83" customFormat="1" x14ac:dyDescent="0.25">
      <c r="C143" s="82"/>
      <c r="F143" s="117"/>
      <c r="G143" s="119"/>
      <c r="K143" s="118"/>
      <c r="P143" s="118"/>
    </row>
    <row r="144" spans="3:16" s="83" customFormat="1" x14ac:dyDescent="0.25">
      <c r="C144" s="82"/>
      <c r="F144" s="117"/>
      <c r="G144" s="119"/>
      <c r="K144" s="118"/>
      <c r="P144" s="118"/>
    </row>
    <row r="145" spans="3:16" s="83" customFormat="1" x14ac:dyDescent="0.25">
      <c r="C145" s="82"/>
      <c r="F145" s="117"/>
      <c r="G145" s="119"/>
      <c r="K145" s="118"/>
      <c r="P145" s="118"/>
    </row>
    <row r="146" spans="3:16" s="83" customFormat="1" x14ac:dyDescent="0.25">
      <c r="C146" s="82"/>
      <c r="F146" s="117"/>
      <c r="G146" s="119"/>
      <c r="K146" s="118"/>
      <c r="P146" s="118"/>
    </row>
    <row r="147" spans="3:16" s="83" customFormat="1" x14ac:dyDescent="0.25">
      <c r="C147" s="82"/>
      <c r="F147" s="117"/>
      <c r="G147" s="119"/>
      <c r="K147" s="118"/>
      <c r="P147" s="118"/>
    </row>
    <row r="148" spans="3:16" s="83" customFormat="1" x14ac:dyDescent="0.25">
      <c r="C148" s="82"/>
      <c r="F148" s="117"/>
      <c r="G148" s="119"/>
      <c r="K148" s="118"/>
      <c r="P148" s="118"/>
    </row>
    <row r="149" spans="3:16" s="83" customFormat="1" x14ac:dyDescent="0.25">
      <c r="C149" s="82"/>
      <c r="F149" s="117"/>
      <c r="G149" s="119"/>
      <c r="K149" s="118"/>
      <c r="P149" s="118"/>
    </row>
    <row r="150" spans="3:16" s="83" customFormat="1" x14ac:dyDescent="0.25">
      <c r="C150" s="82"/>
      <c r="F150" s="117"/>
      <c r="G150" s="119"/>
      <c r="K150" s="118"/>
      <c r="P150" s="118"/>
    </row>
    <row r="151" spans="3:16" s="83" customFormat="1" x14ac:dyDescent="0.25">
      <c r="C151" s="82"/>
      <c r="F151" s="117"/>
      <c r="G151" s="119"/>
      <c r="K151" s="118"/>
      <c r="P151" s="118"/>
    </row>
    <row r="152" spans="3:16" s="83" customFormat="1" x14ac:dyDescent="0.25">
      <c r="C152" s="82"/>
      <c r="F152" s="117"/>
      <c r="G152" s="119"/>
      <c r="K152" s="118"/>
      <c r="P152" s="118"/>
    </row>
    <row r="153" spans="3:16" s="83" customFormat="1" x14ac:dyDescent="0.25">
      <c r="C153" s="82"/>
      <c r="F153" s="117"/>
      <c r="G153" s="119"/>
      <c r="K153" s="118"/>
      <c r="P153" s="118"/>
    </row>
    <row r="154" spans="3:16" s="83" customFormat="1" x14ac:dyDescent="0.25">
      <c r="C154" s="82"/>
      <c r="F154" s="117"/>
      <c r="G154" s="119"/>
      <c r="K154" s="118"/>
      <c r="P154" s="118"/>
    </row>
    <row r="155" spans="3:16" s="83" customFormat="1" x14ac:dyDescent="0.25">
      <c r="C155" s="82"/>
      <c r="F155" s="117"/>
      <c r="G155" s="119"/>
      <c r="K155" s="118"/>
      <c r="P155" s="118"/>
    </row>
    <row r="156" spans="3:16" s="83" customFormat="1" x14ac:dyDescent="0.25">
      <c r="C156" s="82"/>
      <c r="F156" s="117"/>
      <c r="G156" s="119"/>
      <c r="K156" s="118"/>
      <c r="P156" s="118"/>
    </row>
    <row r="157" spans="3:16" s="83" customFormat="1" x14ac:dyDescent="0.25">
      <c r="C157" s="82"/>
      <c r="F157" s="117"/>
      <c r="G157" s="119"/>
      <c r="K157" s="118"/>
      <c r="P157" s="118"/>
    </row>
    <row r="158" spans="3:16" s="83" customFormat="1" x14ac:dyDescent="0.25">
      <c r="C158" s="82"/>
      <c r="F158" s="117"/>
      <c r="G158" s="119"/>
      <c r="K158" s="118"/>
      <c r="P158" s="118"/>
    </row>
    <row r="159" spans="3:16" s="83" customFormat="1" x14ac:dyDescent="0.25">
      <c r="C159" s="82"/>
      <c r="F159" s="117"/>
      <c r="G159" s="119"/>
      <c r="K159" s="118"/>
      <c r="P159" s="118"/>
    </row>
    <row r="160" spans="3:16" s="83" customFormat="1" x14ac:dyDescent="0.25">
      <c r="C160" s="82"/>
      <c r="F160" s="117"/>
      <c r="G160" s="119"/>
      <c r="K160" s="118"/>
      <c r="P160" s="118"/>
    </row>
    <row r="161" spans="3:16" s="83" customFormat="1" x14ac:dyDescent="0.25">
      <c r="C161" s="82"/>
      <c r="F161" s="117"/>
      <c r="G161" s="119"/>
      <c r="K161" s="118"/>
      <c r="P161" s="118"/>
    </row>
    <row r="162" spans="3:16" s="83" customFormat="1" x14ac:dyDescent="0.25">
      <c r="C162" s="82"/>
      <c r="F162" s="117"/>
      <c r="G162" s="119"/>
      <c r="K162" s="118"/>
      <c r="P162" s="118"/>
    </row>
    <row r="163" spans="3:16" s="83" customFormat="1" x14ac:dyDescent="0.25">
      <c r="C163" s="82"/>
      <c r="F163" s="117"/>
      <c r="G163" s="119"/>
      <c r="K163" s="118"/>
      <c r="P163" s="118"/>
    </row>
    <row r="164" spans="3:16" s="83" customFormat="1" x14ac:dyDescent="0.25">
      <c r="C164" s="82"/>
      <c r="F164" s="117"/>
      <c r="G164" s="119"/>
      <c r="K164" s="118"/>
      <c r="P164" s="118"/>
    </row>
    <row r="165" spans="3:16" s="83" customFormat="1" x14ac:dyDescent="0.25">
      <c r="C165" s="82"/>
      <c r="F165" s="117"/>
      <c r="G165" s="119"/>
      <c r="K165" s="118"/>
      <c r="P165" s="118"/>
    </row>
    <row r="166" spans="3:16" s="83" customFormat="1" x14ac:dyDescent="0.25">
      <c r="C166" s="82"/>
      <c r="F166" s="117"/>
      <c r="G166" s="119"/>
      <c r="K166" s="118"/>
      <c r="P166" s="118"/>
    </row>
    <row r="167" spans="3:16" s="83" customFormat="1" x14ac:dyDescent="0.25">
      <c r="C167" s="82"/>
      <c r="F167" s="117"/>
      <c r="G167" s="119"/>
      <c r="K167" s="118"/>
      <c r="P167" s="118"/>
    </row>
    <row r="168" spans="3:16" s="83" customFormat="1" x14ac:dyDescent="0.25">
      <c r="C168" s="82"/>
      <c r="F168" s="117"/>
      <c r="G168" s="119"/>
      <c r="K168" s="118"/>
      <c r="P168" s="118"/>
    </row>
    <row r="169" spans="3:16" s="83" customFormat="1" x14ac:dyDescent="0.25">
      <c r="C169" s="82"/>
      <c r="F169" s="117"/>
      <c r="G169" s="119"/>
      <c r="K169" s="118"/>
      <c r="P169" s="118"/>
    </row>
    <row r="170" spans="3:16" s="83" customFormat="1" x14ac:dyDescent="0.25">
      <c r="C170" s="82"/>
      <c r="F170" s="117"/>
      <c r="G170" s="119"/>
      <c r="K170" s="118"/>
      <c r="P170" s="118"/>
    </row>
    <row r="171" spans="3:16" s="83" customFormat="1" x14ac:dyDescent="0.25">
      <c r="C171" s="82"/>
      <c r="F171" s="117"/>
      <c r="G171" s="119"/>
      <c r="K171" s="118"/>
      <c r="P171" s="118"/>
    </row>
    <row r="172" spans="3:16" s="83" customFormat="1" x14ac:dyDescent="0.25">
      <c r="C172" s="82"/>
      <c r="F172" s="117"/>
      <c r="G172" s="119"/>
      <c r="K172" s="118"/>
      <c r="P172" s="118"/>
    </row>
    <row r="173" spans="3:16" s="83" customFormat="1" x14ac:dyDescent="0.25">
      <c r="C173" s="82"/>
      <c r="F173" s="117"/>
      <c r="G173" s="119"/>
      <c r="K173" s="118"/>
      <c r="P173" s="118"/>
    </row>
    <row r="174" spans="3:16" s="83" customFormat="1" x14ac:dyDescent="0.25">
      <c r="C174" s="82"/>
      <c r="F174" s="117"/>
      <c r="G174" s="119"/>
      <c r="K174" s="118"/>
      <c r="P174" s="118"/>
    </row>
    <row r="175" spans="3:16" s="83" customFormat="1" x14ac:dyDescent="0.25">
      <c r="C175" s="82"/>
      <c r="F175" s="117"/>
      <c r="G175" s="119"/>
      <c r="K175" s="118"/>
      <c r="P175" s="118"/>
    </row>
    <row r="176" spans="3:16" s="83" customFormat="1" x14ac:dyDescent="0.25">
      <c r="C176" s="82"/>
      <c r="F176" s="117"/>
      <c r="G176" s="119"/>
      <c r="K176" s="118"/>
      <c r="P176" s="118"/>
    </row>
    <row r="177" spans="3:16" s="83" customFormat="1" x14ac:dyDescent="0.25">
      <c r="C177" s="82"/>
      <c r="F177" s="117"/>
      <c r="G177" s="119"/>
      <c r="K177" s="118"/>
      <c r="P177" s="118"/>
    </row>
    <row r="178" spans="3:16" s="83" customFormat="1" x14ac:dyDescent="0.25">
      <c r="C178" s="82"/>
      <c r="F178" s="117"/>
      <c r="G178" s="119"/>
      <c r="K178" s="118"/>
      <c r="P178" s="118"/>
    </row>
    <row r="179" spans="3:16" s="83" customFormat="1" x14ac:dyDescent="0.25">
      <c r="C179" s="82"/>
      <c r="F179" s="117"/>
      <c r="G179" s="119"/>
      <c r="K179" s="118"/>
      <c r="P179" s="118"/>
    </row>
    <row r="180" spans="3:16" s="83" customFormat="1" x14ac:dyDescent="0.25">
      <c r="C180" s="82"/>
      <c r="F180" s="117"/>
      <c r="G180" s="119"/>
      <c r="K180" s="118"/>
      <c r="P180" s="118"/>
    </row>
    <row r="181" spans="3:16" s="83" customFormat="1" x14ac:dyDescent="0.25">
      <c r="C181" s="82"/>
      <c r="F181" s="117"/>
      <c r="G181" s="119"/>
      <c r="K181" s="118"/>
      <c r="P181" s="118"/>
    </row>
    <row r="182" spans="3:16" s="83" customFormat="1" x14ac:dyDescent="0.25">
      <c r="C182" s="82"/>
      <c r="F182" s="117"/>
      <c r="G182" s="119"/>
      <c r="K182" s="118"/>
      <c r="P182" s="118"/>
    </row>
    <row r="183" spans="3:16" s="83" customFormat="1" x14ac:dyDescent="0.25">
      <c r="C183" s="82"/>
      <c r="F183" s="117"/>
      <c r="G183" s="119"/>
      <c r="K183" s="118"/>
      <c r="P183" s="118"/>
    </row>
    <row r="184" spans="3:16" s="83" customFormat="1" x14ac:dyDescent="0.25">
      <c r="C184" s="82"/>
      <c r="F184" s="117"/>
      <c r="G184" s="119"/>
      <c r="K184" s="118"/>
      <c r="P184" s="118"/>
    </row>
    <row r="185" spans="3:16" s="83" customFormat="1" x14ac:dyDescent="0.25">
      <c r="C185" s="82"/>
      <c r="F185" s="117"/>
      <c r="G185" s="119"/>
      <c r="K185" s="118"/>
      <c r="P185" s="118"/>
    </row>
    <row r="186" spans="3:16" s="83" customFormat="1" x14ac:dyDescent="0.25">
      <c r="C186" s="82"/>
      <c r="F186" s="117"/>
      <c r="G186" s="119"/>
      <c r="K186" s="118"/>
      <c r="P186" s="118"/>
    </row>
    <row r="187" spans="3:16" s="83" customFormat="1" x14ac:dyDescent="0.25">
      <c r="C187" s="82"/>
      <c r="F187" s="117"/>
      <c r="G187" s="119"/>
      <c r="K187" s="118"/>
      <c r="P187" s="118"/>
    </row>
    <row r="188" spans="3:16" s="83" customFormat="1" x14ac:dyDescent="0.25">
      <c r="C188" s="82"/>
      <c r="F188" s="117"/>
      <c r="G188" s="119"/>
      <c r="K188" s="118"/>
      <c r="P188" s="118"/>
    </row>
    <row r="189" spans="3:16" s="83" customFormat="1" x14ac:dyDescent="0.25">
      <c r="C189" s="82"/>
      <c r="F189" s="117"/>
      <c r="G189" s="119"/>
      <c r="K189" s="118"/>
      <c r="P189" s="118"/>
    </row>
    <row r="190" spans="3:16" s="83" customFormat="1" x14ac:dyDescent="0.25">
      <c r="C190" s="82"/>
      <c r="F190" s="117"/>
      <c r="G190" s="119"/>
      <c r="K190" s="118"/>
      <c r="P190" s="118"/>
    </row>
    <row r="191" spans="3:16" s="83" customFormat="1" x14ac:dyDescent="0.25">
      <c r="C191" s="82"/>
      <c r="F191" s="117"/>
      <c r="G191" s="119"/>
      <c r="K191" s="118"/>
      <c r="P191" s="118"/>
    </row>
    <row r="192" spans="3:16" s="83" customFormat="1" x14ac:dyDescent="0.25">
      <c r="C192" s="82"/>
      <c r="F192" s="117"/>
      <c r="G192" s="119"/>
      <c r="K192" s="118"/>
      <c r="P192" s="118"/>
    </row>
    <row r="193" spans="3:16" s="83" customFormat="1" x14ac:dyDescent="0.25">
      <c r="C193" s="82"/>
      <c r="F193" s="117"/>
      <c r="G193" s="119"/>
      <c r="K193" s="118"/>
      <c r="P193" s="118"/>
    </row>
    <row r="194" spans="3:16" s="83" customFormat="1" x14ac:dyDescent="0.25">
      <c r="C194" s="82"/>
      <c r="F194" s="117"/>
      <c r="G194" s="119"/>
      <c r="K194" s="118"/>
      <c r="P194" s="118"/>
    </row>
    <row r="195" spans="3:16" s="83" customFormat="1" x14ac:dyDescent="0.25">
      <c r="C195" s="82"/>
      <c r="F195" s="117"/>
      <c r="G195" s="119"/>
      <c r="K195" s="118"/>
      <c r="P195" s="118"/>
    </row>
    <row r="196" spans="3:16" s="83" customFormat="1" x14ac:dyDescent="0.25">
      <c r="C196" s="82"/>
      <c r="F196" s="117"/>
      <c r="G196" s="119"/>
      <c r="K196" s="118"/>
      <c r="P196" s="118"/>
    </row>
    <row r="197" spans="3:16" s="83" customFormat="1" x14ac:dyDescent="0.25">
      <c r="C197" s="82"/>
      <c r="F197" s="117"/>
      <c r="G197" s="119"/>
      <c r="K197" s="118"/>
      <c r="P197" s="118"/>
    </row>
    <row r="198" spans="3:16" s="83" customFormat="1" x14ac:dyDescent="0.25">
      <c r="C198" s="82"/>
      <c r="F198" s="117"/>
      <c r="G198" s="119"/>
      <c r="K198" s="118"/>
      <c r="P198" s="118"/>
    </row>
    <row r="199" spans="3:16" s="83" customFormat="1" x14ac:dyDescent="0.25">
      <c r="C199" s="82"/>
      <c r="F199" s="117"/>
      <c r="G199" s="119"/>
      <c r="K199" s="118"/>
      <c r="P199" s="118"/>
    </row>
    <row r="200" spans="3:16" s="83" customFormat="1" x14ac:dyDescent="0.25">
      <c r="C200" s="82"/>
      <c r="F200" s="117"/>
      <c r="G200" s="119"/>
      <c r="K200" s="118"/>
      <c r="P200" s="118"/>
    </row>
    <row r="201" spans="3:16" s="83" customFormat="1" x14ac:dyDescent="0.25">
      <c r="C201" s="82"/>
      <c r="F201" s="117"/>
      <c r="G201" s="119"/>
      <c r="K201" s="118"/>
      <c r="P201" s="118"/>
    </row>
    <row r="202" spans="3:16" s="83" customFormat="1" x14ac:dyDescent="0.25">
      <c r="C202" s="82"/>
      <c r="F202" s="117"/>
      <c r="G202" s="119"/>
      <c r="K202" s="118"/>
      <c r="P202" s="118"/>
    </row>
    <row r="203" spans="3:16" s="83" customFormat="1" x14ac:dyDescent="0.25">
      <c r="C203" s="82"/>
      <c r="F203" s="117"/>
      <c r="G203" s="119"/>
      <c r="K203" s="118"/>
      <c r="P203" s="118"/>
    </row>
    <row r="204" spans="3:16" s="83" customFormat="1" x14ac:dyDescent="0.25">
      <c r="C204" s="82"/>
      <c r="F204" s="117"/>
      <c r="G204" s="119"/>
      <c r="K204" s="118"/>
      <c r="P204" s="118"/>
    </row>
    <row r="205" spans="3:16" s="83" customFormat="1" x14ac:dyDescent="0.25">
      <c r="C205" s="82"/>
      <c r="F205" s="117"/>
      <c r="G205" s="119"/>
      <c r="K205" s="118"/>
      <c r="P205" s="118"/>
    </row>
    <row r="206" spans="3:16" s="83" customFormat="1" x14ac:dyDescent="0.25">
      <c r="C206" s="82"/>
      <c r="F206" s="117"/>
      <c r="G206" s="119"/>
      <c r="K206" s="118"/>
      <c r="P206" s="118"/>
    </row>
    <row r="207" spans="3:16" s="83" customFormat="1" x14ac:dyDescent="0.25">
      <c r="C207" s="82"/>
      <c r="F207" s="117"/>
      <c r="G207" s="119"/>
      <c r="K207" s="118"/>
      <c r="P207" s="118"/>
    </row>
    <row r="208" spans="3:16" s="83" customFormat="1" x14ac:dyDescent="0.25">
      <c r="C208" s="82"/>
      <c r="F208" s="117"/>
      <c r="G208" s="119"/>
      <c r="K208" s="118"/>
      <c r="P208" s="118"/>
    </row>
    <row r="209" spans="3:16" s="83" customFormat="1" x14ac:dyDescent="0.25">
      <c r="C209" s="82"/>
      <c r="F209" s="117"/>
      <c r="G209" s="119"/>
      <c r="K209" s="118"/>
      <c r="P209" s="118"/>
    </row>
    <row r="210" spans="3:16" s="83" customFormat="1" x14ac:dyDescent="0.25">
      <c r="C210" s="82"/>
      <c r="F210" s="117"/>
      <c r="G210" s="119"/>
      <c r="K210" s="118"/>
      <c r="P210" s="118"/>
    </row>
    <row r="211" spans="3:16" s="83" customFormat="1" x14ac:dyDescent="0.25">
      <c r="C211" s="82"/>
      <c r="F211" s="117"/>
      <c r="G211" s="119"/>
      <c r="K211" s="118"/>
      <c r="P211" s="118"/>
    </row>
    <row r="212" spans="3:16" s="83" customFormat="1" x14ac:dyDescent="0.25">
      <c r="C212" s="82"/>
      <c r="F212" s="117"/>
      <c r="G212" s="119"/>
      <c r="K212" s="118"/>
      <c r="P212" s="118"/>
    </row>
    <row r="213" spans="3:16" s="83" customFormat="1" x14ac:dyDescent="0.25">
      <c r="C213" s="82"/>
      <c r="F213" s="117"/>
      <c r="G213" s="119"/>
      <c r="K213" s="118"/>
      <c r="P213" s="118"/>
    </row>
    <row r="214" spans="3:16" s="83" customFormat="1" x14ac:dyDescent="0.25">
      <c r="C214" s="82"/>
      <c r="F214" s="117"/>
      <c r="G214" s="119"/>
      <c r="K214" s="118"/>
      <c r="P214" s="118"/>
    </row>
    <row r="215" spans="3:16" s="83" customFormat="1" x14ac:dyDescent="0.25">
      <c r="C215" s="82"/>
      <c r="F215" s="117"/>
      <c r="G215" s="119"/>
      <c r="K215" s="118"/>
      <c r="P215" s="118"/>
    </row>
    <row r="216" spans="3:16" s="83" customFormat="1" x14ac:dyDescent="0.25">
      <c r="C216" s="82"/>
      <c r="F216" s="117"/>
      <c r="G216" s="119"/>
      <c r="K216" s="118"/>
      <c r="P216" s="118"/>
    </row>
    <row r="217" spans="3:16" s="83" customFormat="1" x14ac:dyDescent="0.25">
      <c r="C217" s="82"/>
      <c r="F217" s="117"/>
      <c r="G217" s="119"/>
      <c r="K217" s="118"/>
      <c r="P217" s="118"/>
    </row>
    <row r="218" spans="3:16" s="83" customFormat="1" x14ac:dyDescent="0.25">
      <c r="C218" s="82"/>
      <c r="F218" s="117"/>
      <c r="G218" s="119"/>
      <c r="K218" s="118"/>
      <c r="P218" s="118"/>
    </row>
    <row r="219" spans="3:16" s="83" customFormat="1" x14ac:dyDescent="0.25">
      <c r="C219" s="82"/>
      <c r="F219" s="117"/>
      <c r="G219" s="119"/>
      <c r="K219" s="118"/>
      <c r="P219" s="118"/>
    </row>
    <row r="220" spans="3:16" s="83" customFormat="1" x14ac:dyDescent="0.25">
      <c r="C220" s="82"/>
      <c r="F220" s="117"/>
      <c r="G220" s="119"/>
      <c r="K220" s="118"/>
      <c r="P220" s="118"/>
    </row>
    <row r="221" spans="3:16" s="83" customFormat="1" x14ac:dyDescent="0.25">
      <c r="C221" s="82"/>
      <c r="F221" s="117"/>
      <c r="G221" s="119"/>
      <c r="K221" s="118"/>
      <c r="P221" s="118"/>
    </row>
    <row r="222" spans="3:16" s="83" customFormat="1" x14ac:dyDescent="0.25">
      <c r="C222" s="82"/>
      <c r="F222" s="117"/>
      <c r="G222" s="119"/>
      <c r="K222" s="118"/>
      <c r="P222" s="118"/>
    </row>
    <row r="223" spans="3:16" s="83" customFormat="1" x14ac:dyDescent="0.25">
      <c r="C223" s="82"/>
      <c r="F223" s="117"/>
      <c r="G223" s="119"/>
      <c r="K223" s="118"/>
      <c r="P223" s="118"/>
    </row>
    <row r="224" spans="3:16" s="83" customFormat="1" x14ac:dyDescent="0.25">
      <c r="C224" s="82"/>
      <c r="F224" s="117"/>
      <c r="G224" s="119"/>
      <c r="K224" s="118"/>
      <c r="P224" s="118"/>
    </row>
    <row r="225" spans="3:16" s="83" customFormat="1" x14ac:dyDescent="0.25">
      <c r="C225" s="82"/>
      <c r="F225" s="117"/>
      <c r="G225" s="119"/>
      <c r="K225" s="118"/>
      <c r="P225" s="118"/>
    </row>
    <row r="226" spans="3:16" s="83" customFormat="1" x14ac:dyDescent="0.25">
      <c r="C226" s="82"/>
      <c r="F226" s="117"/>
      <c r="G226" s="119"/>
      <c r="K226" s="118"/>
      <c r="P226" s="118"/>
    </row>
    <row r="227" spans="3:16" s="83" customFormat="1" x14ac:dyDescent="0.25">
      <c r="C227" s="82"/>
      <c r="F227" s="117"/>
      <c r="G227" s="119"/>
      <c r="K227" s="118"/>
      <c r="P227" s="118"/>
    </row>
    <row r="228" spans="3:16" s="83" customFormat="1" x14ac:dyDescent="0.25">
      <c r="C228" s="82"/>
      <c r="F228" s="117"/>
      <c r="G228" s="119"/>
      <c r="K228" s="118"/>
      <c r="P228" s="118"/>
    </row>
    <row r="229" spans="3:16" s="83" customFormat="1" x14ac:dyDescent="0.25">
      <c r="C229" s="82"/>
      <c r="F229" s="117"/>
      <c r="G229" s="119"/>
      <c r="K229" s="118"/>
      <c r="P229" s="118"/>
    </row>
    <row r="230" spans="3:16" s="83" customFormat="1" x14ac:dyDescent="0.25">
      <c r="C230" s="82"/>
      <c r="F230" s="117"/>
      <c r="G230" s="119"/>
      <c r="K230" s="118"/>
      <c r="P230" s="118"/>
    </row>
    <row r="231" spans="3:16" s="83" customFormat="1" x14ac:dyDescent="0.25">
      <c r="C231" s="82"/>
      <c r="F231" s="117"/>
      <c r="G231" s="119"/>
      <c r="K231" s="118"/>
      <c r="P231" s="118"/>
    </row>
    <row r="232" spans="3:16" s="83" customFormat="1" x14ac:dyDescent="0.25">
      <c r="C232" s="82"/>
      <c r="F232" s="117"/>
      <c r="G232" s="119"/>
      <c r="K232" s="118"/>
      <c r="P232" s="118"/>
    </row>
    <row r="233" spans="3:16" s="83" customFormat="1" x14ac:dyDescent="0.25">
      <c r="C233" s="82"/>
      <c r="F233" s="117"/>
      <c r="G233" s="119"/>
      <c r="K233" s="118"/>
      <c r="P233" s="118"/>
    </row>
    <row r="234" spans="3:16" s="83" customFormat="1" x14ac:dyDescent="0.25">
      <c r="C234" s="82"/>
      <c r="F234" s="117"/>
      <c r="G234" s="119"/>
      <c r="K234" s="118"/>
      <c r="P234" s="118"/>
    </row>
    <row r="235" spans="3:16" s="83" customFormat="1" x14ac:dyDescent="0.25">
      <c r="C235" s="82"/>
      <c r="F235" s="117"/>
      <c r="G235" s="119"/>
      <c r="K235" s="118"/>
      <c r="P235" s="118"/>
    </row>
    <row r="236" spans="3:16" s="83" customFormat="1" x14ac:dyDescent="0.25">
      <c r="C236" s="82"/>
      <c r="F236" s="117"/>
      <c r="G236" s="119"/>
      <c r="K236" s="118"/>
      <c r="P236" s="118"/>
    </row>
    <row r="237" spans="3:16" s="83" customFormat="1" x14ac:dyDescent="0.25">
      <c r="C237" s="82"/>
      <c r="F237" s="117"/>
      <c r="G237" s="119"/>
      <c r="K237" s="118"/>
      <c r="P237" s="118"/>
    </row>
    <row r="238" spans="3:16" s="83" customFormat="1" x14ac:dyDescent="0.25">
      <c r="C238" s="82"/>
      <c r="F238" s="117"/>
      <c r="G238" s="119"/>
      <c r="K238" s="118"/>
      <c r="P238" s="118"/>
    </row>
    <row r="239" spans="3:16" s="83" customFormat="1" x14ac:dyDescent="0.25">
      <c r="C239" s="82"/>
      <c r="F239" s="117"/>
      <c r="G239" s="119"/>
      <c r="K239" s="118"/>
      <c r="P239" s="118"/>
    </row>
    <row r="240" spans="3:16" s="83" customFormat="1" x14ac:dyDescent="0.25">
      <c r="C240" s="82"/>
      <c r="F240" s="117"/>
      <c r="G240" s="119"/>
      <c r="K240" s="118"/>
      <c r="P240" s="118"/>
    </row>
    <row r="241" spans="3:16" s="83" customFormat="1" x14ac:dyDescent="0.25">
      <c r="C241" s="82"/>
      <c r="F241" s="117"/>
      <c r="G241" s="119"/>
      <c r="K241" s="118"/>
      <c r="P241" s="118"/>
    </row>
    <row r="242" spans="3:16" s="83" customFormat="1" x14ac:dyDescent="0.25">
      <c r="C242" s="82"/>
      <c r="F242" s="117"/>
      <c r="G242" s="119"/>
      <c r="K242" s="118"/>
      <c r="P242" s="118"/>
    </row>
    <row r="243" spans="3:16" s="83" customFormat="1" x14ac:dyDescent="0.25">
      <c r="C243" s="82"/>
      <c r="F243" s="117"/>
      <c r="G243" s="119"/>
      <c r="K243" s="118"/>
      <c r="P243" s="118"/>
    </row>
    <row r="244" spans="3:16" s="83" customFormat="1" x14ac:dyDescent="0.25">
      <c r="C244" s="82"/>
      <c r="F244" s="117"/>
      <c r="G244" s="119"/>
      <c r="K244" s="118"/>
      <c r="P244" s="118"/>
    </row>
    <row r="245" spans="3:16" s="83" customFormat="1" x14ac:dyDescent="0.25">
      <c r="C245" s="82"/>
      <c r="F245" s="117"/>
      <c r="G245" s="119"/>
      <c r="K245" s="118"/>
      <c r="P245" s="118"/>
    </row>
    <row r="246" spans="3:16" s="83" customFormat="1" x14ac:dyDescent="0.25">
      <c r="C246" s="82"/>
      <c r="F246" s="117"/>
      <c r="G246" s="119"/>
      <c r="K246" s="118"/>
      <c r="P246" s="118"/>
    </row>
    <row r="247" spans="3:16" s="83" customFormat="1" x14ac:dyDescent="0.25">
      <c r="C247" s="82"/>
      <c r="F247" s="117"/>
      <c r="G247" s="119"/>
      <c r="K247" s="118"/>
      <c r="P247" s="118"/>
    </row>
    <row r="248" spans="3:16" s="83" customFormat="1" x14ac:dyDescent="0.25">
      <c r="C248" s="82"/>
      <c r="F248" s="117"/>
      <c r="G248" s="119"/>
      <c r="K248" s="118"/>
      <c r="P248" s="118"/>
    </row>
    <row r="249" spans="3:16" s="83" customFormat="1" x14ac:dyDescent="0.25">
      <c r="C249" s="82"/>
      <c r="F249" s="117"/>
      <c r="G249" s="119"/>
      <c r="K249" s="118"/>
      <c r="P249" s="118"/>
    </row>
    <row r="250" spans="3:16" s="83" customFormat="1" x14ac:dyDescent="0.25">
      <c r="C250" s="82"/>
      <c r="F250" s="117"/>
      <c r="G250" s="119"/>
      <c r="K250" s="118"/>
      <c r="P250" s="118"/>
    </row>
    <row r="251" spans="3:16" s="83" customFormat="1" x14ac:dyDescent="0.25">
      <c r="C251" s="82"/>
      <c r="F251" s="117"/>
      <c r="G251" s="119"/>
      <c r="K251" s="118"/>
      <c r="P251" s="118"/>
    </row>
    <row r="252" spans="3:16" s="83" customFormat="1" x14ac:dyDescent="0.25">
      <c r="C252" s="82"/>
      <c r="F252" s="117"/>
      <c r="G252" s="119"/>
      <c r="K252" s="118"/>
      <c r="P252" s="118"/>
    </row>
    <row r="253" spans="3:16" s="83" customFormat="1" x14ac:dyDescent="0.25">
      <c r="C253" s="82"/>
      <c r="F253" s="117"/>
      <c r="G253" s="119"/>
      <c r="K253" s="118"/>
      <c r="P253" s="118"/>
    </row>
    <row r="254" spans="3:16" s="83" customFormat="1" x14ac:dyDescent="0.25">
      <c r="C254" s="82"/>
      <c r="F254" s="117"/>
      <c r="G254" s="119"/>
      <c r="K254" s="118"/>
      <c r="P254" s="118"/>
    </row>
    <row r="255" spans="3:16" s="83" customFormat="1" x14ac:dyDescent="0.25">
      <c r="C255" s="82"/>
      <c r="F255" s="117"/>
      <c r="G255" s="119"/>
      <c r="K255" s="118"/>
      <c r="P255" s="118"/>
    </row>
    <row r="256" spans="3:16" s="83" customFormat="1" x14ac:dyDescent="0.25">
      <c r="C256" s="82"/>
      <c r="F256" s="117"/>
      <c r="G256" s="119"/>
      <c r="K256" s="118"/>
      <c r="P256" s="118"/>
    </row>
    <row r="257" spans="3:16" s="83" customFormat="1" x14ac:dyDescent="0.25">
      <c r="C257" s="82"/>
      <c r="F257" s="117"/>
      <c r="G257" s="119"/>
      <c r="K257" s="118"/>
      <c r="P257" s="118"/>
    </row>
    <row r="258" spans="3:16" s="83" customFormat="1" x14ac:dyDescent="0.25">
      <c r="C258" s="82"/>
      <c r="F258" s="117"/>
      <c r="G258" s="119"/>
      <c r="K258" s="118"/>
      <c r="P258" s="118"/>
    </row>
    <row r="259" spans="3:16" s="83" customFormat="1" x14ac:dyDescent="0.25">
      <c r="C259" s="82"/>
      <c r="F259" s="117"/>
      <c r="G259" s="119"/>
      <c r="K259" s="118"/>
      <c r="P259" s="118"/>
    </row>
  </sheetData>
  <mergeCells count="38">
    <mergeCell ref="O113:P113"/>
    <mergeCell ref="O102:P102"/>
    <mergeCell ref="O103:P103"/>
    <mergeCell ref="O104:P104"/>
    <mergeCell ref="O107:P107"/>
    <mergeCell ref="O108:P108"/>
    <mergeCell ref="O109:P109"/>
    <mergeCell ref="X4:X5"/>
    <mergeCell ref="Y4:Y5"/>
    <mergeCell ref="O110:P110"/>
    <mergeCell ref="O111:P111"/>
    <mergeCell ref="O112:P112"/>
    <mergeCell ref="Q4:Q5"/>
    <mergeCell ref="R4:R5"/>
    <mergeCell ref="U4:U5"/>
    <mergeCell ref="V4:V5"/>
    <mergeCell ref="W4:W5"/>
    <mergeCell ref="M4:M5"/>
    <mergeCell ref="N4:N5"/>
    <mergeCell ref="O101:P101"/>
    <mergeCell ref="O4:O5"/>
    <mergeCell ref="P4:P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45"/>
  <sheetViews>
    <sheetView workbookViewId="0">
      <pane xSplit="3" ySplit="8" topLeftCell="D131" activePane="bottomRight" state="frozen"/>
      <selection pane="topRight" activeCell="D1" sqref="D1"/>
      <selection pane="bottomLeft" activeCell="A9" sqref="A9"/>
      <selection pane="bottomRight" activeCell="E159" sqref="E159"/>
    </sheetView>
  </sheetViews>
  <sheetFormatPr defaultRowHeight="12.75" x14ac:dyDescent="0.25"/>
  <cols>
    <col min="1" max="1" width="4.85546875" style="311" customWidth="1"/>
    <col min="2" max="2" width="11.5703125" style="311" customWidth="1"/>
    <col min="3" max="3" width="50.85546875" style="312" customWidth="1"/>
    <col min="4" max="4" width="16.7109375" style="48" customWidth="1"/>
    <col min="5" max="16384" width="9.140625" style="311"/>
  </cols>
  <sheetData>
    <row r="1" spans="1:4" ht="49.5" customHeight="1" thickBot="1" x14ac:dyDescent="0.3">
      <c r="A1" s="1074" t="s">
        <v>2333</v>
      </c>
      <c r="B1" s="1074"/>
      <c r="C1" s="1074"/>
      <c r="D1" s="1074"/>
    </row>
    <row r="2" spans="1:4" ht="40.5" customHeight="1" thickBot="1" x14ac:dyDescent="0.3">
      <c r="A2" s="688" t="s">
        <v>0</v>
      </c>
      <c r="B2" s="689" t="s">
        <v>296</v>
      </c>
      <c r="C2" s="690" t="s">
        <v>297</v>
      </c>
      <c r="D2" s="691" t="s">
        <v>2205</v>
      </c>
    </row>
    <row r="3" spans="1:4" ht="12.75" customHeight="1" x14ac:dyDescent="0.25">
      <c r="A3" s="692"/>
      <c r="B3" s="693"/>
      <c r="C3" s="372" t="s">
        <v>1</v>
      </c>
      <c r="D3" s="322">
        <f>SUM(D4:D8)</f>
        <v>826247</v>
      </c>
    </row>
    <row r="4" spans="1:4" ht="12.75" customHeight="1" x14ac:dyDescent="0.25">
      <c r="A4" s="692"/>
      <c r="B4" s="693"/>
      <c r="C4" s="72" t="s">
        <v>3</v>
      </c>
      <c r="D4" s="694">
        <v>0</v>
      </c>
    </row>
    <row r="5" spans="1:4" ht="12.75" customHeight="1" x14ac:dyDescent="0.25">
      <c r="A5" s="692"/>
      <c r="B5" s="693"/>
      <c r="C5" s="72" t="s">
        <v>2328</v>
      </c>
      <c r="D5" s="694">
        <v>0</v>
      </c>
    </row>
    <row r="6" spans="1:4" ht="12.75" customHeight="1" x14ac:dyDescent="0.25">
      <c r="A6" s="692"/>
      <c r="B6" s="693"/>
      <c r="C6" s="72" t="s">
        <v>2329</v>
      </c>
      <c r="D6" s="694">
        <v>0</v>
      </c>
    </row>
    <row r="7" spans="1:4" ht="12.75" customHeight="1" x14ac:dyDescent="0.25">
      <c r="A7" s="692"/>
      <c r="B7" s="693"/>
      <c r="C7" s="72" t="s">
        <v>2330</v>
      </c>
      <c r="D7" s="694">
        <v>0</v>
      </c>
    </row>
    <row r="8" spans="1:4" ht="12.75" customHeight="1" x14ac:dyDescent="0.25">
      <c r="A8" s="692"/>
      <c r="B8" s="693"/>
      <c r="C8" s="72" t="s">
        <v>4</v>
      </c>
      <c r="D8" s="322">
        <f>SUM(D9:D145)</f>
        <v>826247</v>
      </c>
    </row>
    <row r="9" spans="1:4" ht="12.75" customHeight="1" x14ac:dyDescent="0.25">
      <c r="A9" s="641">
        <v>1</v>
      </c>
      <c r="B9" s="642" t="s">
        <v>69</v>
      </c>
      <c r="C9" s="700" t="s">
        <v>29</v>
      </c>
      <c r="D9" s="322"/>
    </row>
    <row r="10" spans="1:4" ht="12.75" customHeight="1" x14ac:dyDescent="0.25">
      <c r="A10" s="641">
        <v>2</v>
      </c>
      <c r="B10" s="644" t="s">
        <v>70</v>
      </c>
      <c r="C10" s="701" t="s">
        <v>31</v>
      </c>
      <c r="D10" s="322"/>
    </row>
    <row r="11" spans="1:4" ht="12.75" customHeight="1" x14ac:dyDescent="0.25">
      <c r="A11" s="641">
        <v>3</v>
      </c>
      <c r="B11" s="646" t="s">
        <v>71</v>
      </c>
      <c r="C11" s="695" t="s">
        <v>5</v>
      </c>
      <c r="D11" s="328"/>
    </row>
    <row r="12" spans="1:4" ht="12.75" customHeight="1" x14ac:dyDescent="0.25">
      <c r="A12" s="641">
        <v>4</v>
      </c>
      <c r="B12" s="642" t="s">
        <v>72</v>
      </c>
      <c r="C12" s="701" t="s">
        <v>2248</v>
      </c>
      <c r="D12" s="328"/>
    </row>
    <row r="13" spans="1:4" ht="12.75" customHeight="1" x14ac:dyDescent="0.25">
      <c r="A13" s="641">
        <v>5</v>
      </c>
      <c r="B13" s="642" t="s">
        <v>108</v>
      </c>
      <c r="C13" s="702" t="s">
        <v>37</v>
      </c>
      <c r="D13" s="328"/>
    </row>
    <row r="14" spans="1:4" ht="12.75" customHeight="1" x14ac:dyDescent="0.25">
      <c r="A14" s="641">
        <v>6</v>
      </c>
      <c r="B14" s="646" t="s">
        <v>73</v>
      </c>
      <c r="C14" s="696" t="s">
        <v>6</v>
      </c>
      <c r="D14" s="697">
        <f>34931+21817</f>
        <v>56748</v>
      </c>
    </row>
    <row r="15" spans="1:4" ht="12.75" customHeight="1" x14ac:dyDescent="0.25">
      <c r="A15" s="641">
        <v>7</v>
      </c>
      <c r="B15" s="642" t="s">
        <v>109</v>
      </c>
      <c r="C15" s="696" t="s">
        <v>23</v>
      </c>
      <c r="D15" s="697">
        <f>14960+9344</f>
        <v>24304</v>
      </c>
    </row>
    <row r="16" spans="1:4" ht="12.75" customHeight="1" x14ac:dyDescent="0.25">
      <c r="A16" s="641">
        <v>8</v>
      </c>
      <c r="B16" s="646" t="s">
        <v>110</v>
      </c>
      <c r="C16" s="702" t="s">
        <v>44</v>
      </c>
      <c r="D16" s="697"/>
    </row>
    <row r="17" spans="1:4" ht="12.75" customHeight="1" x14ac:dyDescent="0.25">
      <c r="A17" s="641">
        <v>9</v>
      </c>
      <c r="B17" s="646" t="s">
        <v>74</v>
      </c>
      <c r="C17" s="701" t="s">
        <v>45</v>
      </c>
      <c r="D17" s="697"/>
    </row>
    <row r="18" spans="1:4" ht="12.75" customHeight="1" x14ac:dyDescent="0.25">
      <c r="A18" s="641">
        <v>10</v>
      </c>
      <c r="B18" s="646" t="s">
        <v>111</v>
      </c>
      <c r="C18" s="702" t="s">
        <v>48</v>
      </c>
      <c r="D18" s="697"/>
    </row>
    <row r="19" spans="1:4" ht="12.75" customHeight="1" x14ac:dyDescent="0.25">
      <c r="A19" s="641">
        <v>11</v>
      </c>
      <c r="B19" s="646" t="s">
        <v>75</v>
      </c>
      <c r="C19" s="702" t="s">
        <v>52</v>
      </c>
      <c r="D19" s="697"/>
    </row>
    <row r="20" spans="1:4" ht="12.75" customHeight="1" x14ac:dyDescent="0.25">
      <c r="A20" s="641">
        <v>12</v>
      </c>
      <c r="B20" s="646" t="s">
        <v>112</v>
      </c>
      <c r="C20" s="701" t="s">
        <v>63</v>
      </c>
      <c r="D20" s="697"/>
    </row>
    <row r="21" spans="1:4" ht="12.75" customHeight="1" x14ac:dyDescent="0.25">
      <c r="A21" s="641">
        <v>13</v>
      </c>
      <c r="B21" s="646" t="s">
        <v>292</v>
      </c>
      <c r="C21" s="649" t="s">
        <v>293</v>
      </c>
      <c r="D21" s="697"/>
    </row>
    <row r="22" spans="1:4" ht="12.75" customHeight="1" x14ac:dyDescent="0.25">
      <c r="A22" s="641">
        <v>14</v>
      </c>
      <c r="B22" s="642" t="s">
        <v>176</v>
      </c>
      <c r="C22" s="649" t="s">
        <v>177</v>
      </c>
      <c r="D22" s="697"/>
    </row>
    <row r="23" spans="1:4" ht="12.75" customHeight="1" x14ac:dyDescent="0.25">
      <c r="A23" s="641">
        <v>15</v>
      </c>
      <c r="B23" s="646" t="s">
        <v>115</v>
      </c>
      <c r="C23" s="702" t="s">
        <v>26</v>
      </c>
      <c r="D23" s="697"/>
    </row>
    <row r="24" spans="1:4" ht="12.75" customHeight="1" x14ac:dyDescent="0.25">
      <c r="A24" s="641">
        <v>16</v>
      </c>
      <c r="B24" s="646" t="s">
        <v>116</v>
      </c>
      <c r="C24" s="702" t="s">
        <v>28</v>
      </c>
      <c r="D24" s="697"/>
    </row>
    <row r="25" spans="1:4" ht="12.75" customHeight="1" x14ac:dyDescent="0.25">
      <c r="A25" s="641">
        <v>17</v>
      </c>
      <c r="B25" s="646" t="s">
        <v>117</v>
      </c>
      <c r="C25" s="695" t="s">
        <v>24</v>
      </c>
      <c r="D25" s="697"/>
    </row>
    <row r="26" spans="1:4" ht="12.75" customHeight="1" x14ac:dyDescent="0.25">
      <c r="A26" s="641">
        <v>18</v>
      </c>
      <c r="B26" s="646" t="s">
        <v>76</v>
      </c>
      <c r="C26" s="696" t="s">
        <v>7</v>
      </c>
      <c r="D26" s="697">
        <f>31123+19433</f>
        <v>50556</v>
      </c>
    </row>
    <row r="27" spans="1:4" ht="12.75" customHeight="1" x14ac:dyDescent="0.25">
      <c r="A27" s="641">
        <v>19</v>
      </c>
      <c r="B27" s="642" t="s">
        <v>118</v>
      </c>
      <c r="C27" s="701" t="s">
        <v>36</v>
      </c>
      <c r="D27" s="697"/>
    </row>
    <row r="28" spans="1:4" ht="12.75" customHeight="1" x14ac:dyDescent="0.25">
      <c r="A28" s="641">
        <v>20</v>
      </c>
      <c r="B28" s="642" t="s">
        <v>119</v>
      </c>
      <c r="C28" s="701" t="s">
        <v>41</v>
      </c>
      <c r="D28" s="697"/>
    </row>
    <row r="29" spans="1:4" ht="12.75" customHeight="1" x14ac:dyDescent="0.25">
      <c r="A29" s="641">
        <v>21</v>
      </c>
      <c r="B29" s="642" t="s">
        <v>120</v>
      </c>
      <c r="C29" s="695" t="s">
        <v>8</v>
      </c>
      <c r="D29" s="697"/>
    </row>
    <row r="30" spans="1:4" ht="12.75" customHeight="1" x14ac:dyDescent="0.25">
      <c r="A30" s="641">
        <v>22</v>
      </c>
      <c r="B30" s="642" t="s">
        <v>77</v>
      </c>
      <c r="C30" s="696" t="s">
        <v>9</v>
      </c>
      <c r="D30" s="697">
        <f>20548+12833</f>
        <v>33381</v>
      </c>
    </row>
    <row r="31" spans="1:4" ht="12.75" customHeight="1" x14ac:dyDescent="0.25">
      <c r="A31" s="641">
        <v>23</v>
      </c>
      <c r="B31" s="646" t="s">
        <v>78</v>
      </c>
      <c r="C31" s="649" t="s">
        <v>79</v>
      </c>
      <c r="D31" s="697"/>
    </row>
    <row r="32" spans="1:4" ht="12.75" customHeight="1" x14ac:dyDescent="0.25">
      <c r="A32" s="641">
        <v>24</v>
      </c>
      <c r="B32" s="646" t="s">
        <v>178</v>
      </c>
      <c r="C32" s="695" t="s">
        <v>179</v>
      </c>
      <c r="D32" s="697"/>
    </row>
    <row r="33" spans="1:4" ht="12.75" customHeight="1" x14ac:dyDescent="0.25">
      <c r="A33" s="641">
        <v>25</v>
      </c>
      <c r="B33" s="646" t="s">
        <v>180</v>
      </c>
      <c r="C33" s="649" t="s">
        <v>181</v>
      </c>
      <c r="D33" s="697"/>
    </row>
    <row r="34" spans="1:4" ht="12.75" customHeight="1" x14ac:dyDescent="0.25">
      <c r="A34" s="641">
        <v>26</v>
      </c>
      <c r="B34" s="642" t="s">
        <v>123</v>
      </c>
      <c r="C34" s="695" t="s">
        <v>124</v>
      </c>
      <c r="D34" s="697"/>
    </row>
    <row r="35" spans="1:4" ht="12.75" customHeight="1" x14ac:dyDescent="0.25">
      <c r="A35" s="641">
        <v>27</v>
      </c>
      <c r="B35" s="646" t="s">
        <v>121</v>
      </c>
      <c r="C35" s="696" t="s">
        <v>122</v>
      </c>
      <c r="D35" s="697">
        <f>53194+33222</f>
        <v>86416</v>
      </c>
    </row>
    <row r="36" spans="1:4" ht="12.75" customHeight="1" x14ac:dyDescent="0.25">
      <c r="A36" s="641">
        <v>28</v>
      </c>
      <c r="B36" s="646" t="s">
        <v>182</v>
      </c>
      <c r="C36" s="702" t="s">
        <v>406</v>
      </c>
      <c r="D36" s="697"/>
    </row>
    <row r="37" spans="1:4" ht="12.75" customHeight="1" x14ac:dyDescent="0.25">
      <c r="A37" s="641">
        <v>29</v>
      </c>
      <c r="B37" s="644" t="s">
        <v>184</v>
      </c>
      <c r="C37" s="649" t="s">
        <v>65</v>
      </c>
      <c r="D37" s="697"/>
    </row>
    <row r="38" spans="1:4" ht="12.75" customHeight="1" x14ac:dyDescent="0.25">
      <c r="A38" s="641">
        <v>30</v>
      </c>
      <c r="B38" s="642" t="s">
        <v>80</v>
      </c>
      <c r="C38" s="649" t="s">
        <v>81</v>
      </c>
      <c r="D38" s="697"/>
    </row>
    <row r="39" spans="1:4" ht="12.75" customHeight="1" x14ac:dyDescent="0.25">
      <c r="A39" s="641">
        <v>31</v>
      </c>
      <c r="B39" s="646" t="s">
        <v>131</v>
      </c>
      <c r="C39" s="649" t="s">
        <v>185</v>
      </c>
      <c r="D39" s="697"/>
    </row>
    <row r="40" spans="1:4" ht="12.75" customHeight="1" x14ac:dyDescent="0.25">
      <c r="A40" s="641">
        <v>32</v>
      </c>
      <c r="B40" s="644" t="s">
        <v>82</v>
      </c>
      <c r="C40" s="695" t="s">
        <v>10</v>
      </c>
      <c r="D40" s="697"/>
    </row>
    <row r="41" spans="1:4" ht="12.75" customHeight="1" x14ac:dyDescent="0.25">
      <c r="A41" s="641">
        <v>33</v>
      </c>
      <c r="B41" s="642" t="s">
        <v>83</v>
      </c>
      <c r="C41" s="696" t="s">
        <v>11</v>
      </c>
      <c r="D41" s="697">
        <f>15292+9550</f>
        <v>24842</v>
      </c>
    </row>
    <row r="42" spans="1:4" ht="12.75" customHeight="1" x14ac:dyDescent="0.25">
      <c r="A42" s="641">
        <v>34</v>
      </c>
      <c r="B42" s="644" t="s">
        <v>125</v>
      </c>
      <c r="C42" s="701" t="s">
        <v>43</v>
      </c>
      <c r="D42" s="697"/>
    </row>
    <row r="43" spans="1:4" ht="12.75" customHeight="1" x14ac:dyDescent="0.25">
      <c r="A43" s="641">
        <v>35</v>
      </c>
      <c r="B43" s="646" t="s">
        <v>84</v>
      </c>
      <c r="C43" s="695" t="s">
        <v>12</v>
      </c>
      <c r="D43" s="697"/>
    </row>
    <row r="44" spans="1:4" ht="12.75" customHeight="1" x14ac:dyDescent="0.25">
      <c r="A44" s="641">
        <v>36</v>
      </c>
      <c r="B44" s="644" t="s">
        <v>85</v>
      </c>
      <c r="C44" s="702" t="s">
        <v>49</v>
      </c>
      <c r="D44" s="697"/>
    </row>
    <row r="45" spans="1:4" ht="12.75" customHeight="1" x14ac:dyDescent="0.25">
      <c r="A45" s="641">
        <v>37</v>
      </c>
      <c r="B45" s="642" t="s">
        <v>126</v>
      </c>
      <c r="C45" s="695" t="s">
        <v>25</v>
      </c>
      <c r="D45" s="697"/>
    </row>
    <row r="46" spans="1:4" ht="12.75" customHeight="1" x14ac:dyDescent="0.25">
      <c r="A46" s="641">
        <v>38</v>
      </c>
      <c r="B46" s="650" t="s">
        <v>127</v>
      </c>
      <c r="C46" s="702" t="s">
        <v>54</v>
      </c>
      <c r="D46" s="697"/>
    </row>
    <row r="47" spans="1:4" ht="12.75" customHeight="1" x14ac:dyDescent="0.25">
      <c r="A47" s="641">
        <v>39</v>
      </c>
      <c r="B47" s="642" t="s">
        <v>86</v>
      </c>
      <c r="C47" s="701" t="s">
        <v>57</v>
      </c>
      <c r="D47" s="697"/>
    </row>
    <row r="48" spans="1:4" ht="12.75" customHeight="1" x14ac:dyDescent="0.25">
      <c r="A48" s="641">
        <v>40</v>
      </c>
      <c r="B48" s="642" t="s">
        <v>87</v>
      </c>
      <c r="C48" s="702" t="s">
        <v>58</v>
      </c>
      <c r="D48" s="697"/>
    </row>
    <row r="49" spans="1:4" ht="12.75" customHeight="1" x14ac:dyDescent="0.25">
      <c r="A49" s="641">
        <v>41</v>
      </c>
      <c r="B49" s="646" t="s">
        <v>128</v>
      </c>
      <c r="C49" s="702" t="s">
        <v>2254</v>
      </c>
      <c r="D49" s="697"/>
    </row>
    <row r="50" spans="1:4" ht="12.75" customHeight="1" x14ac:dyDescent="0.25">
      <c r="A50" s="641">
        <v>42</v>
      </c>
      <c r="B50" s="644" t="s">
        <v>129</v>
      </c>
      <c r="C50" s="696" t="s">
        <v>130</v>
      </c>
      <c r="D50" s="697">
        <f>2167+1348</f>
        <v>3515</v>
      </c>
    </row>
    <row r="51" spans="1:4" ht="12.75" customHeight="1" x14ac:dyDescent="0.25">
      <c r="A51" s="641">
        <v>43</v>
      </c>
      <c r="B51" s="646" t="s">
        <v>88</v>
      </c>
      <c r="C51" s="696" t="s">
        <v>13</v>
      </c>
      <c r="D51" s="697">
        <f>51481+32153</f>
        <v>83634</v>
      </c>
    </row>
    <row r="52" spans="1:4" ht="12.75" customHeight="1" x14ac:dyDescent="0.25">
      <c r="A52" s="641">
        <v>44</v>
      </c>
      <c r="B52" s="642" t="s">
        <v>132</v>
      </c>
      <c r="C52" s="701" t="s">
        <v>30</v>
      </c>
      <c r="D52" s="697"/>
    </row>
    <row r="53" spans="1:4" ht="12.75" customHeight="1" x14ac:dyDescent="0.25">
      <c r="A53" s="641">
        <v>45</v>
      </c>
      <c r="B53" s="642" t="s">
        <v>133</v>
      </c>
      <c r="C53" s="695" t="s">
        <v>14</v>
      </c>
      <c r="D53" s="697"/>
    </row>
    <row r="54" spans="1:4" ht="12.75" customHeight="1" x14ac:dyDescent="0.25">
      <c r="A54" s="641">
        <v>46</v>
      </c>
      <c r="B54" s="646" t="s">
        <v>134</v>
      </c>
      <c r="C54" s="702" t="s">
        <v>33</v>
      </c>
      <c r="D54" s="697"/>
    </row>
    <row r="55" spans="1:4" ht="12.75" customHeight="1" x14ac:dyDescent="0.25">
      <c r="A55" s="641">
        <v>47</v>
      </c>
      <c r="B55" s="646" t="s">
        <v>89</v>
      </c>
      <c r="C55" s="702" t="s">
        <v>38</v>
      </c>
      <c r="D55" s="697"/>
    </row>
    <row r="56" spans="1:4" ht="12.75" customHeight="1" x14ac:dyDescent="0.25">
      <c r="A56" s="641">
        <v>48</v>
      </c>
      <c r="B56" s="644" t="s">
        <v>90</v>
      </c>
      <c r="C56" s="701" t="s">
        <v>39</v>
      </c>
      <c r="D56" s="697"/>
    </row>
    <row r="57" spans="1:4" ht="12.75" customHeight="1" x14ac:dyDescent="0.25">
      <c r="A57" s="641">
        <v>49</v>
      </c>
      <c r="B57" s="646" t="s">
        <v>135</v>
      </c>
      <c r="C57" s="701" t="s">
        <v>40</v>
      </c>
      <c r="D57" s="697"/>
    </row>
    <row r="58" spans="1:4" ht="12.75" customHeight="1" x14ac:dyDescent="0.25">
      <c r="A58" s="641">
        <v>50</v>
      </c>
      <c r="B58" s="644" t="s">
        <v>91</v>
      </c>
      <c r="C58" s="701" t="s">
        <v>53</v>
      </c>
      <c r="D58" s="697"/>
    </row>
    <row r="59" spans="1:4" ht="12.75" customHeight="1" x14ac:dyDescent="0.25">
      <c r="A59" s="641">
        <v>51</v>
      </c>
      <c r="B59" s="646" t="s">
        <v>92</v>
      </c>
      <c r="C59" s="701" t="s">
        <v>56</v>
      </c>
      <c r="D59" s="697"/>
    </row>
    <row r="60" spans="1:4" ht="12.75" customHeight="1" x14ac:dyDescent="0.25">
      <c r="A60" s="641">
        <v>52</v>
      </c>
      <c r="B60" s="646" t="s">
        <v>136</v>
      </c>
      <c r="C60" s="695" t="s">
        <v>15</v>
      </c>
      <c r="D60" s="697"/>
    </row>
    <row r="61" spans="1:4" ht="12.75" customHeight="1" x14ac:dyDescent="0.25">
      <c r="A61" s="641">
        <v>53</v>
      </c>
      <c r="B61" s="646" t="s">
        <v>137</v>
      </c>
      <c r="C61" s="701" t="s">
        <v>61</v>
      </c>
      <c r="D61" s="697"/>
    </row>
    <row r="62" spans="1:4" ht="12.75" customHeight="1" x14ac:dyDescent="0.25">
      <c r="A62" s="641">
        <v>54</v>
      </c>
      <c r="B62" s="646" t="s">
        <v>186</v>
      </c>
      <c r="C62" s="649" t="s">
        <v>187</v>
      </c>
      <c r="D62" s="697"/>
    </row>
    <row r="63" spans="1:4" ht="12.75" customHeight="1" x14ac:dyDescent="0.25">
      <c r="A63" s="641">
        <v>55</v>
      </c>
      <c r="B63" s="646" t="s">
        <v>188</v>
      </c>
      <c r="C63" s="649" t="s">
        <v>189</v>
      </c>
      <c r="D63" s="697"/>
    </row>
    <row r="64" spans="1:4" ht="12.75" customHeight="1" x14ac:dyDescent="0.25">
      <c r="A64" s="641">
        <v>56</v>
      </c>
      <c r="B64" s="646" t="s">
        <v>190</v>
      </c>
      <c r="C64" s="649" t="s">
        <v>191</v>
      </c>
      <c r="D64" s="697"/>
    </row>
    <row r="65" spans="1:4" ht="12.75" customHeight="1" x14ac:dyDescent="0.25">
      <c r="A65" s="641">
        <v>57</v>
      </c>
      <c r="B65" s="644" t="s">
        <v>192</v>
      </c>
      <c r="C65" s="649" t="s">
        <v>343</v>
      </c>
      <c r="D65" s="697"/>
    </row>
    <row r="66" spans="1:4" ht="12.75" customHeight="1" x14ac:dyDescent="0.25">
      <c r="A66" s="641">
        <v>58</v>
      </c>
      <c r="B66" s="642" t="s">
        <v>194</v>
      </c>
      <c r="C66" s="649" t="s">
        <v>195</v>
      </c>
      <c r="D66" s="697"/>
    </row>
    <row r="67" spans="1:4" ht="12.75" customHeight="1" x14ac:dyDescent="0.25">
      <c r="A67" s="641">
        <v>59</v>
      </c>
      <c r="B67" s="644" t="s">
        <v>196</v>
      </c>
      <c r="C67" s="701" t="s">
        <v>2255</v>
      </c>
      <c r="D67" s="697"/>
    </row>
    <row r="68" spans="1:4" ht="12.75" customHeight="1" x14ac:dyDescent="0.25">
      <c r="A68" s="641">
        <v>60</v>
      </c>
      <c r="B68" s="646" t="s">
        <v>198</v>
      </c>
      <c r="C68" s="649" t="s">
        <v>199</v>
      </c>
      <c r="D68" s="697"/>
    </row>
    <row r="69" spans="1:4" ht="12.75" customHeight="1" x14ac:dyDescent="0.25">
      <c r="A69" s="641">
        <v>61</v>
      </c>
      <c r="B69" s="642" t="s">
        <v>200</v>
      </c>
      <c r="C69" s="649" t="s">
        <v>543</v>
      </c>
      <c r="D69" s="697"/>
    </row>
    <row r="70" spans="1:4" ht="12.75" customHeight="1" x14ac:dyDescent="0.25">
      <c r="A70" s="641">
        <v>62</v>
      </c>
      <c r="B70" s="642" t="s">
        <v>202</v>
      </c>
      <c r="C70" s="649" t="s">
        <v>544</v>
      </c>
      <c r="D70" s="697"/>
    </row>
    <row r="71" spans="1:4" ht="12.75" customHeight="1" x14ac:dyDescent="0.25">
      <c r="A71" s="641">
        <v>63</v>
      </c>
      <c r="B71" s="644" t="s">
        <v>151</v>
      </c>
      <c r="C71" s="701" t="s">
        <v>2256</v>
      </c>
      <c r="D71" s="697"/>
    </row>
    <row r="72" spans="1:4" ht="12.75" customHeight="1" x14ac:dyDescent="0.25">
      <c r="A72" s="641">
        <v>64</v>
      </c>
      <c r="B72" s="644" t="s">
        <v>152</v>
      </c>
      <c r="C72" s="695" t="s">
        <v>153</v>
      </c>
      <c r="D72" s="697"/>
    </row>
    <row r="73" spans="1:4" ht="12.75" customHeight="1" x14ac:dyDescent="0.25">
      <c r="A73" s="641">
        <v>65</v>
      </c>
      <c r="B73" s="644" t="s">
        <v>154</v>
      </c>
      <c r="C73" s="701" t="s">
        <v>2258</v>
      </c>
      <c r="D73" s="697"/>
    </row>
    <row r="74" spans="1:4" ht="12.75" customHeight="1" x14ac:dyDescent="0.25">
      <c r="A74" s="641">
        <v>66</v>
      </c>
      <c r="B74" s="644" t="s">
        <v>206</v>
      </c>
      <c r="C74" s="649" t="s">
        <v>545</v>
      </c>
      <c r="D74" s="697"/>
    </row>
    <row r="75" spans="1:4" ht="12.75" customHeight="1" x14ac:dyDescent="0.25">
      <c r="A75" s="641">
        <v>67</v>
      </c>
      <c r="B75" s="642" t="s">
        <v>208</v>
      </c>
      <c r="C75" s="649" t="s">
        <v>386</v>
      </c>
      <c r="D75" s="697"/>
    </row>
    <row r="76" spans="1:4" ht="12.75" customHeight="1" x14ac:dyDescent="0.25">
      <c r="A76" s="641">
        <v>68</v>
      </c>
      <c r="B76" s="644" t="s">
        <v>210</v>
      </c>
      <c r="C76" s="649" t="s">
        <v>546</v>
      </c>
      <c r="D76" s="697"/>
    </row>
    <row r="77" spans="1:4" ht="12.75" customHeight="1" x14ac:dyDescent="0.25">
      <c r="A77" s="641">
        <v>69</v>
      </c>
      <c r="B77" s="644" t="s">
        <v>212</v>
      </c>
      <c r="C77" s="649" t="s">
        <v>547</v>
      </c>
      <c r="D77" s="697"/>
    </row>
    <row r="78" spans="1:4" ht="12.75" customHeight="1" x14ac:dyDescent="0.25">
      <c r="A78" s="641">
        <v>70</v>
      </c>
      <c r="B78" s="642" t="s">
        <v>214</v>
      </c>
      <c r="C78" s="649" t="s">
        <v>548</v>
      </c>
      <c r="D78" s="697"/>
    </row>
    <row r="79" spans="1:4" ht="12.75" customHeight="1" x14ac:dyDescent="0.25">
      <c r="A79" s="641">
        <v>71</v>
      </c>
      <c r="B79" s="642" t="s">
        <v>216</v>
      </c>
      <c r="C79" s="649" t="s">
        <v>549</v>
      </c>
      <c r="D79" s="697"/>
    </row>
    <row r="80" spans="1:4" ht="12.75" customHeight="1" x14ac:dyDescent="0.25">
      <c r="A80" s="641">
        <v>72</v>
      </c>
      <c r="B80" s="642" t="s">
        <v>218</v>
      </c>
      <c r="C80" s="649" t="s">
        <v>550</v>
      </c>
      <c r="D80" s="697"/>
    </row>
    <row r="81" spans="1:4" ht="12.75" customHeight="1" x14ac:dyDescent="0.25">
      <c r="A81" s="641">
        <v>73</v>
      </c>
      <c r="B81" s="646" t="s">
        <v>148</v>
      </c>
      <c r="C81" s="695" t="s">
        <v>16</v>
      </c>
      <c r="D81" s="697"/>
    </row>
    <row r="82" spans="1:4" ht="12.75" customHeight="1" x14ac:dyDescent="0.25">
      <c r="A82" s="641">
        <v>74</v>
      </c>
      <c r="B82" s="642" t="s">
        <v>145</v>
      </c>
      <c r="C82" s="701" t="s">
        <v>2260</v>
      </c>
      <c r="D82" s="697"/>
    </row>
    <row r="83" spans="1:4" ht="12.75" customHeight="1" x14ac:dyDescent="0.25">
      <c r="A83" s="641">
        <v>75</v>
      </c>
      <c r="B83" s="646" t="s">
        <v>146</v>
      </c>
      <c r="C83" s="695" t="s">
        <v>147</v>
      </c>
      <c r="D83" s="697"/>
    </row>
    <row r="84" spans="1:4" ht="12.75" customHeight="1" x14ac:dyDescent="0.25">
      <c r="A84" s="641">
        <v>76</v>
      </c>
      <c r="B84" s="642" t="s">
        <v>140</v>
      </c>
      <c r="C84" s="701" t="s">
        <v>2261</v>
      </c>
      <c r="D84" s="697"/>
    </row>
    <row r="85" spans="1:4" ht="12.75" customHeight="1" x14ac:dyDescent="0.25">
      <c r="A85" s="641">
        <v>77</v>
      </c>
      <c r="B85" s="642" t="s">
        <v>142</v>
      </c>
      <c r="C85" s="696" t="s">
        <v>143</v>
      </c>
      <c r="D85" s="697">
        <f>42359+26453+8111</f>
        <v>76923</v>
      </c>
    </row>
    <row r="86" spans="1:4" ht="12.75" customHeight="1" x14ac:dyDescent="0.25">
      <c r="A86" s="641">
        <v>78</v>
      </c>
      <c r="B86" s="642" t="s">
        <v>221</v>
      </c>
      <c r="C86" s="695" t="s">
        <v>222</v>
      </c>
      <c r="D86" s="697"/>
    </row>
    <row r="87" spans="1:4" ht="12.75" customHeight="1" x14ac:dyDescent="0.25">
      <c r="A87" s="641">
        <v>79</v>
      </c>
      <c r="B87" s="642" t="s">
        <v>144</v>
      </c>
      <c r="C87" s="695" t="s">
        <v>334</v>
      </c>
      <c r="D87" s="697"/>
    </row>
    <row r="88" spans="1:4" ht="12.75" customHeight="1" x14ac:dyDescent="0.25">
      <c r="A88" s="641">
        <v>80</v>
      </c>
      <c r="B88" s="642" t="s">
        <v>224</v>
      </c>
      <c r="C88" s="649" t="s">
        <v>225</v>
      </c>
      <c r="D88" s="697"/>
    </row>
    <row r="89" spans="1:4" ht="12.75" customHeight="1" x14ac:dyDescent="0.25">
      <c r="A89" s="641">
        <v>81</v>
      </c>
      <c r="B89" s="644" t="s">
        <v>93</v>
      </c>
      <c r="C89" s="649" t="s">
        <v>551</v>
      </c>
      <c r="D89" s="697"/>
    </row>
    <row r="90" spans="1:4" ht="12.75" customHeight="1" x14ac:dyDescent="0.25">
      <c r="A90" s="641">
        <v>82</v>
      </c>
      <c r="B90" s="646" t="s">
        <v>157</v>
      </c>
      <c r="C90" s="696" t="s">
        <v>17</v>
      </c>
      <c r="D90" s="697">
        <f>809+505</f>
        <v>1314</v>
      </c>
    </row>
    <row r="91" spans="1:4" ht="12.75" customHeight="1" x14ac:dyDescent="0.25">
      <c r="A91" s="641">
        <v>83</v>
      </c>
      <c r="B91" s="644" t="s">
        <v>226</v>
      </c>
      <c r="C91" s="649" t="s">
        <v>227</v>
      </c>
      <c r="D91" s="697"/>
    </row>
    <row r="92" spans="1:4" ht="12.75" customHeight="1" x14ac:dyDescent="0.25">
      <c r="A92" s="641">
        <v>84</v>
      </c>
      <c r="B92" s="644" t="s">
        <v>155</v>
      </c>
      <c r="C92" s="649" t="s">
        <v>156</v>
      </c>
      <c r="D92" s="697"/>
    </row>
    <row r="93" spans="1:4" ht="12.75" customHeight="1" x14ac:dyDescent="0.25">
      <c r="A93" s="641">
        <v>85</v>
      </c>
      <c r="B93" s="646" t="s">
        <v>158</v>
      </c>
      <c r="C93" s="695" t="s">
        <v>228</v>
      </c>
      <c r="D93" s="697"/>
    </row>
    <row r="94" spans="1:4" ht="12.75" customHeight="1" x14ac:dyDescent="0.25">
      <c r="A94" s="641">
        <v>86</v>
      </c>
      <c r="B94" s="644" t="s">
        <v>95</v>
      </c>
      <c r="C94" s="702" t="s">
        <v>27</v>
      </c>
      <c r="D94" s="697"/>
    </row>
    <row r="95" spans="1:4" ht="12.75" customHeight="1" x14ac:dyDescent="0.25">
      <c r="A95" s="641">
        <v>87</v>
      </c>
      <c r="B95" s="646" t="s">
        <v>138</v>
      </c>
      <c r="C95" s="702" t="s">
        <v>32</v>
      </c>
      <c r="D95" s="697"/>
    </row>
    <row r="96" spans="1:4" ht="12.75" customHeight="1" x14ac:dyDescent="0.25">
      <c r="A96" s="641">
        <v>88</v>
      </c>
      <c r="B96" s="646" t="s">
        <v>96</v>
      </c>
      <c r="C96" s="695" t="s">
        <v>18</v>
      </c>
      <c r="D96" s="697"/>
    </row>
    <row r="97" spans="1:4" ht="12.75" customHeight="1" x14ac:dyDescent="0.25">
      <c r="A97" s="641">
        <v>89</v>
      </c>
      <c r="B97" s="644" t="s">
        <v>139</v>
      </c>
      <c r="C97" s="695" t="s">
        <v>19</v>
      </c>
      <c r="D97" s="697"/>
    </row>
    <row r="98" spans="1:4" ht="12.75" customHeight="1" x14ac:dyDescent="0.25">
      <c r="A98" s="641">
        <v>90</v>
      </c>
      <c r="B98" s="644" t="s">
        <v>97</v>
      </c>
      <c r="C98" s="701" t="s">
        <v>34</v>
      </c>
      <c r="D98" s="697"/>
    </row>
    <row r="99" spans="1:4" ht="12.75" customHeight="1" x14ac:dyDescent="0.25">
      <c r="A99" s="641">
        <v>91</v>
      </c>
      <c r="B99" s="642" t="s">
        <v>98</v>
      </c>
      <c r="C99" s="701" t="s">
        <v>42</v>
      </c>
      <c r="D99" s="697"/>
    </row>
    <row r="100" spans="1:4" ht="12.75" customHeight="1" x14ac:dyDescent="0.25">
      <c r="A100" s="641">
        <v>92</v>
      </c>
      <c r="B100" s="642" t="s">
        <v>99</v>
      </c>
      <c r="C100" s="701" t="s">
        <v>2264</v>
      </c>
      <c r="D100" s="697"/>
    </row>
    <row r="101" spans="1:4" ht="12.75" customHeight="1" x14ac:dyDescent="0.25">
      <c r="A101" s="641">
        <v>93</v>
      </c>
      <c r="B101" s="646" t="s">
        <v>149</v>
      </c>
      <c r="C101" s="702" t="s">
        <v>47</v>
      </c>
      <c r="D101" s="697"/>
    </row>
    <row r="102" spans="1:4" ht="12.75" customHeight="1" x14ac:dyDescent="0.25">
      <c r="A102" s="641">
        <v>94</v>
      </c>
      <c r="B102" s="642" t="s">
        <v>100</v>
      </c>
      <c r="C102" s="701" t="s">
        <v>50</v>
      </c>
      <c r="D102" s="697"/>
    </row>
    <row r="103" spans="1:4" ht="12.75" customHeight="1" x14ac:dyDescent="0.25">
      <c r="A103" s="641">
        <v>95</v>
      </c>
      <c r="B103" s="642" t="s">
        <v>150</v>
      </c>
      <c r="C103" s="702" t="s">
        <v>51</v>
      </c>
      <c r="D103" s="697"/>
    </row>
    <row r="104" spans="1:4" ht="12.75" customHeight="1" x14ac:dyDescent="0.25">
      <c r="A104" s="641">
        <v>96</v>
      </c>
      <c r="B104" s="644" t="s">
        <v>101</v>
      </c>
      <c r="C104" s="695" t="s">
        <v>20</v>
      </c>
      <c r="D104" s="697"/>
    </row>
    <row r="105" spans="1:4" ht="12.75" customHeight="1" x14ac:dyDescent="0.25">
      <c r="A105" s="641">
        <v>97</v>
      </c>
      <c r="B105" s="646" t="s">
        <v>102</v>
      </c>
      <c r="C105" s="701" t="s">
        <v>55</v>
      </c>
      <c r="D105" s="697"/>
    </row>
    <row r="106" spans="1:4" ht="12.75" customHeight="1" x14ac:dyDescent="0.25">
      <c r="A106" s="641">
        <v>98</v>
      </c>
      <c r="B106" s="646" t="s">
        <v>103</v>
      </c>
      <c r="C106" s="701" t="s">
        <v>60</v>
      </c>
      <c r="D106" s="697"/>
    </row>
    <row r="107" spans="1:4" ht="12.75" customHeight="1" x14ac:dyDescent="0.25">
      <c r="A107" s="641">
        <v>99</v>
      </c>
      <c r="B107" s="642" t="s">
        <v>104</v>
      </c>
      <c r="C107" s="695" t="s">
        <v>21</v>
      </c>
      <c r="D107" s="697"/>
    </row>
    <row r="108" spans="1:4" ht="12.75" customHeight="1" x14ac:dyDescent="0.25">
      <c r="A108" s="641">
        <v>100</v>
      </c>
      <c r="B108" s="644" t="s">
        <v>105</v>
      </c>
      <c r="C108" s="702" t="s">
        <v>62</v>
      </c>
      <c r="D108" s="697"/>
    </row>
    <row r="109" spans="1:4" ht="12.75" customHeight="1" x14ac:dyDescent="0.25">
      <c r="A109" s="641">
        <v>101</v>
      </c>
      <c r="B109" s="642" t="s">
        <v>229</v>
      </c>
      <c r="C109" s="649" t="s">
        <v>230</v>
      </c>
      <c r="D109" s="697"/>
    </row>
    <row r="110" spans="1:4" ht="12.75" customHeight="1" x14ac:dyDescent="0.25">
      <c r="A110" s="641">
        <v>102</v>
      </c>
      <c r="B110" s="642" t="s">
        <v>231</v>
      </c>
      <c r="C110" s="649" t="s">
        <v>232</v>
      </c>
      <c r="D110" s="697"/>
    </row>
    <row r="111" spans="1:4" ht="12.75" customHeight="1" x14ac:dyDescent="0.25">
      <c r="A111" s="641">
        <v>103</v>
      </c>
      <c r="B111" s="646" t="s">
        <v>233</v>
      </c>
      <c r="C111" s="649" t="s">
        <v>234</v>
      </c>
      <c r="D111" s="697"/>
    </row>
    <row r="112" spans="1:4" ht="12.75" customHeight="1" x14ac:dyDescent="0.25">
      <c r="A112" s="641">
        <v>104</v>
      </c>
      <c r="B112" s="646" t="s">
        <v>235</v>
      </c>
      <c r="C112" s="649" t="s">
        <v>236</v>
      </c>
      <c r="D112" s="697"/>
    </row>
    <row r="113" spans="1:4" ht="12.75" customHeight="1" x14ac:dyDescent="0.25">
      <c r="A113" s="641">
        <v>105</v>
      </c>
      <c r="B113" s="646" t="s">
        <v>237</v>
      </c>
      <c r="C113" s="649" t="s">
        <v>238</v>
      </c>
      <c r="D113" s="697"/>
    </row>
    <row r="114" spans="1:4" ht="12.75" customHeight="1" x14ac:dyDescent="0.25">
      <c r="A114" s="641">
        <v>106</v>
      </c>
      <c r="B114" s="646" t="s">
        <v>239</v>
      </c>
      <c r="C114" s="649" t="s">
        <v>240</v>
      </c>
      <c r="D114" s="697"/>
    </row>
    <row r="115" spans="1:4" ht="12.75" customHeight="1" x14ac:dyDescent="0.25">
      <c r="A115" s="641">
        <v>107</v>
      </c>
      <c r="B115" s="646" t="s">
        <v>241</v>
      </c>
      <c r="C115" s="695" t="s">
        <v>242</v>
      </c>
      <c r="D115" s="697"/>
    </row>
    <row r="116" spans="1:4" ht="12.75" customHeight="1" x14ac:dyDescent="0.25">
      <c r="A116" s="641">
        <v>108</v>
      </c>
      <c r="B116" s="646" t="s">
        <v>243</v>
      </c>
      <c r="C116" s="649" t="s">
        <v>244</v>
      </c>
      <c r="D116" s="697"/>
    </row>
    <row r="117" spans="1:4" ht="12.75" customHeight="1" x14ac:dyDescent="0.25">
      <c r="A117" s="641">
        <v>109</v>
      </c>
      <c r="B117" s="651" t="s">
        <v>245</v>
      </c>
      <c r="C117" s="695" t="s">
        <v>246</v>
      </c>
      <c r="D117" s="697"/>
    </row>
    <row r="118" spans="1:4" ht="12.75" customHeight="1" x14ac:dyDescent="0.25">
      <c r="A118" s="641">
        <v>110</v>
      </c>
      <c r="B118" s="651" t="s">
        <v>2331</v>
      </c>
      <c r="C118" s="652" t="s">
        <v>247</v>
      </c>
      <c r="D118" s="697"/>
    </row>
    <row r="119" spans="1:4" ht="12.75" customHeight="1" x14ac:dyDescent="0.25">
      <c r="A119" s="641">
        <v>111</v>
      </c>
      <c r="B119" s="644" t="s">
        <v>248</v>
      </c>
      <c r="C119" s="695" t="s">
        <v>249</v>
      </c>
      <c r="D119" s="697"/>
    </row>
    <row r="120" spans="1:4" ht="12.75" customHeight="1" x14ac:dyDescent="0.25">
      <c r="A120" s="641">
        <v>112</v>
      </c>
      <c r="B120" s="646" t="s">
        <v>250</v>
      </c>
      <c r="C120" s="649" t="s">
        <v>251</v>
      </c>
      <c r="D120" s="697"/>
    </row>
    <row r="121" spans="1:4" ht="12.75" customHeight="1" x14ac:dyDescent="0.25">
      <c r="A121" s="641">
        <v>113</v>
      </c>
      <c r="B121" s="642" t="s">
        <v>252</v>
      </c>
      <c r="C121" s="653" t="s">
        <v>253</v>
      </c>
      <c r="D121" s="697"/>
    </row>
    <row r="122" spans="1:4" ht="12.75" customHeight="1" x14ac:dyDescent="0.25">
      <c r="A122" s="641">
        <v>114</v>
      </c>
      <c r="B122" s="646" t="s">
        <v>254</v>
      </c>
      <c r="C122" s="649" t="s">
        <v>255</v>
      </c>
      <c r="D122" s="697"/>
    </row>
    <row r="123" spans="1:4" ht="12.75" customHeight="1" x14ac:dyDescent="0.25">
      <c r="A123" s="641">
        <v>115</v>
      </c>
      <c r="B123" s="646" t="s">
        <v>256</v>
      </c>
      <c r="C123" s="695" t="s">
        <v>257</v>
      </c>
      <c r="D123" s="697"/>
    </row>
    <row r="124" spans="1:4" ht="12.75" customHeight="1" x14ac:dyDescent="0.25">
      <c r="A124" s="641">
        <v>116</v>
      </c>
      <c r="B124" s="644" t="s">
        <v>258</v>
      </c>
      <c r="C124" s="695" t="s">
        <v>335</v>
      </c>
      <c r="D124" s="697"/>
    </row>
    <row r="125" spans="1:4" ht="12.75" customHeight="1" x14ac:dyDescent="0.25">
      <c r="A125" s="641">
        <v>117</v>
      </c>
      <c r="B125" s="644" t="s">
        <v>260</v>
      </c>
      <c r="C125" s="649" t="s">
        <v>261</v>
      </c>
      <c r="D125" s="697"/>
    </row>
    <row r="126" spans="1:4" ht="12.75" customHeight="1" x14ac:dyDescent="0.25">
      <c r="A126" s="641">
        <v>118</v>
      </c>
      <c r="B126" s="644" t="s">
        <v>262</v>
      </c>
      <c r="C126" s="649" t="s">
        <v>263</v>
      </c>
      <c r="D126" s="697"/>
    </row>
    <row r="127" spans="1:4" ht="12.75" customHeight="1" x14ac:dyDescent="0.25">
      <c r="A127" s="641">
        <v>119</v>
      </c>
      <c r="B127" s="642" t="s">
        <v>264</v>
      </c>
      <c r="C127" s="649" t="s">
        <v>265</v>
      </c>
      <c r="D127" s="697"/>
    </row>
    <row r="128" spans="1:4" ht="12.75" customHeight="1" x14ac:dyDescent="0.25">
      <c r="A128" s="641">
        <v>120</v>
      </c>
      <c r="B128" s="644" t="s">
        <v>266</v>
      </c>
      <c r="C128" s="649" t="s">
        <v>267</v>
      </c>
      <c r="D128" s="697"/>
    </row>
    <row r="129" spans="1:4" ht="12.75" customHeight="1" x14ac:dyDescent="0.25">
      <c r="A129" s="641">
        <v>121</v>
      </c>
      <c r="B129" s="646" t="s">
        <v>268</v>
      </c>
      <c r="C129" s="649" t="s">
        <v>269</v>
      </c>
      <c r="D129" s="697"/>
    </row>
    <row r="130" spans="1:4" ht="12.75" customHeight="1" x14ac:dyDescent="0.25">
      <c r="A130" s="641">
        <v>122</v>
      </c>
      <c r="B130" s="646" t="s">
        <v>270</v>
      </c>
      <c r="C130" s="649" t="s">
        <v>271</v>
      </c>
      <c r="D130" s="697"/>
    </row>
    <row r="131" spans="1:4" ht="12.75" customHeight="1" x14ac:dyDescent="0.25">
      <c r="A131" s="641">
        <v>123</v>
      </c>
      <c r="B131" s="646" t="s">
        <v>272</v>
      </c>
      <c r="C131" s="696" t="s">
        <v>336</v>
      </c>
      <c r="D131" s="697">
        <f>36191+22604-3086</f>
        <v>55709</v>
      </c>
    </row>
    <row r="132" spans="1:4" ht="12.75" customHeight="1" x14ac:dyDescent="0.25">
      <c r="A132" s="641">
        <v>124</v>
      </c>
      <c r="B132" s="646" t="s">
        <v>161</v>
      </c>
      <c r="C132" s="696" t="s">
        <v>274</v>
      </c>
      <c r="D132" s="697">
        <f>24716+15437</f>
        <v>40153</v>
      </c>
    </row>
    <row r="133" spans="1:4" ht="12.75" customHeight="1" x14ac:dyDescent="0.25">
      <c r="A133" s="641">
        <v>125</v>
      </c>
      <c r="B133" s="646" t="s">
        <v>275</v>
      </c>
      <c r="C133" s="695" t="s">
        <v>276</v>
      </c>
      <c r="D133" s="697"/>
    </row>
    <row r="134" spans="1:4" ht="12.75" customHeight="1" x14ac:dyDescent="0.25">
      <c r="A134" s="641">
        <v>126</v>
      </c>
      <c r="B134" s="642" t="s">
        <v>277</v>
      </c>
      <c r="C134" s="695" t="s">
        <v>2</v>
      </c>
      <c r="D134" s="697"/>
    </row>
    <row r="135" spans="1:4" ht="12.75" customHeight="1" x14ac:dyDescent="0.25">
      <c r="A135" s="641">
        <v>127</v>
      </c>
      <c r="B135" s="646" t="s">
        <v>278</v>
      </c>
      <c r="C135" s="649" t="s">
        <v>279</v>
      </c>
      <c r="D135" s="697"/>
    </row>
    <row r="136" spans="1:4" ht="12.75" customHeight="1" x14ac:dyDescent="0.25">
      <c r="A136" s="641">
        <v>128</v>
      </c>
      <c r="B136" s="642" t="s">
        <v>280</v>
      </c>
      <c r="C136" s="696" t="s">
        <v>2206</v>
      </c>
      <c r="D136" s="697">
        <f>41289+25786+6871</f>
        <v>73946</v>
      </c>
    </row>
    <row r="137" spans="1:4" ht="12.75" customHeight="1" x14ac:dyDescent="0.25">
      <c r="A137" s="641">
        <v>129</v>
      </c>
      <c r="B137" s="642" t="s">
        <v>281</v>
      </c>
      <c r="C137" s="695" t="s">
        <v>22</v>
      </c>
      <c r="D137" s="697"/>
    </row>
    <row r="138" spans="1:4" ht="12.75" customHeight="1" x14ac:dyDescent="0.25">
      <c r="A138" s="641">
        <v>130</v>
      </c>
      <c r="B138" s="646" t="s">
        <v>282</v>
      </c>
      <c r="C138" s="696" t="s">
        <v>283</v>
      </c>
      <c r="D138" s="697">
        <f>54839+34249-21909</f>
        <v>67179</v>
      </c>
    </row>
    <row r="139" spans="1:4" ht="12.75" customHeight="1" x14ac:dyDescent="0.25">
      <c r="A139" s="641">
        <v>131</v>
      </c>
      <c r="B139" s="646" t="s">
        <v>284</v>
      </c>
      <c r="C139" s="649" t="s">
        <v>67</v>
      </c>
      <c r="D139" s="697"/>
    </row>
    <row r="140" spans="1:4" ht="12.75" customHeight="1" x14ac:dyDescent="0.25">
      <c r="A140" s="641">
        <v>132</v>
      </c>
      <c r="B140" s="646" t="s">
        <v>285</v>
      </c>
      <c r="C140" s="695" t="s">
        <v>286</v>
      </c>
      <c r="D140" s="697"/>
    </row>
    <row r="141" spans="1:4" ht="12.75" customHeight="1" x14ac:dyDescent="0.25">
      <c r="A141" s="641">
        <v>133</v>
      </c>
      <c r="B141" s="642" t="s">
        <v>159</v>
      </c>
      <c r="C141" s="696" t="s">
        <v>160</v>
      </c>
      <c r="D141" s="697">
        <f>15333+9575+4342</f>
        <v>29250</v>
      </c>
    </row>
    <row r="142" spans="1:4" ht="12.75" customHeight="1" x14ac:dyDescent="0.25">
      <c r="A142" s="641">
        <v>134</v>
      </c>
      <c r="B142" s="644" t="s">
        <v>113</v>
      </c>
      <c r="C142" s="696" t="s">
        <v>114</v>
      </c>
      <c r="D142" s="697">
        <f>20120+12564</f>
        <v>32684</v>
      </c>
    </row>
    <row r="143" spans="1:4" ht="12.75" customHeight="1" x14ac:dyDescent="0.25">
      <c r="A143" s="641">
        <v>135</v>
      </c>
      <c r="B143" s="646" t="s">
        <v>287</v>
      </c>
      <c r="C143" s="696" t="s">
        <v>288</v>
      </c>
      <c r="D143" s="697">
        <f>49259+30763+5671</f>
        <v>85693</v>
      </c>
    </row>
    <row r="144" spans="1:4" ht="12.75" customHeight="1" x14ac:dyDescent="0.25">
      <c r="A144" s="641">
        <v>136</v>
      </c>
      <c r="B144" s="642" t="s">
        <v>289</v>
      </c>
      <c r="C144" s="649" t="s">
        <v>68</v>
      </c>
      <c r="D144" s="697"/>
    </row>
    <row r="145" spans="1:4" ht="12.75" customHeight="1" thickBot="1" x14ac:dyDescent="0.3">
      <c r="A145" s="655">
        <v>137</v>
      </c>
      <c r="B145" s="656" t="s">
        <v>290</v>
      </c>
      <c r="C145" s="699" t="s">
        <v>291</v>
      </c>
      <c r="D145" s="698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87E3C-9D1D-4EC6-B225-1E332956D859}">
  <dimension ref="A1:AG90"/>
  <sheetViews>
    <sheetView zoomScaleNormal="100" zoomScaleSheetLayoutView="70" workbookViewId="0">
      <pane xSplit="2" ySplit="3" topLeftCell="C73" activePane="bottomRight" state="frozen"/>
      <selection activeCell="AB31" sqref="AB31"/>
      <selection pane="topRight" activeCell="AB31" sqref="AB31"/>
      <selection pane="bottomLeft" activeCell="AB31" sqref="AB31"/>
      <selection pane="bottomRight" activeCell="I18" sqref="I18"/>
    </sheetView>
  </sheetViews>
  <sheetFormatPr defaultRowHeight="12.75" x14ac:dyDescent="0.2"/>
  <cols>
    <col min="1" max="1" width="7.28515625" style="164" customWidth="1"/>
    <col min="2" max="2" width="12.85546875" style="805" customWidth="1"/>
    <col min="3" max="3" width="11.85546875" style="165" customWidth="1"/>
    <col min="4" max="4" width="8.5703125" style="165" customWidth="1"/>
    <col min="5" max="5" width="7.140625" style="165" customWidth="1"/>
    <col min="6" max="6" width="8.85546875" style="165" customWidth="1"/>
    <col min="7" max="7" width="9.85546875" style="165" customWidth="1"/>
    <col min="8" max="8" width="9.140625" style="171" customWidth="1"/>
    <col min="9" max="9" width="9.28515625" style="165" customWidth="1"/>
    <col min="10" max="10" width="10.42578125" style="165" customWidth="1"/>
    <col min="11" max="11" width="9.7109375" style="165" customWidth="1"/>
    <col min="12" max="12" width="9.42578125" style="171" customWidth="1"/>
    <col min="13" max="13" width="11.28515625" style="171" customWidth="1"/>
    <col min="14" max="14" width="9.42578125" style="805" customWidth="1"/>
    <col min="15" max="15" width="11.85546875" style="171" hidden="1" customWidth="1"/>
    <col min="16" max="16" width="10" style="171" customWidth="1"/>
    <col min="17" max="18" width="11.85546875" style="165" customWidth="1"/>
    <col min="19" max="19" width="11.85546875" style="171" customWidth="1"/>
    <col min="20" max="20" width="11.85546875" style="165" customWidth="1"/>
    <col min="21" max="24" width="11.85546875" style="805" customWidth="1"/>
    <col min="25" max="25" width="11.85546875" style="171" customWidth="1"/>
    <col min="26" max="27" width="11.85546875" style="165" customWidth="1"/>
    <col min="28" max="28" width="11.85546875" style="165" hidden="1" customWidth="1"/>
    <col min="29" max="29" width="11.85546875" style="805" hidden="1" customWidth="1"/>
    <col min="30" max="30" width="8.85546875" style="805" customWidth="1"/>
    <col min="31" max="31" width="9.42578125" style="805" customWidth="1"/>
    <col min="32" max="32" width="7.42578125" style="804" customWidth="1"/>
    <col min="33" max="33" width="11.85546875" style="804" customWidth="1"/>
    <col min="34" max="16384" width="9.140625" style="805"/>
  </cols>
  <sheetData>
    <row r="1" spans="1:33" ht="17.25" customHeight="1" x14ac:dyDescent="0.2">
      <c r="A1" s="849" t="s">
        <v>494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02"/>
      <c r="Q1" s="802"/>
      <c r="R1" s="802"/>
      <c r="S1" s="802"/>
      <c r="T1" s="803"/>
      <c r="U1" s="803"/>
      <c r="V1" s="803"/>
      <c r="W1" s="803"/>
      <c r="X1" s="803"/>
      <c r="Y1" s="802"/>
      <c r="Z1" s="802"/>
      <c r="AA1" s="803"/>
      <c r="AB1" s="803"/>
      <c r="AC1" s="803"/>
      <c r="AD1" s="803"/>
      <c r="AE1" s="803"/>
    </row>
    <row r="2" spans="1:33" s="148" customFormat="1" ht="45" customHeight="1" x14ac:dyDescent="0.2">
      <c r="A2" s="850" t="s">
        <v>495</v>
      </c>
      <c r="B2" s="850" t="s">
        <v>496</v>
      </c>
      <c r="C2" s="703" t="s">
        <v>273</v>
      </c>
      <c r="D2" s="703" t="s">
        <v>497</v>
      </c>
      <c r="E2" s="703" t="s">
        <v>276</v>
      </c>
      <c r="F2" s="703" t="s">
        <v>2</v>
      </c>
      <c r="G2" s="703" t="s">
        <v>22</v>
      </c>
      <c r="H2" s="703" t="s">
        <v>498</v>
      </c>
      <c r="I2" s="703" t="s">
        <v>286</v>
      </c>
      <c r="J2" s="703" t="s">
        <v>390</v>
      </c>
      <c r="K2" s="703" t="s">
        <v>447</v>
      </c>
      <c r="L2" s="703" t="s">
        <v>9</v>
      </c>
      <c r="M2" s="703" t="s">
        <v>499</v>
      </c>
      <c r="N2" s="703" t="s">
        <v>2338</v>
      </c>
      <c r="O2" s="703"/>
      <c r="P2" s="703" t="s">
        <v>430</v>
      </c>
      <c r="Q2" s="703" t="s">
        <v>2339</v>
      </c>
      <c r="R2" s="703" t="s">
        <v>2340</v>
      </c>
      <c r="S2" s="703" t="s">
        <v>2341</v>
      </c>
      <c r="T2" s="703" t="s">
        <v>20</v>
      </c>
      <c r="U2" s="703" t="s">
        <v>7</v>
      </c>
      <c r="V2" s="703" t="s">
        <v>500</v>
      </c>
      <c r="W2" s="703" t="s">
        <v>2342</v>
      </c>
      <c r="X2" s="703" t="s">
        <v>501</v>
      </c>
      <c r="Y2" s="703" t="s">
        <v>502</v>
      </c>
      <c r="Z2" s="703" t="s">
        <v>478</v>
      </c>
      <c r="AA2" s="703" t="s">
        <v>503</v>
      </c>
      <c r="AB2" s="850"/>
      <c r="AC2" s="850"/>
      <c r="AD2" s="703" t="s">
        <v>189</v>
      </c>
      <c r="AE2" s="703" t="s">
        <v>504</v>
      </c>
      <c r="AF2" s="703" t="s">
        <v>505</v>
      </c>
      <c r="AG2" s="703" t="s">
        <v>530</v>
      </c>
    </row>
    <row r="3" spans="1:33" s="148" customFormat="1" ht="100.5" customHeight="1" x14ac:dyDescent="0.2">
      <c r="A3" s="850"/>
      <c r="B3" s="850"/>
      <c r="C3" s="149" t="s">
        <v>506</v>
      </c>
      <c r="D3" s="149" t="s">
        <v>506</v>
      </c>
      <c r="E3" s="149" t="s">
        <v>506</v>
      </c>
      <c r="F3" s="149" t="s">
        <v>506</v>
      </c>
      <c r="G3" s="149" t="s">
        <v>506</v>
      </c>
      <c r="H3" s="149" t="s">
        <v>506</v>
      </c>
      <c r="I3" s="149" t="s">
        <v>506</v>
      </c>
      <c r="J3" s="149" t="s">
        <v>506</v>
      </c>
      <c r="K3" s="149" t="s">
        <v>506</v>
      </c>
      <c r="L3" s="149" t="s">
        <v>506</v>
      </c>
      <c r="M3" s="149" t="s">
        <v>506</v>
      </c>
      <c r="N3" s="149" t="s">
        <v>506</v>
      </c>
      <c r="O3" s="149" t="s">
        <v>506</v>
      </c>
      <c r="P3" s="149" t="s">
        <v>506</v>
      </c>
      <c r="Q3" s="149" t="s">
        <v>506</v>
      </c>
      <c r="R3" s="149" t="s">
        <v>506</v>
      </c>
      <c r="S3" s="149" t="s">
        <v>506</v>
      </c>
      <c r="T3" s="149" t="s">
        <v>506</v>
      </c>
      <c r="U3" s="149" t="s">
        <v>506</v>
      </c>
      <c r="V3" s="149" t="s">
        <v>506</v>
      </c>
      <c r="W3" s="149" t="s">
        <v>506</v>
      </c>
      <c r="X3" s="149" t="s">
        <v>506</v>
      </c>
      <c r="Y3" s="149" t="s">
        <v>506</v>
      </c>
      <c r="Z3" s="149" t="s">
        <v>506</v>
      </c>
      <c r="AA3" s="149" t="s">
        <v>506</v>
      </c>
      <c r="AB3" s="149" t="s">
        <v>506</v>
      </c>
      <c r="AC3" s="149" t="s">
        <v>507</v>
      </c>
      <c r="AD3" s="149" t="s">
        <v>506</v>
      </c>
      <c r="AE3" s="149" t="s">
        <v>506</v>
      </c>
      <c r="AF3" s="149" t="s">
        <v>506</v>
      </c>
      <c r="AG3" s="149" t="s">
        <v>506</v>
      </c>
    </row>
    <row r="4" spans="1:33" s="148" customFormat="1" ht="15" customHeight="1" x14ac:dyDescent="0.2">
      <c r="A4" s="850"/>
      <c r="B4" s="850"/>
      <c r="C4" s="150">
        <v>22102</v>
      </c>
      <c r="D4" s="150">
        <v>22100</v>
      </c>
      <c r="E4" s="150">
        <v>22103</v>
      </c>
      <c r="F4" s="150">
        <v>22113</v>
      </c>
      <c r="G4" s="150" t="s">
        <v>508</v>
      </c>
      <c r="H4" s="150">
        <v>22112</v>
      </c>
      <c r="I4" s="150" t="s">
        <v>509</v>
      </c>
      <c r="J4" s="150">
        <v>22125</v>
      </c>
      <c r="K4" s="150">
        <v>22127</v>
      </c>
      <c r="L4" s="150">
        <v>22131</v>
      </c>
      <c r="M4" s="150">
        <v>22109</v>
      </c>
      <c r="N4" s="150"/>
      <c r="O4" s="150">
        <v>30</v>
      </c>
      <c r="P4" s="150">
        <v>23</v>
      </c>
      <c r="Q4" s="150">
        <v>12</v>
      </c>
      <c r="R4" s="150">
        <v>8</v>
      </c>
      <c r="S4" s="150">
        <v>32</v>
      </c>
      <c r="T4" s="150">
        <v>6001</v>
      </c>
      <c r="U4" s="150"/>
      <c r="V4" s="150">
        <v>10001</v>
      </c>
      <c r="W4" s="150">
        <v>12001</v>
      </c>
      <c r="X4" s="150"/>
      <c r="Y4" s="150">
        <v>14024</v>
      </c>
      <c r="Z4" s="150">
        <v>16001</v>
      </c>
      <c r="AA4" s="150">
        <v>188</v>
      </c>
      <c r="AB4" s="851">
        <v>28</v>
      </c>
      <c r="AC4" s="851"/>
      <c r="AD4" s="150"/>
      <c r="AE4" s="150"/>
      <c r="AF4" s="150"/>
      <c r="AG4" s="150"/>
    </row>
    <row r="5" spans="1:33" s="808" customFormat="1" ht="11.25" customHeight="1" x14ac:dyDescent="0.2">
      <c r="A5" s="150">
        <v>1</v>
      </c>
      <c r="B5" s="806">
        <v>2</v>
      </c>
      <c r="C5" s="150">
        <v>3</v>
      </c>
      <c r="D5" s="806">
        <v>5</v>
      </c>
      <c r="E5" s="150">
        <v>7</v>
      </c>
      <c r="F5" s="150">
        <v>9</v>
      </c>
      <c r="G5" s="806">
        <v>11</v>
      </c>
      <c r="H5" s="150">
        <v>13</v>
      </c>
      <c r="I5" s="806">
        <v>15</v>
      </c>
      <c r="J5" s="150">
        <v>17</v>
      </c>
      <c r="K5" s="150">
        <v>19</v>
      </c>
      <c r="L5" s="150">
        <v>21</v>
      </c>
      <c r="M5" s="150">
        <v>23</v>
      </c>
      <c r="N5" s="806">
        <v>25</v>
      </c>
      <c r="O5" s="150">
        <v>27</v>
      </c>
      <c r="P5" s="150">
        <v>29</v>
      </c>
      <c r="Q5" s="806">
        <v>31</v>
      </c>
      <c r="R5" s="150">
        <v>33</v>
      </c>
      <c r="S5" s="806">
        <v>35</v>
      </c>
      <c r="T5" s="150">
        <v>37</v>
      </c>
      <c r="U5" s="150">
        <v>39</v>
      </c>
      <c r="V5" s="806">
        <v>41</v>
      </c>
      <c r="W5" s="150">
        <v>43</v>
      </c>
      <c r="X5" s="150">
        <v>45</v>
      </c>
      <c r="Y5" s="150">
        <v>47</v>
      </c>
      <c r="Z5" s="806">
        <v>49</v>
      </c>
      <c r="AA5" s="150">
        <v>53</v>
      </c>
      <c r="AB5" s="806">
        <v>55</v>
      </c>
      <c r="AC5" s="150">
        <v>56</v>
      </c>
      <c r="AD5" s="150">
        <v>57</v>
      </c>
      <c r="AE5" s="150">
        <v>61</v>
      </c>
      <c r="AF5" s="806">
        <v>63</v>
      </c>
      <c r="AG5" s="807">
        <v>65</v>
      </c>
    </row>
    <row r="6" spans="1:33" s="810" customFormat="1" ht="20.25" customHeight="1" x14ac:dyDescent="0.2">
      <c r="A6" s="847" t="s">
        <v>510</v>
      </c>
      <c r="B6" s="848"/>
      <c r="C6" s="809">
        <f t="shared" ref="C6:AG6" si="0">C7+C8</f>
        <v>163</v>
      </c>
      <c r="D6" s="809">
        <f t="shared" si="0"/>
        <v>0</v>
      </c>
      <c r="E6" s="809">
        <f t="shared" si="0"/>
        <v>0</v>
      </c>
      <c r="F6" s="809">
        <f t="shared" si="0"/>
        <v>0</v>
      </c>
      <c r="G6" s="809">
        <f t="shared" si="0"/>
        <v>0</v>
      </c>
      <c r="H6" s="809">
        <f t="shared" si="0"/>
        <v>0</v>
      </c>
      <c r="I6" s="809">
        <f t="shared" si="0"/>
        <v>0</v>
      </c>
      <c r="J6" s="809">
        <f t="shared" si="0"/>
        <v>0</v>
      </c>
      <c r="K6" s="809">
        <f t="shared" si="0"/>
        <v>73</v>
      </c>
      <c r="L6" s="809">
        <f t="shared" si="0"/>
        <v>0</v>
      </c>
      <c r="M6" s="809">
        <f t="shared" si="0"/>
        <v>0</v>
      </c>
      <c r="N6" s="809">
        <f t="shared" si="0"/>
        <v>0</v>
      </c>
      <c r="O6" s="809">
        <f t="shared" si="0"/>
        <v>0</v>
      </c>
      <c r="P6" s="809">
        <f t="shared" si="0"/>
        <v>0</v>
      </c>
      <c r="Q6" s="809">
        <f t="shared" si="0"/>
        <v>0</v>
      </c>
      <c r="R6" s="809">
        <f t="shared" si="0"/>
        <v>0</v>
      </c>
      <c r="S6" s="809">
        <f t="shared" si="0"/>
        <v>0</v>
      </c>
      <c r="T6" s="809">
        <f t="shared" si="0"/>
        <v>0</v>
      </c>
      <c r="U6" s="809">
        <f t="shared" si="0"/>
        <v>0</v>
      </c>
      <c r="V6" s="809">
        <f t="shared" si="0"/>
        <v>0</v>
      </c>
      <c r="W6" s="809">
        <f t="shared" si="0"/>
        <v>0</v>
      </c>
      <c r="X6" s="809">
        <f t="shared" si="0"/>
        <v>0</v>
      </c>
      <c r="Y6" s="809">
        <f t="shared" si="0"/>
        <v>0</v>
      </c>
      <c r="Z6" s="809">
        <f t="shared" si="0"/>
        <v>0</v>
      </c>
      <c r="AA6" s="809">
        <f t="shared" si="0"/>
        <v>25</v>
      </c>
      <c r="AB6" s="809">
        <f t="shared" si="0"/>
        <v>0</v>
      </c>
      <c r="AC6" s="809">
        <f t="shared" si="0"/>
        <v>0</v>
      </c>
      <c r="AD6" s="809">
        <f t="shared" si="0"/>
        <v>0</v>
      </c>
      <c r="AE6" s="809">
        <f t="shared" si="0"/>
        <v>261</v>
      </c>
      <c r="AF6" s="809">
        <f t="shared" si="0"/>
        <v>0</v>
      </c>
      <c r="AG6" s="809">
        <f t="shared" si="0"/>
        <v>261</v>
      </c>
    </row>
    <row r="7" spans="1:33" s="808" customFormat="1" ht="13.5" customHeight="1" x14ac:dyDescent="0.2">
      <c r="A7" s="151">
        <v>1</v>
      </c>
      <c r="B7" s="811">
        <f>[14]Стоимость!J3</f>
        <v>186505</v>
      </c>
      <c r="C7" s="152">
        <f>165-20</f>
        <v>145</v>
      </c>
      <c r="D7" s="152"/>
      <c r="E7" s="152"/>
      <c r="F7" s="152"/>
      <c r="G7" s="152"/>
      <c r="H7" s="152"/>
      <c r="I7" s="152"/>
      <c r="J7" s="152"/>
      <c r="K7" s="152">
        <f>73-3</f>
        <v>70</v>
      </c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3"/>
      <c r="W7" s="153"/>
      <c r="X7" s="153"/>
      <c r="Y7" s="153"/>
      <c r="Z7" s="153"/>
      <c r="AA7" s="152">
        <v>25</v>
      </c>
      <c r="AB7" s="152"/>
      <c r="AC7" s="812">
        <f>AB7*B7</f>
        <v>0</v>
      </c>
      <c r="AD7" s="152"/>
      <c r="AE7" s="813">
        <f>C7+D7+E7+F7+G7+H7+I7+J7+K7+L7+M7+N7+O7+P7+Q7+R7+S7+T7+U7+V7+W7+X7+Y7+Z7+AA7+AB7+AD7</f>
        <v>240</v>
      </c>
      <c r="AF7" s="814"/>
      <c r="AG7" s="813">
        <f>AE7+AF7</f>
        <v>240</v>
      </c>
    </row>
    <row r="8" spans="1:33" s="808" customFormat="1" ht="13.5" customHeight="1" x14ac:dyDescent="0.2">
      <c r="A8" s="154">
        <v>2</v>
      </c>
      <c r="B8" s="811">
        <f>[14]Стоимость!J4</f>
        <v>202027</v>
      </c>
      <c r="C8" s="152">
        <v>18</v>
      </c>
      <c r="D8" s="152"/>
      <c r="E8" s="152"/>
      <c r="F8" s="152"/>
      <c r="G8" s="152"/>
      <c r="H8" s="152"/>
      <c r="I8" s="152"/>
      <c r="J8" s="152"/>
      <c r="K8" s="152">
        <v>3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3"/>
      <c r="W8" s="153"/>
      <c r="X8" s="153"/>
      <c r="Y8" s="153"/>
      <c r="Z8" s="153"/>
      <c r="AA8" s="152"/>
      <c r="AB8" s="152"/>
      <c r="AC8" s="812">
        <f>AB8*B8</f>
        <v>0</v>
      </c>
      <c r="AD8" s="152"/>
      <c r="AE8" s="813">
        <f>C8+D8+E8+F8+G8+H8+I8+J8+K8+L8+M8+N8+O8+P8+Q8+R8+S8+T8+U8+V8+W8+X8+Y8+Z8+AA8+AB8+AD8</f>
        <v>21</v>
      </c>
      <c r="AF8" s="814"/>
      <c r="AG8" s="813">
        <f>AE8+AF8</f>
        <v>21</v>
      </c>
    </row>
    <row r="9" spans="1:33" s="810" customFormat="1" ht="24" customHeight="1" x14ac:dyDescent="0.2">
      <c r="A9" s="847" t="s">
        <v>511</v>
      </c>
      <c r="B9" s="848"/>
      <c r="C9" s="809">
        <f t="shared" ref="C9:AG9" si="1">C10+C11</f>
        <v>384</v>
      </c>
      <c r="D9" s="809">
        <f t="shared" si="1"/>
        <v>0</v>
      </c>
      <c r="E9" s="809">
        <f t="shared" si="1"/>
        <v>0</v>
      </c>
      <c r="F9" s="809">
        <f t="shared" si="1"/>
        <v>53</v>
      </c>
      <c r="G9" s="809">
        <f t="shared" si="1"/>
        <v>271</v>
      </c>
      <c r="H9" s="809">
        <f t="shared" si="1"/>
        <v>0</v>
      </c>
      <c r="I9" s="809">
        <f t="shared" si="1"/>
        <v>0</v>
      </c>
      <c r="J9" s="809">
        <f t="shared" si="1"/>
        <v>0</v>
      </c>
      <c r="K9" s="809">
        <f t="shared" si="1"/>
        <v>52</v>
      </c>
      <c r="L9" s="809">
        <f t="shared" si="1"/>
        <v>0</v>
      </c>
      <c r="M9" s="809">
        <f t="shared" si="1"/>
        <v>0</v>
      </c>
      <c r="N9" s="809">
        <f t="shared" si="1"/>
        <v>0</v>
      </c>
      <c r="O9" s="809">
        <f t="shared" si="1"/>
        <v>0</v>
      </c>
      <c r="P9" s="809">
        <f t="shared" si="1"/>
        <v>30</v>
      </c>
      <c r="Q9" s="809">
        <f t="shared" si="1"/>
        <v>0</v>
      </c>
      <c r="R9" s="809">
        <f t="shared" si="1"/>
        <v>129</v>
      </c>
      <c r="S9" s="809">
        <f t="shared" si="1"/>
        <v>40</v>
      </c>
      <c r="T9" s="809">
        <f t="shared" si="1"/>
        <v>0</v>
      </c>
      <c r="U9" s="809">
        <f t="shared" si="1"/>
        <v>0</v>
      </c>
      <c r="V9" s="809">
        <f t="shared" si="1"/>
        <v>0</v>
      </c>
      <c r="W9" s="809">
        <f t="shared" si="1"/>
        <v>0</v>
      </c>
      <c r="X9" s="809">
        <f t="shared" si="1"/>
        <v>0</v>
      </c>
      <c r="Y9" s="809">
        <f t="shared" si="1"/>
        <v>0</v>
      </c>
      <c r="Z9" s="809">
        <f t="shared" si="1"/>
        <v>0</v>
      </c>
      <c r="AA9" s="809">
        <f t="shared" si="1"/>
        <v>190</v>
      </c>
      <c r="AB9" s="809">
        <f t="shared" si="1"/>
        <v>0</v>
      </c>
      <c r="AC9" s="809">
        <f t="shared" si="1"/>
        <v>0</v>
      </c>
      <c r="AD9" s="809">
        <f t="shared" si="1"/>
        <v>0</v>
      </c>
      <c r="AE9" s="809">
        <f t="shared" si="1"/>
        <v>1149</v>
      </c>
      <c r="AF9" s="809">
        <f t="shared" si="1"/>
        <v>0</v>
      </c>
      <c r="AG9" s="809">
        <f t="shared" si="1"/>
        <v>1149</v>
      </c>
    </row>
    <row r="10" spans="1:33" s="808" customFormat="1" ht="13.5" customHeight="1" x14ac:dyDescent="0.2">
      <c r="A10" s="155">
        <v>3</v>
      </c>
      <c r="B10" s="811">
        <f>[14]Стоимость!J5</f>
        <v>145110</v>
      </c>
      <c r="C10" s="152">
        <v>240</v>
      </c>
      <c r="D10" s="152"/>
      <c r="E10" s="152"/>
      <c r="F10" s="152"/>
      <c r="G10" s="152">
        <v>131</v>
      </c>
      <c r="H10" s="152"/>
      <c r="I10" s="152"/>
      <c r="J10" s="152"/>
      <c r="K10" s="152">
        <v>20</v>
      </c>
      <c r="L10" s="152"/>
      <c r="M10" s="152"/>
      <c r="N10" s="152"/>
      <c r="O10" s="152"/>
      <c r="P10" s="152">
        <v>15</v>
      </c>
      <c r="Q10" s="152"/>
      <c r="R10" s="152">
        <v>100</v>
      </c>
      <c r="S10" s="152">
        <v>40</v>
      </c>
      <c r="T10" s="152"/>
      <c r="U10" s="152"/>
      <c r="V10" s="153"/>
      <c r="W10" s="153"/>
      <c r="X10" s="153"/>
      <c r="Y10" s="153"/>
      <c r="Z10" s="153"/>
      <c r="AA10" s="152">
        <v>150</v>
      </c>
      <c r="AB10" s="152"/>
      <c r="AC10" s="812">
        <f>AB10*B10</f>
        <v>0</v>
      </c>
      <c r="AD10" s="152"/>
      <c r="AE10" s="813">
        <f>C10+D10+E10+F10+G10+H10+I10+J10+K10+L10+M10+N10+O10+P10+Q10+R10+S10+T10+U10+V10+W10+X10+Y10+Z10+AA10+AB10+AD10</f>
        <v>696</v>
      </c>
      <c r="AF10" s="814"/>
      <c r="AG10" s="815">
        <f>AE10+AF10</f>
        <v>696</v>
      </c>
    </row>
    <row r="11" spans="1:33" s="808" customFormat="1" ht="13.5" customHeight="1" x14ac:dyDescent="0.2">
      <c r="A11" s="155">
        <v>4</v>
      </c>
      <c r="B11" s="811">
        <f>[14]Стоимость!J6</f>
        <v>221379</v>
      </c>
      <c r="C11" s="153">
        <v>144</v>
      </c>
      <c r="D11" s="153"/>
      <c r="E11" s="153"/>
      <c r="F11" s="152">
        <v>53</v>
      </c>
      <c r="G11" s="153">
        <v>140</v>
      </c>
      <c r="H11" s="156"/>
      <c r="I11" s="153"/>
      <c r="J11" s="153"/>
      <c r="K11" s="153">
        <v>32</v>
      </c>
      <c r="L11" s="152"/>
      <c r="M11" s="156"/>
      <c r="N11" s="152"/>
      <c r="O11" s="156"/>
      <c r="P11" s="152">
        <v>15</v>
      </c>
      <c r="Q11" s="153"/>
      <c r="R11" s="153">
        <v>29</v>
      </c>
      <c r="S11" s="156"/>
      <c r="T11" s="153"/>
      <c r="U11" s="152"/>
      <c r="V11" s="153"/>
      <c r="W11" s="153"/>
      <c r="X11" s="153"/>
      <c r="Y11" s="156"/>
      <c r="Z11" s="153"/>
      <c r="AA11" s="153">
        <v>40</v>
      </c>
      <c r="AB11" s="153"/>
      <c r="AC11" s="812">
        <f>AB11*B11</f>
        <v>0</v>
      </c>
      <c r="AD11" s="152"/>
      <c r="AE11" s="813">
        <f>C11+D11+E11+F11+G11+H11+I11+J11+K11+L11+M11+N11+O11+P11+Q11+R11+S11+T11+U11+V11+W11+X11+Y11+Z11+AA11+AB11+AD11</f>
        <v>453</v>
      </c>
      <c r="AF11" s="814"/>
      <c r="AG11" s="815">
        <f>AE11+AF11</f>
        <v>453</v>
      </c>
    </row>
    <row r="12" spans="1:33" s="808" customFormat="1" ht="20.25" customHeight="1" x14ac:dyDescent="0.2">
      <c r="A12" s="847" t="s">
        <v>512</v>
      </c>
      <c r="B12" s="848"/>
      <c r="C12" s="809">
        <f t="shared" ref="C12:AG12" si="2">C13</f>
        <v>50</v>
      </c>
      <c r="D12" s="809">
        <f t="shared" si="2"/>
        <v>0</v>
      </c>
      <c r="E12" s="809">
        <f t="shared" si="2"/>
        <v>0</v>
      </c>
      <c r="F12" s="809">
        <f t="shared" si="2"/>
        <v>34</v>
      </c>
      <c r="G12" s="809">
        <f t="shared" si="2"/>
        <v>0</v>
      </c>
      <c r="H12" s="809">
        <f t="shared" si="2"/>
        <v>0</v>
      </c>
      <c r="I12" s="809">
        <f t="shared" si="2"/>
        <v>0</v>
      </c>
      <c r="J12" s="809">
        <f t="shared" si="2"/>
        <v>0</v>
      </c>
      <c r="K12" s="809">
        <f t="shared" si="2"/>
        <v>60</v>
      </c>
      <c r="L12" s="809">
        <f t="shared" si="2"/>
        <v>0</v>
      </c>
      <c r="M12" s="809">
        <f t="shared" si="2"/>
        <v>0</v>
      </c>
      <c r="N12" s="809">
        <f t="shared" si="2"/>
        <v>0</v>
      </c>
      <c r="O12" s="809">
        <f t="shared" si="2"/>
        <v>0</v>
      </c>
      <c r="P12" s="809">
        <f t="shared" si="2"/>
        <v>0</v>
      </c>
      <c r="Q12" s="809">
        <f t="shared" si="2"/>
        <v>0</v>
      </c>
      <c r="R12" s="809">
        <f t="shared" si="2"/>
        <v>0</v>
      </c>
      <c r="S12" s="809">
        <f t="shared" si="2"/>
        <v>0</v>
      </c>
      <c r="T12" s="809">
        <f t="shared" si="2"/>
        <v>0</v>
      </c>
      <c r="U12" s="809">
        <f t="shared" si="2"/>
        <v>0</v>
      </c>
      <c r="V12" s="809">
        <f t="shared" si="2"/>
        <v>0</v>
      </c>
      <c r="W12" s="809">
        <f t="shared" si="2"/>
        <v>0</v>
      </c>
      <c r="X12" s="809">
        <f t="shared" si="2"/>
        <v>0</v>
      </c>
      <c r="Y12" s="809">
        <f t="shared" si="2"/>
        <v>0</v>
      </c>
      <c r="Z12" s="809">
        <f t="shared" si="2"/>
        <v>0</v>
      </c>
      <c r="AA12" s="809">
        <f t="shared" si="2"/>
        <v>0</v>
      </c>
      <c r="AB12" s="809">
        <f t="shared" si="2"/>
        <v>0</v>
      </c>
      <c r="AC12" s="809">
        <f t="shared" si="2"/>
        <v>0</v>
      </c>
      <c r="AD12" s="809">
        <f t="shared" si="2"/>
        <v>0</v>
      </c>
      <c r="AE12" s="809">
        <f t="shared" si="2"/>
        <v>144</v>
      </c>
      <c r="AF12" s="809">
        <f t="shared" si="2"/>
        <v>0</v>
      </c>
      <c r="AG12" s="809">
        <f t="shared" si="2"/>
        <v>144</v>
      </c>
    </row>
    <row r="13" spans="1:33" s="808" customFormat="1" ht="15" customHeight="1" x14ac:dyDescent="0.2">
      <c r="A13" s="155">
        <v>5</v>
      </c>
      <c r="B13" s="811">
        <f>[14]Стоимость!J7</f>
        <v>150068</v>
      </c>
      <c r="C13" s="153">
        <v>50</v>
      </c>
      <c r="D13" s="153"/>
      <c r="E13" s="153"/>
      <c r="F13" s="153">
        <v>34</v>
      </c>
      <c r="G13" s="153"/>
      <c r="H13" s="153"/>
      <c r="I13" s="153"/>
      <c r="J13" s="153"/>
      <c r="K13" s="153">
        <v>60</v>
      </c>
      <c r="L13" s="153"/>
      <c r="M13" s="153"/>
      <c r="N13" s="152"/>
      <c r="O13" s="153"/>
      <c r="P13" s="153"/>
      <c r="Q13" s="153"/>
      <c r="R13" s="153"/>
      <c r="S13" s="153"/>
      <c r="T13" s="153"/>
      <c r="U13" s="152"/>
      <c r="V13" s="153"/>
      <c r="W13" s="153"/>
      <c r="X13" s="153"/>
      <c r="Y13" s="153"/>
      <c r="Z13" s="153"/>
      <c r="AA13" s="153"/>
      <c r="AB13" s="153"/>
      <c r="AC13" s="812">
        <f>AB13*B13</f>
        <v>0</v>
      </c>
      <c r="AD13" s="152"/>
      <c r="AE13" s="813">
        <f>C13+D13+E13+F13+G13+H13+I13+J13+K13+L13+M13+N13+O13+P13+Q13+R13+S13+T13+U13+V13+W13+X13+Y13+Z13+AA13+AB13+AD13</f>
        <v>144</v>
      </c>
      <c r="AF13" s="814"/>
      <c r="AG13" s="813">
        <f>AE13+AF13</f>
        <v>144</v>
      </c>
    </row>
    <row r="14" spans="1:33" s="808" customFormat="1" ht="20.25" customHeight="1" x14ac:dyDescent="0.2">
      <c r="A14" s="847" t="s">
        <v>513</v>
      </c>
      <c r="B14" s="848"/>
      <c r="C14" s="809">
        <f t="shared" ref="C14:AG14" si="3">C15+C16</f>
        <v>31</v>
      </c>
      <c r="D14" s="809">
        <f t="shared" si="3"/>
        <v>0</v>
      </c>
      <c r="E14" s="809">
        <f t="shared" si="3"/>
        <v>0</v>
      </c>
      <c r="F14" s="809">
        <f t="shared" si="3"/>
        <v>12</v>
      </c>
      <c r="G14" s="809">
        <f t="shared" si="3"/>
        <v>0</v>
      </c>
      <c r="H14" s="809">
        <f t="shared" si="3"/>
        <v>0</v>
      </c>
      <c r="I14" s="809">
        <f t="shared" si="3"/>
        <v>0</v>
      </c>
      <c r="J14" s="809">
        <f t="shared" si="3"/>
        <v>0</v>
      </c>
      <c r="K14" s="809">
        <f t="shared" si="3"/>
        <v>0</v>
      </c>
      <c r="L14" s="809">
        <f t="shared" si="3"/>
        <v>0</v>
      </c>
      <c r="M14" s="809">
        <f t="shared" si="3"/>
        <v>0</v>
      </c>
      <c r="N14" s="809">
        <f t="shared" si="3"/>
        <v>0</v>
      </c>
      <c r="O14" s="809">
        <f t="shared" si="3"/>
        <v>0</v>
      </c>
      <c r="P14" s="809">
        <f t="shared" si="3"/>
        <v>21</v>
      </c>
      <c r="Q14" s="809">
        <f t="shared" si="3"/>
        <v>0</v>
      </c>
      <c r="R14" s="809">
        <f t="shared" si="3"/>
        <v>0</v>
      </c>
      <c r="S14" s="809">
        <f t="shared" si="3"/>
        <v>0</v>
      </c>
      <c r="T14" s="809">
        <f t="shared" si="3"/>
        <v>0</v>
      </c>
      <c r="U14" s="809">
        <f t="shared" si="3"/>
        <v>0</v>
      </c>
      <c r="V14" s="809">
        <f t="shared" si="3"/>
        <v>0</v>
      </c>
      <c r="W14" s="809">
        <f t="shared" si="3"/>
        <v>0</v>
      </c>
      <c r="X14" s="809">
        <f t="shared" si="3"/>
        <v>0</v>
      </c>
      <c r="Y14" s="809">
        <f t="shared" si="3"/>
        <v>0</v>
      </c>
      <c r="Z14" s="809">
        <f t="shared" si="3"/>
        <v>0</v>
      </c>
      <c r="AA14" s="809">
        <f t="shared" si="3"/>
        <v>0</v>
      </c>
      <c r="AB14" s="809">
        <f t="shared" si="3"/>
        <v>0</v>
      </c>
      <c r="AC14" s="809">
        <f t="shared" si="3"/>
        <v>0</v>
      </c>
      <c r="AD14" s="809">
        <f t="shared" si="3"/>
        <v>0</v>
      </c>
      <c r="AE14" s="809">
        <f t="shared" si="3"/>
        <v>64</v>
      </c>
      <c r="AF14" s="809">
        <f t="shared" si="3"/>
        <v>0</v>
      </c>
      <c r="AG14" s="809">
        <f t="shared" si="3"/>
        <v>64</v>
      </c>
    </row>
    <row r="15" spans="1:33" s="808" customFormat="1" ht="12.75" customHeight="1" x14ac:dyDescent="0.2">
      <c r="A15" s="155">
        <v>6</v>
      </c>
      <c r="B15" s="811">
        <f>[14]Стоимость!J8</f>
        <v>169474</v>
      </c>
      <c r="C15" s="153">
        <v>31</v>
      </c>
      <c r="D15" s="153"/>
      <c r="E15" s="153"/>
      <c r="F15" s="152">
        <v>12</v>
      </c>
      <c r="G15" s="153"/>
      <c r="H15" s="153"/>
      <c r="I15" s="153"/>
      <c r="J15" s="153"/>
      <c r="K15" s="153"/>
      <c r="L15" s="153"/>
      <c r="M15" s="153"/>
      <c r="N15" s="152"/>
      <c r="O15" s="153"/>
      <c r="P15" s="153">
        <v>21</v>
      </c>
      <c r="Q15" s="153"/>
      <c r="R15" s="153"/>
      <c r="S15" s="153"/>
      <c r="T15" s="153"/>
      <c r="U15" s="152"/>
      <c r="V15" s="153"/>
      <c r="W15" s="153"/>
      <c r="X15" s="153"/>
      <c r="Y15" s="153"/>
      <c r="Z15" s="153"/>
      <c r="AA15" s="153"/>
      <c r="AB15" s="153"/>
      <c r="AC15" s="812">
        <f>AB15*B15</f>
        <v>0</v>
      </c>
      <c r="AD15" s="152"/>
      <c r="AE15" s="813">
        <f>C15+D15+E15+F15+G15+H15+I15+J15+K15+L15+M15+N15+O15+P15+Q15+R15+S15+T15+U15+V15+W15+X15+Y15+Z15+AA15+AB15+AD15</f>
        <v>64</v>
      </c>
      <c r="AF15" s="814"/>
      <c r="AG15" s="813">
        <f>AE15+AF15</f>
        <v>64</v>
      </c>
    </row>
    <row r="16" spans="1:33" s="808" customFormat="1" ht="18.75" customHeight="1" x14ac:dyDescent="0.2">
      <c r="A16" s="155">
        <v>7</v>
      </c>
      <c r="B16" s="811">
        <f>[14]Стоимость!J9</f>
        <v>489920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2"/>
      <c r="O16" s="153"/>
      <c r="P16" s="153"/>
      <c r="Q16" s="153"/>
      <c r="R16" s="153"/>
      <c r="S16" s="153"/>
      <c r="T16" s="153"/>
      <c r="U16" s="152"/>
      <c r="V16" s="153"/>
      <c r="W16" s="153"/>
      <c r="X16" s="153"/>
      <c r="Y16" s="153"/>
      <c r="Z16" s="153"/>
      <c r="AA16" s="153"/>
      <c r="AB16" s="153"/>
      <c r="AC16" s="812">
        <f>AB16*B16</f>
        <v>0</v>
      </c>
      <c r="AD16" s="152"/>
      <c r="AE16" s="813">
        <f>C16+D16+E16+F16+G16+H16+I16+J16+K16+L16+M16+N16+O16+P16+Q16+R16+S16+T16+U16+V16+W16+X16+Y16+Z16+AA16+AB16+AD16</f>
        <v>0</v>
      </c>
      <c r="AF16" s="814"/>
      <c r="AG16" s="813">
        <f>AE16+AF16</f>
        <v>0</v>
      </c>
    </row>
    <row r="17" spans="1:33" s="808" customFormat="1" ht="21.75" customHeight="1" x14ac:dyDescent="0.2">
      <c r="A17" s="847" t="s">
        <v>514</v>
      </c>
      <c r="B17" s="848"/>
      <c r="C17" s="809">
        <f t="shared" ref="C17:AG17" si="4">C18</f>
        <v>0</v>
      </c>
      <c r="D17" s="809">
        <f t="shared" si="4"/>
        <v>0</v>
      </c>
      <c r="E17" s="809">
        <f t="shared" si="4"/>
        <v>0</v>
      </c>
      <c r="F17" s="809">
        <f t="shared" si="4"/>
        <v>4</v>
      </c>
      <c r="G17" s="809">
        <f t="shared" si="4"/>
        <v>0</v>
      </c>
      <c r="H17" s="809">
        <f t="shared" si="4"/>
        <v>0</v>
      </c>
      <c r="I17" s="809">
        <f t="shared" si="4"/>
        <v>0</v>
      </c>
      <c r="J17" s="809">
        <f t="shared" si="4"/>
        <v>0</v>
      </c>
      <c r="K17" s="809">
        <f t="shared" si="4"/>
        <v>0</v>
      </c>
      <c r="L17" s="809">
        <f t="shared" si="4"/>
        <v>0</v>
      </c>
      <c r="M17" s="809">
        <f t="shared" si="4"/>
        <v>0</v>
      </c>
      <c r="N17" s="809">
        <f t="shared" si="4"/>
        <v>0</v>
      </c>
      <c r="O17" s="809">
        <f t="shared" si="4"/>
        <v>0</v>
      </c>
      <c r="P17" s="809">
        <f t="shared" si="4"/>
        <v>0</v>
      </c>
      <c r="Q17" s="809">
        <f t="shared" si="4"/>
        <v>0</v>
      </c>
      <c r="R17" s="809">
        <f t="shared" si="4"/>
        <v>0</v>
      </c>
      <c r="S17" s="809">
        <f t="shared" si="4"/>
        <v>0</v>
      </c>
      <c r="T17" s="809">
        <f t="shared" si="4"/>
        <v>0</v>
      </c>
      <c r="U17" s="809">
        <f t="shared" si="4"/>
        <v>0</v>
      </c>
      <c r="V17" s="809">
        <f t="shared" si="4"/>
        <v>0</v>
      </c>
      <c r="W17" s="809">
        <f t="shared" si="4"/>
        <v>0</v>
      </c>
      <c r="X17" s="809"/>
      <c r="Y17" s="809">
        <f t="shared" si="4"/>
        <v>0</v>
      </c>
      <c r="Z17" s="809">
        <f t="shared" si="4"/>
        <v>0</v>
      </c>
      <c r="AA17" s="809">
        <f t="shared" si="4"/>
        <v>0</v>
      </c>
      <c r="AB17" s="809">
        <f t="shared" si="4"/>
        <v>0</v>
      </c>
      <c r="AC17" s="809">
        <f t="shared" si="4"/>
        <v>0</v>
      </c>
      <c r="AD17" s="809">
        <f t="shared" si="4"/>
        <v>0</v>
      </c>
      <c r="AE17" s="809">
        <f t="shared" si="4"/>
        <v>4</v>
      </c>
      <c r="AF17" s="809">
        <f t="shared" si="4"/>
        <v>0</v>
      </c>
      <c r="AG17" s="809">
        <f t="shared" si="4"/>
        <v>4</v>
      </c>
    </row>
    <row r="18" spans="1:33" s="148" customFormat="1" ht="14.25" customHeight="1" x14ac:dyDescent="0.2">
      <c r="A18" s="155">
        <v>8</v>
      </c>
      <c r="B18" s="811">
        <f>[14]Стоимость!J10</f>
        <v>301178</v>
      </c>
      <c r="C18" s="153"/>
      <c r="D18" s="153"/>
      <c r="E18" s="153"/>
      <c r="F18" s="153">
        <v>4</v>
      </c>
      <c r="G18" s="153"/>
      <c r="H18" s="153"/>
      <c r="I18" s="153"/>
      <c r="J18" s="153"/>
      <c r="K18" s="153"/>
      <c r="L18" s="153"/>
      <c r="M18" s="153"/>
      <c r="N18" s="152"/>
      <c r="O18" s="153"/>
      <c r="P18" s="153"/>
      <c r="Q18" s="153"/>
      <c r="R18" s="153"/>
      <c r="S18" s="153"/>
      <c r="T18" s="153"/>
      <c r="U18" s="152"/>
      <c r="V18" s="153"/>
      <c r="W18" s="153"/>
      <c r="X18" s="152"/>
      <c r="Y18" s="153"/>
      <c r="Z18" s="153"/>
      <c r="AA18" s="153"/>
      <c r="AB18" s="153"/>
      <c r="AC18" s="812">
        <f>AB18*B18</f>
        <v>0</v>
      </c>
      <c r="AD18" s="152"/>
      <c r="AE18" s="813">
        <f>C18+D18+E18+F18+G18+H18+I18+J18+K18+L18+M18+N18+O18+P18+Q18+R18+S18+T18+U18+V18+W18+X18+Y18+Z18+AA18+AB18+AD18</f>
        <v>4</v>
      </c>
      <c r="AF18" s="157"/>
      <c r="AG18" s="152">
        <f>AE18+AF18</f>
        <v>4</v>
      </c>
    </row>
    <row r="19" spans="1:33" s="808" customFormat="1" ht="18" customHeight="1" x14ac:dyDescent="0.2">
      <c r="A19" s="847" t="s">
        <v>515</v>
      </c>
      <c r="B19" s="848"/>
      <c r="C19" s="809">
        <f t="shared" ref="C19:AG19" si="5">C20</f>
        <v>0</v>
      </c>
      <c r="D19" s="809">
        <f t="shared" si="5"/>
        <v>0</v>
      </c>
      <c r="E19" s="809">
        <f t="shared" si="5"/>
        <v>0</v>
      </c>
      <c r="F19" s="809">
        <f t="shared" si="5"/>
        <v>0</v>
      </c>
      <c r="G19" s="809">
        <f t="shared" si="5"/>
        <v>0</v>
      </c>
      <c r="H19" s="809">
        <f t="shared" si="5"/>
        <v>48</v>
      </c>
      <c r="I19" s="809">
        <f t="shared" si="5"/>
        <v>0</v>
      </c>
      <c r="J19" s="809">
        <f t="shared" si="5"/>
        <v>0</v>
      </c>
      <c r="K19" s="809">
        <f t="shared" si="5"/>
        <v>0</v>
      </c>
      <c r="L19" s="809">
        <f t="shared" si="5"/>
        <v>0</v>
      </c>
      <c r="M19" s="809">
        <f t="shared" si="5"/>
        <v>0</v>
      </c>
      <c r="N19" s="809">
        <f t="shared" si="5"/>
        <v>0</v>
      </c>
      <c r="O19" s="809">
        <f t="shared" si="5"/>
        <v>0</v>
      </c>
      <c r="P19" s="809">
        <f t="shared" si="5"/>
        <v>0</v>
      </c>
      <c r="Q19" s="809">
        <f t="shared" si="5"/>
        <v>0</v>
      </c>
      <c r="R19" s="809">
        <f t="shared" si="5"/>
        <v>0</v>
      </c>
      <c r="S19" s="809">
        <f t="shared" si="5"/>
        <v>0</v>
      </c>
      <c r="T19" s="809">
        <f t="shared" si="5"/>
        <v>0</v>
      </c>
      <c r="U19" s="809">
        <f t="shared" si="5"/>
        <v>0</v>
      </c>
      <c r="V19" s="809">
        <f t="shared" si="5"/>
        <v>0</v>
      </c>
      <c r="W19" s="809">
        <f t="shared" si="5"/>
        <v>0</v>
      </c>
      <c r="X19" s="809">
        <f t="shared" si="5"/>
        <v>0</v>
      </c>
      <c r="Y19" s="809">
        <f t="shared" si="5"/>
        <v>0</v>
      </c>
      <c r="Z19" s="809">
        <f t="shared" si="5"/>
        <v>0</v>
      </c>
      <c r="AA19" s="809">
        <f t="shared" si="5"/>
        <v>0</v>
      </c>
      <c r="AB19" s="809">
        <f t="shared" si="5"/>
        <v>0</v>
      </c>
      <c r="AC19" s="809">
        <f t="shared" si="5"/>
        <v>0</v>
      </c>
      <c r="AD19" s="809">
        <f t="shared" si="5"/>
        <v>0</v>
      </c>
      <c r="AE19" s="809">
        <f t="shared" si="5"/>
        <v>48</v>
      </c>
      <c r="AF19" s="809">
        <f t="shared" si="5"/>
        <v>0</v>
      </c>
      <c r="AG19" s="809">
        <f t="shared" si="5"/>
        <v>48</v>
      </c>
    </row>
    <row r="20" spans="1:33" s="808" customFormat="1" ht="15.75" customHeight="1" x14ac:dyDescent="0.2">
      <c r="A20" s="155">
        <v>9</v>
      </c>
      <c r="B20" s="811">
        <f>[14]Стоимость!J11</f>
        <v>114978</v>
      </c>
      <c r="C20" s="153"/>
      <c r="D20" s="153"/>
      <c r="E20" s="153"/>
      <c r="F20" s="153"/>
      <c r="G20" s="153"/>
      <c r="H20" s="153">
        <v>48</v>
      </c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2"/>
      <c r="V20" s="153"/>
      <c r="W20" s="153"/>
      <c r="X20" s="153"/>
      <c r="Y20" s="153"/>
      <c r="Z20" s="153"/>
      <c r="AA20" s="153"/>
      <c r="AB20" s="153"/>
      <c r="AC20" s="812">
        <f>AB20*B20</f>
        <v>0</v>
      </c>
      <c r="AD20" s="152"/>
      <c r="AE20" s="813">
        <f>C20+D20+E20+F20+G20+H20+I20+J20+K20+L20+M20+N20+O20+P20+Q20+R20+S20+T20+U20+V20+W20+X20+Y20+Z20+AA20+AB20+AD20</f>
        <v>48</v>
      </c>
      <c r="AF20" s="814"/>
      <c r="AG20" s="813">
        <f>AE20+AF20</f>
        <v>48</v>
      </c>
    </row>
    <row r="21" spans="1:33" s="808" customFormat="1" ht="17.25" customHeight="1" x14ac:dyDescent="0.2">
      <c r="A21" s="847" t="s">
        <v>516</v>
      </c>
      <c r="B21" s="848"/>
      <c r="C21" s="809">
        <f t="shared" ref="C21:AG21" si="6">C22+C23</f>
        <v>0</v>
      </c>
      <c r="D21" s="809">
        <f t="shared" si="6"/>
        <v>0</v>
      </c>
      <c r="E21" s="809">
        <f t="shared" si="6"/>
        <v>0</v>
      </c>
      <c r="F21" s="809">
        <f t="shared" si="6"/>
        <v>0</v>
      </c>
      <c r="G21" s="809">
        <f t="shared" si="6"/>
        <v>0</v>
      </c>
      <c r="H21" s="809">
        <f t="shared" si="6"/>
        <v>0</v>
      </c>
      <c r="I21" s="809">
        <f t="shared" si="6"/>
        <v>0</v>
      </c>
      <c r="J21" s="809">
        <f t="shared" si="6"/>
        <v>0</v>
      </c>
      <c r="K21" s="809">
        <f t="shared" si="6"/>
        <v>0</v>
      </c>
      <c r="L21" s="809">
        <f t="shared" si="6"/>
        <v>0</v>
      </c>
      <c r="M21" s="809">
        <f t="shared" si="6"/>
        <v>0</v>
      </c>
      <c r="N21" s="809">
        <f t="shared" si="6"/>
        <v>0</v>
      </c>
      <c r="O21" s="809">
        <f t="shared" si="6"/>
        <v>0</v>
      </c>
      <c r="P21" s="809">
        <f t="shared" si="6"/>
        <v>0</v>
      </c>
      <c r="Q21" s="809">
        <f t="shared" si="6"/>
        <v>0</v>
      </c>
      <c r="R21" s="809">
        <f t="shared" si="6"/>
        <v>125</v>
      </c>
      <c r="S21" s="809">
        <f t="shared" si="6"/>
        <v>0</v>
      </c>
      <c r="T21" s="809">
        <f t="shared" si="6"/>
        <v>0</v>
      </c>
      <c r="U21" s="809">
        <f t="shared" si="6"/>
        <v>0</v>
      </c>
      <c r="V21" s="809">
        <f t="shared" si="6"/>
        <v>0</v>
      </c>
      <c r="W21" s="809">
        <f t="shared" si="6"/>
        <v>0</v>
      </c>
      <c r="X21" s="809">
        <f t="shared" si="6"/>
        <v>0</v>
      </c>
      <c r="Y21" s="809">
        <f t="shared" si="6"/>
        <v>0</v>
      </c>
      <c r="Z21" s="809">
        <f t="shared" si="6"/>
        <v>27</v>
      </c>
      <c r="AA21" s="809">
        <f t="shared" si="6"/>
        <v>0</v>
      </c>
      <c r="AB21" s="809">
        <f t="shared" si="6"/>
        <v>0</v>
      </c>
      <c r="AC21" s="809">
        <f t="shared" si="6"/>
        <v>0</v>
      </c>
      <c r="AD21" s="809">
        <f t="shared" si="6"/>
        <v>0</v>
      </c>
      <c r="AE21" s="809">
        <f t="shared" si="6"/>
        <v>152</v>
      </c>
      <c r="AF21" s="809">
        <f t="shared" si="6"/>
        <v>0</v>
      </c>
      <c r="AG21" s="809">
        <f t="shared" si="6"/>
        <v>152</v>
      </c>
    </row>
    <row r="22" spans="1:33" s="808" customFormat="1" ht="14.25" customHeight="1" x14ac:dyDescent="0.2">
      <c r="A22" s="155">
        <v>10</v>
      </c>
      <c r="B22" s="811">
        <f>[14]Стоимость!J12</f>
        <v>613178</v>
      </c>
      <c r="C22" s="153"/>
      <c r="D22" s="153"/>
      <c r="E22" s="153"/>
      <c r="F22" s="153"/>
      <c r="G22" s="153"/>
      <c r="H22" s="156"/>
      <c r="I22" s="153"/>
      <c r="J22" s="153"/>
      <c r="K22" s="153"/>
      <c r="L22" s="156"/>
      <c r="M22" s="156"/>
      <c r="N22" s="153"/>
      <c r="O22" s="156"/>
      <c r="P22" s="156"/>
      <c r="Q22" s="153"/>
      <c r="R22" s="152">
        <v>90</v>
      </c>
      <c r="S22" s="156"/>
      <c r="T22" s="153"/>
      <c r="U22" s="152"/>
      <c r="V22" s="153"/>
      <c r="W22" s="153"/>
      <c r="X22" s="153"/>
      <c r="Y22" s="156"/>
      <c r="Z22" s="153">
        <v>27</v>
      </c>
      <c r="AA22" s="153"/>
      <c r="AB22" s="153"/>
      <c r="AC22" s="812">
        <f>AB22*B22</f>
        <v>0</v>
      </c>
      <c r="AD22" s="152"/>
      <c r="AE22" s="813">
        <f>C22+D22+E22+F22+G22+H22+I22+J22+K22+L22+M22+N22+O22+P22+Q22+R22+S22+T22+U22+V22+W22+X22+Y22+Z22+AA22+AB22+AD22</f>
        <v>117</v>
      </c>
      <c r="AF22" s="814"/>
      <c r="AG22" s="813">
        <f>AE22+AF22</f>
        <v>117</v>
      </c>
    </row>
    <row r="23" spans="1:33" s="808" customFormat="1" ht="14.25" customHeight="1" x14ac:dyDescent="0.2">
      <c r="A23" s="155">
        <v>11</v>
      </c>
      <c r="B23" s="811">
        <f>[14]Стоимость!J13</f>
        <v>1770709</v>
      </c>
      <c r="C23" s="158"/>
      <c r="D23" s="158"/>
      <c r="E23" s="158"/>
      <c r="F23" s="158"/>
      <c r="G23" s="158"/>
      <c r="H23" s="159"/>
      <c r="I23" s="158"/>
      <c r="J23" s="158"/>
      <c r="K23" s="158"/>
      <c r="L23" s="159"/>
      <c r="M23" s="159"/>
      <c r="N23" s="153"/>
      <c r="O23" s="159"/>
      <c r="P23" s="159"/>
      <c r="Q23" s="158"/>
      <c r="R23" s="152">
        <v>35</v>
      </c>
      <c r="S23" s="159"/>
      <c r="T23" s="158"/>
      <c r="U23" s="152"/>
      <c r="V23" s="153"/>
      <c r="W23" s="153"/>
      <c r="X23" s="153"/>
      <c r="Y23" s="156"/>
      <c r="Z23" s="153"/>
      <c r="AA23" s="158"/>
      <c r="AB23" s="158"/>
      <c r="AC23" s="812">
        <f>AB23*B23</f>
        <v>0</v>
      </c>
      <c r="AD23" s="152"/>
      <c r="AE23" s="813">
        <f>C23+D23+E23+F23+G23+H23+I23+J23+K23+L23+M23+N23+O23+P23+Q23+R23+S23+T23+U23+V23+W23+X23+Y23+Z23+AA23+AB23+AD23</f>
        <v>35</v>
      </c>
      <c r="AF23" s="814"/>
      <c r="AG23" s="813">
        <f>AE23+AF23</f>
        <v>35</v>
      </c>
    </row>
    <row r="24" spans="1:33" s="148" customFormat="1" ht="21" customHeight="1" x14ac:dyDescent="0.2">
      <c r="A24" s="847" t="s">
        <v>517</v>
      </c>
      <c r="B24" s="848"/>
      <c r="C24" s="809">
        <f t="shared" ref="C24:AG24" si="7">SUM(C25:C30)</f>
        <v>286</v>
      </c>
      <c r="D24" s="809">
        <f t="shared" si="7"/>
        <v>0</v>
      </c>
      <c r="E24" s="809">
        <f t="shared" si="7"/>
        <v>0</v>
      </c>
      <c r="F24" s="809">
        <f t="shared" si="7"/>
        <v>138</v>
      </c>
      <c r="G24" s="809">
        <f t="shared" si="7"/>
        <v>0</v>
      </c>
      <c r="H24" s="809">
        <f t="shared" si="7"/>
        <v>0</v>
      </c>
      <c r="I24" s="809">
        <f t="shared" si="7"/>
        <v>0</v>
      </c>
      <c r="J24" s="809">
        <f t="shared" si="7"/>
        <v>93</v>
      </c>
      <c r="K24" s="809">
        <f t="shared" si="7"/>
        <v>124</v>
      </c>
      <c r="L24" s="809">
        <f t="shared" si="7"/>
        <v>0</v>
      </c>
      <c r="M24" s="809">
        <f t="shared" si="7"/>
        <v>0</v>
      </c>
      <c r="N24" s="809">
        <f t="shared" si="7"/>
        <v>0</v>
      </c>
      <c r="O24" s="809">
        <f t="shared" si="7"/>
        <v>0</v>
      </c>
      <c r="P24" s="809">
        <f t="shared" si="7"/>
        <v>0</v>
      </c>
      <c r="Q24" s="809">
        <f t="shared" si="7"/>
        <v>17</v>
      </c>
      <c r="R24" s="809">
        <f t="shared" si="7"/>
        <v>0</v>
      </c>
      <c r="S24" s="809">
        <f t="shared" si="7"/>
        <v>0</v>
      </c>
      <c r="T24" s="809">
        <f t="shared" si="7"/>
        <v>3</v>
      </c>
      <c r="U24" s="809">
        <f t="shared" si="7"/>
        <v>0</v>
      </c>
      <c r="V24" s="809">
        <f t="shared" si="7"/>
        <v>19</v>
      </c>
      <c r="W24" s="809">
        <f t="shared" si="7"/>
        <v>0</v>
      </c>
      <c r="X24" s="809">
        <f t="shared" si="7"/>
        <v>0</v>
      </c>
      <c r="Y24" s="809">
        <f t="shared" si="7"/>
        <v>0</v>
      </c>
      <c r="Z24" s="809">
        <f t="shared" si="7"/>
        <v>159</v>
      </c>
      <c r="AA24" s="809">
        <f t="shared" si="7"/>
        <v>0</v>
      </c>
      <c r="AB24" s="809">
        <f t="shared" si="7"/>
        <v>0</v>
      </c>
      <c r="AC24" s="809">
        <f t="shared" si="7"/>
        <v>0</v>
      </c>
      <c r="AD24" s="809">
        <f t="shared" si="7"/>
        <v>0</v>
      </c>
      <c r="AE24" s="809">
        <f t="shared" si="7"/>
        <v>839</v>
      </c>
      <c r="AF24" s="809">
        <f t="shared" si="7"/>
        <v>0</v>
      </c>
      <c r="AG24" s="809">
        <f t="shared" si="7"/>
        <v>839</v>
      </c>
    </row>
    <row r="25" spans="1:33" s="808" customFormat="1" ht="14.25" customHeight="1" x14ac:dyDescent="0.2">
      <c r="A25" s="155">
        <v>12</v>
      </c>
      <c r="B25" s="811">
        <f>[14]Стоимость!J14</f>
        <v>182583</v>
      </c>
      <c r="C25" s="152">
        <v>254</v>
      </c>
      <c r="D25" s="152"/>
      <c r="E25" s="152"/>
      <c r="F25" s="152">
        <v>83</v>
      </c>
      <c r="G25" s="152"/>
      <c r="H25" s="152"/>
      <c r="I25" s="152"/>
      <c r="J25" s="152">
        <f>46+34</f>
        <v>80</v>
      </c>
      <c r="K25" s="816">
        <v>108</v>
      </c>
      <c r="L25" s="152"/>
      <c r="M25" s="152"/>
      <c r="N25" s="153">
        <v>0</v>
      </c>
      <c r="O25" s="152"/>
      <c r="P25" s="152"/>
      <c r="Q25" s="152">
        <v>4</v>
      </c>
      <c r="R25" s="152"/>
      <c r="S25" s="152"/>
      <c r="T25" s="153">
        <v>1</v>
      </c>
      <c r="U25" s="153"/>
      <c r="V25" s="153">
        <v>3</v>
      </c>
      <c r="W25" s="153"/>
      <c r="X25" s="153"/>
      <c r="Y25" s="153"/>
      <c r="Z25" s="153">
        <v>137</v>
      </c>
      <c r="AA25" s="153"/>
      <c r="AB25" s="152"/>
      <c r="AC25" s="812">
        <f t="shared" ref="AC25:AC30" si="8">AB25*B25</f>
        <v>0</v>
      </c>
      <c r="AD25" s="152"/>
      <c r="AE25" s="813">
        <f t="shared" ref="AE25:AE30" si="9">C25+D25+E25+F25+G25+H25+I25+J25+K25+L25+M25+N25+O25+P25+Q25+R25+S25+T25+U25+V25+W25+X25+Y25+Z25+AA25+AB25+AD25</f>
        <v>670</v>
      </c>
      <c r="AF25" s="814"/>
      <c r="AG25" s="813">
        <f t="shared" ref="AG25:AG30" si="10">AE25+AF25</f>
        <v>670</v>
      </c>
    </row>
    <row r="26" spans="1:33" s="808" customFormat="1" ht="14.25" customHeight="1" x14ac:dyDescent="0.2">
      <c r="A26" s="155">
        <v>13</v>
      </c>
      <c r="B26" s="811">
        <f>[14]Стоимость!J15</f>
        <v>278284</v>
      </c>
      <c r="C26" s="152"/>
      <c r="D26" s="152"/>
      <c r="E26" s="152"/>
      <c r="F26" s="152"/>
      <c r="G26" s="152"/>
      <c r="H26" s="160"/>
      <c r="I26" s="152"/>
      <c r="J26" s="152"/>
      <c r="K26" s="816"/>
      <c r="L26" s="160"/>
      <c r="M26" s="160"/>
      <c r="N26" s="153"/>
      <c r="O26" s="160"/>
      <c r="P26" s="160"/>
      <c r="Q26" s="152"/>
      <c r="R26" s="152"/>
      <c r="S26" s="160"/>
      <c r="T26" s="153">
        <v>1</v>
      </c>
      <c r="U26" s="153"/>
      <c r="V26" s="153"/>
      <c r="W26" s="153"/>
      <c r="X26" s="153"/>
      <c r="Y26" s="156"/>
      <c r="Z26" s="153"/>
      <c r="AA26" s="153"/>
      <c r="AB26" s="152"/>
      <c r="AC26" s="812">
        <f t="shared" si="8"/>
        <v>0</v>
      </c>
      <c r="AD26" s="152"/>
      <c r="AE26" s="813">
        <f t="shared" si="9"/>
        <v>1</v>
      </c>
      <c r="AF26" s="814"/>
      <c r="AG26" s="813">
        <f t="shared" si="10"/>
        <v>1</v>
      </c>
    </row>
    <row r="27" spans="1:33" s="808" customFormat="1" ht="14.25" customHeight="1" x14ac:dyDescent="0.2">
      <c r="A27" s="155">
        <v>14</v>
      </c>
      <c r="B27" s="811">
        <f>[14]Стоимость!J16</f>
        <v>177718</v>
      </c>
      <c r="C27" s="153">
        <v>15</v>
      </c>
      <c r="D27" s="153"/>
      <c r="E27" s="153"/>
      <c r="F27" s="153"/>
      <c r="G27" s="153"/>
      <c r="H27" s="156"/>
      <c r="I27" s="153"/>
      <c r="J27" s="153">
        <v>3</v>
      </c>
      <c r="K27" s="816">
        <v>6</v>
      </c>
      <c r="L27" s="156"/>
      <c r="M27" s="156"/>
      <c r="N27" s="153"/>
      <c r="O27" s="156"/>
      <c r="P27" s="156"/>
      <c r="Q27" s="153"/>
      <c r="R27" s="153"/>
      <c r="S27" s="156"/>
      <c r="T27" s="153"/>
      <c r="U27" s="153"/>
      <c r="V27" s="153"/>
      <c r="W27" s="153"/>
      <c r="X27" s="153"/>
      <c r="Y27" s="156"/>
      <c r="Z27" s="153">
        <v>10</v>
      </c>
      <c r="AA27" s="153"/>
      <c r="AB27" s="153"/>
      <c r="AC27" s="812">
        <f t="shared" si="8"/>
        <v>0</v>
      </c>
      <c r="AD27" s="152"/>
      <c r="AE27" s="813">
        <f t="shared" si="9"/>
        <v>34</v>
      </c>
      <c r="AF27" s="814"/>
      <c r="AG27" s="813">
        <f t="shared" si="10"/>
        <v>34</v>
      </c>
    </row>
    <row r="28" spans="1:33" s="808" customFormat="1" ht="12.75" customHeight="1" x14ac:dyDescent="0.2">
      <c r="A28" s="155">
        <v>15</v>
      </c>
      <c r="B28" s="811">
        <f>[14]Стоимость!J17</f>
        <v>255362</v>
      </c>
      <c r="C28" s="158"/>
      <c r="D28" s="158"/>
      <c r="E28" s="158"/>
      <c r="F28" s="158">
        <v>55</v>
      </c>
      <c r="G28" s="158"/>
      <c r="H28" s="159"/>
      <c r="I28" s="158"/>
      <c r="J28" s="158"/>
      <c r="K28" s="816"/>
      <c r="L28" s="159"/>
      <c r="M28" s="159"/>
      <c r="N28" s="153"/>
      <c r="O28" s="159"/>
      <c r="P28" s="159"/>
      <c r="Q28" s="153">
        <v>13</v>
      </c>
      <c r="R28" s="158"/>
      <c r="S28" s="159"/>
      <c r="T28" s="153"/>
      <c r="U28" s="153"/>
      <c r="V28" s="153"/>
      <c r="W28" s="153"/>
      <c r="X28" s="153"/>
      <c r="Y28" s="156"/>
      <c r="Z28" s="153"/>
      <c r="AA28" s="153"/>
      <c r="AB28" s="158"/>
      <c r="AC28" s="812">
        <f t="shared" si="8"/>
        <v>0</v>
      </c>
      <c r="AD28" s="152"/>
      <c r="AE28" s="813">
        <f t="shared" si="9"/>
        <v>68</v>
      </c>
      <c r="AF28" s="814"/>
      <c r="AG28" s="813">
        <f t="shared" si="10"/>
        <v>68</v>
      </c>
    </row>
    <row r="29" spans="1:33" s="808" customFormat="1" ht="14.25" customHeight="1" x14ac:dyDescent="0.2">
      <c r="A29" s="155">
        <v>16</v>
      </c>
      <c r="B29" s="811">
        <f>[14]Стоимость!J18</f>
        <v>333982</v>
      </c>
      <c r="C29" s="153">
        <v>12</v>
      </c>
      <c r="D29" s="153"/>
      <c r="E29" s="153"/>
      <c r="F29" s="153"/>
      <c r="G29" s="153"/>
      <c r="H29" s="156"/>
      <c r="I29" s="153"/>
      <c r="J29" s="153"/>
      <c r="K29" s="816"/>
      <c r="L29" s="156"/>
      <c r="M29" s="156"/>
      <c r="N29" s="153"/>
      <c r="O29" s="156"/>
      <c r="P29" s="156"/>
      <c r="Q29" s="153"/>
      <c r="R29" s="153"/>
      <c r="S29" s="156"/>
      <c r="T29" s="153">
        <v>1</v>
      </c>
      <c r="U29" s="153"/>
      <c r="V29" s="153">
        <v>16</v>
      </c>
      <c r="W29" s="153"/>
      <c r="X29" s="153"/>
      <c r="Y29" s="156"/>
      <c r="Z29" s="153">
        <v>12</v>
      </c>
      <c r="AA29" s="153"/>
      <c r="AB29" s="153"/>
      <c r="AC29" s="812">
        <f t="shared" si="8"/>
        <v>0</v>
      </c>
      <c r="AD29" s="152"/>
      <c r="AE29" s="813">
        <f t="shared" si="9"/>
        <v>41</v>
      </c>
      <c r="AF29" s="814"/>
      <c r="AG29" s="813">
        <f t="shared" si="10"/>
        <v>41</v>
      </c>
    </row>
    <row r="30" spans="1:33" s="808" customFormat="1" ht="14.25" customHeight="1" x14ac:dyDescent="0.2">
      <c r="A30" s="155">
        <v>17</v>
      </c>
      <c r="B30" s="811">
        <f>[14]Стоимость!J19</f>
        <v>446838</v>
      </c>
      <c r="C30" s="158">
        <v>5</v>
      </c>
      <c r="D30" s="158"/>
      <c r="E30" s="158"/>
      <c r="F30" s="158"/>
      <c r="G30" s="158"/>
      <c r="H30" s="159"/>
      <c r="I30" s="158"/>
      <c r="J30" s="817">
        <v>10</v>
      </c>
      <c r="K30" s="816">
        <v>10</v>
      </c>
      <c r="L30" s="159"/>
      <c r="M30" s="159"/>
      <c r="N30" s="158"/>
      <c r="O30" s="159"/>
      <c r="P30" s="159"/>
      <c r="Q30" s="158"/>
      <c r="R30" s="158"/>
      <c r="S30" s="159"/>
      <c r="T30" s="153"/>
      <c r="U30" s="153"/>
      <c r="V30" s="153"/>
      <c r="W30" s="153"/>
      <c r="X30" s="153"/>
      <c r="Y30" s="156"/>
      <c r="Z30" s="153"/>
      <c r="AA30" s="153"/>
      <c r="AB30" s="158"/>
      <c r="AC30" s="812">
        <f t="shared" si="8"/>
        <v>0</v>
      </c>
      <c r="AD30" s="152"/>
      <c r="AE30" s="813">
        <f t="shared" si="9"/>
        <v>25</v>
      </c>
      <c r="AF30" s="814"/>
      <c r="AG30" s="813">
        <f t="shared" si="10"/>
        <v>25</v>
      </c>
    </row>
    <row r="31" spans="1:33" s="148" customFormat="1" ht="18.75" customHeight="1" x14ac:dyDescent="0.2">
      <c r="A31" s="847" t="s">
        <v>518</v>
      </c>
      <c r="B31" s="848"/>
      <c r="C31" s="809">
        <f t="shared" ref="C31:AG31" si="11">SUM(C32:C33)</f>
        <v>160</v>
      </c>
      <c r="D31" s="809">
        <f t="shared" si="11"/>
        <v>0</v>
      </c>
      <c r="E31" s="809">
        <f t="shared" si="11"/>
        <v>0</v>
      </c>
      <c r="F31" s="809">
        <f t="shared" si="11"/>
        <v>210</v>
      </c>
      <c r="G31" s="809">
        <f t="shared" si="11"/>
        <v>600</v>
      </c>
      <c r="H31" s="809">
        <f t="shared" si="11"/>
        <v>0</v>
      </c>
      <c r="I31" s="809">
        <f t="shared" si="11"/>
        <v>0</v>
      </c>
      <c r="J31" s="809">
        <f t="shared" si="11"/>
        <v>0</v>
      </c>
      <c r="K31" s="809">
        <f t="shared" si="11"/>
        <v>0</v>
      </c>
      <c r="L31" s="809">
        <f t="shared" si="11"/>
        <v>0</v>
      </c>
      <c r="M31" s="809">
        <f t="shared" si="11"/>
        <v>0</v>
      </c>
      <c r="N31" s="809">
        <f t="shared" si="11"/>
        <v>0</v>
      </c>
      <c r="O31" s="809">
        <f t="shared" si="11"/>
        <v>0</v>
      </c>
      <c r="P31" s="809">
        <f t="shared" si="11"/>
        <v>0</v>
      </c>
      <c r="Q31" s="809">
        <f t="shared" si="11"/>
        <v>70</v>
      </c>
      <c r="R31" s="809">
        <f t="shared" si="11"/>
        <v>0</v>
      </c>
      <c r="S31" s="809">
        <f t="shared" si="11"/>
        <v>80</v>
      </c>
      <c r="T31" s="809">
        <f t="shared" si="11"/>
        <v>0</v>
      </c>
      <c r="U31" s="809">
        <f t="shared" si="11"/>
        <v>0</v>
      </c>
      <c r="V31" s="809">
        <f t="shared" si="11"/>
        <v>0</v>
      </c>
      <c r="W31" s="809">
        <f t="shared" si="11"/>
        <v>0</v>
      </c>
      <c r="X31" s="809">
        <f t="shared" si="11"/>
        <v>0</v>
      </c>
      <c r="Y31" s="809">
        <f t="shared" si="11"/>
        <v>0</v>
      </c>
      <c r="Z31" s="809">
        <f t="shared" si="11"/>
        <v>0</v>
      </c>
      <c r="AA31" s="809">
        <f t="shared" si="11"/>
        <v>0</v>
      </c>
      <c r="AB31" s="809">
        <f t="shared" si="11"/>
        <v>0</v>
      </c>
      <c r="AC31" s="809">
        <f t="shared" si="11"/>
        <v>0</v>
      </c>
      <c r="AD31" s="809">
        <f t="shared" si="11"/>
        <v>0</v>
      </c>
      <c r="AE31" s="809">
        <f t="shared" si="11"/>
        <v>1120</v>
      </c>
      <c r="AF31" s="809">
        <f t="shared" si="11"/>
        <v>0</v>
      </c>
      <c r="AG31" s="809">
        <f t="shared" si="11"/>
        <v>1120</v>
      </c>
    </row>
    <row r="32" spans="1:33" s="808" customFormat="1" ht="14.25" customHeight="1" x14ac:dyDescent="0.2">
      <c r="A32" s="155">
        <v>18</v>
      </c>
      <c r="B32" s="811">
        <f>[14]Стоимость!J20</f>
        <v>280090</v>
      </c>
      <c r="C32" s="152">
        <v>130</v>
      </c>
      <c r="D32" s="152"/>
      <c r="E32" s="152"/>
      <c r="F32" s="818">
        <v>160</v>
      </c>
      <c r="G32" s="152">
        <v>500</v>
      </c>
      <c r="H32" s="152"/>
      <c r="I32" s="152"/>
      <c r="J32" s="152"/>
      <c r="K32" s="152"/>
      <c r="L32" s="152"/>
      <c r="M32" s="152"/>
      <c r="N32" s="152"/>
      <c r="O32" s="152"/>
      <c r="P32" s="152"/>
      <c r="Q32" s="152">
        <v>40</v>
      </c>
      <c r="R32" s="152"/>
      <c r="S32" s="152">
        <v>70</v>
      </c>
      <c r="T32" s="152"/>
      <c r="U32" s="152"/>
      <c r="V32" s="152"/>
      <c r="W32" s="152"/>
      <c r="X32" s="152"/>
      <c r="Y32" s="152"/>
      <c r="Z32" s="152"/>
      <c r="AA32" s="152"/>
      <c r="AB32" s="818"/>
      <c r="AC32" s="812">
        <f>AB32*B32</f>
        <v>0</v>
      </c>
      <c r="AD32" s="152"/>
      <c r="AE32" s="813">
        <f>C32+D32+E32+F32+G32+H32+I32+J32+K32+L32+M32+N32+O32+P32+Q32+R32+S32+T32+U32+V32+W32+X32+Y32+Z32+AA32+AB32+AD32</f>
        <v>900</v>
      </c>
      <c r="AF32" s="814"/>
      <c r="AG32" s="813">
        <f>AE32+AF32</f>
        <v>900</v>
      </c>
    </row>
    <row r="33" spans="1:33" s="808" customFormat="1" ht="14.25" customHeight="1" x14ac:dyDescent="0.2">
      <c r="A33" s="155">
        <v>19</v>
      </c>
      <c r="B33" s="811">
        <f>[14]Стоимость!J21</f>
        <v>572923</v>
      </c>
      <c r="C33" s="152">
        <v>30</v>
      </c>
      <c r="D33" s="152"/>
      <c r="E33" s="152"/>
      <c r="F33" s="152">
        <v>50</v>
      </c>
      <c r="G33" s="152">
        <v>100</v>
      </c>
      <c r="H33" s="152"/>
      <c r="I33" s="152"/>
      <c r="J33" s="152"/>
      <c r="K33" s="152"/>
      <c r="L33" s="152"/>
      <c r="M33" s="152"/>
      <c r="N33" s="152"/>
      <c r="O33" s="152"/>
      <c r="P33" s="152"/>
      <c r="Q33" s="152">
        <v>30</v>
      </c>
      <c r="R33" s="152"/>
      <c r="S33" s="152">
        <v>10</v>
      </c>
      <c r="T33" s="152"/>
      <c r="U33" s="152"/>
      <c r="V33" s="152"/>
      <c r="W33" s="152"/>
      <c r="X33" s="152"/>
      <c r="Y33" s="152"/>
      <c r="Z33" s="152"/>
      <c r="AA33" s="152"/>
      <c r="AB33" s="152"/>
      <c r="AC33" s="812">
        <f>AB33*B33</f>
        <v>0</v>
      </c>
      <c r="AD33" s="152"/>
      <c r="AE33" s="813">
        <f>C33+D33+E33+F33+G33+H33+I33+J33+K33+L33+M33+N33+O33+P33+Q33+R33+S33+T33+U33+V33+W33+X33+Y33+Z33+AA33+AB33+AD33</f>
        <v>220</v>
      </c>
      <c r="AF33" s="814"/>
      <c r="AG33" s="813">
        <f>AE33+AF33</f>
        <v>220</v>
      </c>
    </row>
    <row r="34" spans="1:33" s="148" customFormat="1" ht="18.75" customHeight="1" x14ac:dyDescent="0.2">
      <c r="A34" s="847" t="s">
        <v>519</v>
      </c>
      <c r="B34" s="848"/>
      <c r="C34" s="809">
        <f t="shared" ref="C34:AG34" si="12">SUM(C35:C40)</f>
        <v>270</v>
      </c>
      <c r="D34" s="809">
        <f t="shared" si="12"/>
        <v>1687</v>
      </c>
      <c r="E34" s="809">
        <f t="shared" si="12"/>
        <v>0</v>
      </c>
      <c r="F34" s="809">
        <f t="shared" si="12"/>
        <v>99</v>
      </c>
      <c r="G34" s="809">
        <f t="shared" si="12"/>
        <v>0</v>
      </c>
      <c r="H34" s="809">
        <f t="shared" si="12"/>
        <v>0</v>
      </c>
      <c r="I34" s="809">
        <f t="shared" si="12"/>
        <v>0</v>
      </c>
      <c r="J34" s="809">
        <f t="shared" si="12"/>
        <v>0</v>
      </c>
      <c r="K34" s="809">
        <f t="shared" si="12"/>
        <v>0</v>
      </c>
      <c r="L34" s="809">
        <f t="shared" si="12"/>
        <v>0</v>
      </c>
      <c r="M34" s="809">
        <f t="shared" si="12"/>
        <v>0</v>
      </c>
      <c r="N34" s="809">
        <f t="shared" si="12"/>
        <v>0</v>
      </c>
      <c r="O34" s="809">
        <f t="shared" si="12"/>
        <v>0</v>
      </c>
      <c r="P34" s="809">
        <f t="shared" si="12"/>
        <v>0</v>
      </c>
      <c r="Q34" s="809">
        <f t="shared" si="12"/>
        <v>0</v>
      </c>
      <c r="R34" s="809">
        <f t="shared" si="12"/>
        <v>0</v>
      </c>
      <c r="S34" s="809">
        <f t="shared" si="12"/>
        <v>0</v>
      </c>
      <c r="T34" s="809">
        <f t="shared" si="12"/>
        <v>0</v>
      </c>
      <c r="U34" s="809">
        <f t="shared" si="12"/>
        <v>0</v>
      </c>
      <c r="V34" s="809">
        <f t="shared" si="12"/>
        <v>0</v>
      </c>
      <c r="W34" s="809">
        <f t="shared" si="12"/>
        <v>0</v>
      </c>
      <c r="X34" s="809">
        <f t="shared" si="12"/>
        <v>10</v>
      </c>
      <c r="Y34" s="809">
        <f t="shared" si="12"/>
        <v>0</v>
      </c>
      <c r="Z34" s="809">
        <f t="shared" si="12"/>
        <v>145</v>
      </c>
      <c r="AA34" s="809">
        <f t="shared" si="12"/>
        <v>0</v>
      </c>
      <c r="AB34" s="809">
        <f t="shared" si="12"/>
        <v>0</v>
      </c>
      <c r="AC34" s="809">
        <f t="shared" si="12"/>
        <v>0</v>
      </c>
      <c r="AD34" s="809">
        <f t="shared" si="12"/>
        <v>0</v>
      </c>
      <c r="AE34" s="809">
        <f t="shared" si="12"/>
        <v>2211</v>
      </c>
      <c r="AF34" s="809">
        <f t="shared" si="12"/>
        <v>0</v>
      </c>
      <c r="AG34" s="809">
        <f t="shared" si="12"/>
        <v>2211</v>
      </c>
    </row>
    <row r="35" spans="1:33" s="808" customFormat="1" ht="14.25" customHeight="1" x14ac:dyDescent="0.2">
      <c r="A35" s="155">
        <v>20</v>
      </c>
      <c r="B35" s="811">
        <f>[14]Стоимость!J22</f>
        <v>133271</v>
      </c>
      <c r="C35" s="153">
        <v>120</v>
      </c>
      <c r="D35" s="153">
        <f>1267</f>
        <v>1267</v>
      </c>
      <c r="E35" s="153"/>
      <c r="F35" s="153">
        <v>2</v>
      </c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>
        <v>10</v>
      </c>
      <c r="Y35" s="153"/>
      <c r="Z35" s="153">
        <v>145</v>
      </c>
      <c r="AA35" s="153"/>
      <c r="AB35" s="153"/>
      <c r="AC35" s="819">
        <f t="shared" ref="AC35:AC40" si="13">AB35*B35</f>
        <v>0</v>
      </c>
      <c r="AD35" s="153"/>
      <c r="AE35" s="813">
        <f t="shared" ref="AE35:AE40" si="14">C35+D35+E35+F35+G35+H35+I35+J35+K35+L35+M35+N35+O35+P35+Q35+R35+S35+T35+U35+V35+W35+X35+Y35+Z35+AA35+AB35+AD35</f>
        <v>1544</v>
      </c>
      <c r="AF35" s="814"/>
      <c r="AG35" s="813">
        <f t="shared" ref="AG35:AG40" si="15">AE35+AF35</f>
        <v>1544</v>
      </c>
    </row>
    <row r="36" spans="1:33" s="808" customFormat="1" ht="14.25" customHeight="1" x14ac:dyDescent="0.2">
      <c r="A36" s="155">
        <v>21</v>
      </c>
      <c r="B36" s="811">
        <f>[14]Стоимость!J23</f>
        <v>115040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819">
        <f t="shared" si="13"/>
        <v>0</v>
      </c>
      <c r="AD36" s="153"/>
      <c r="AE36" s="813">
        <f t="shared" si="14"/>
        <v>0</v>
      </c>
      <c r="AF36" s="814"/>
      <c r="AG36" s="813">
        <f t="shared" si="15"/>
        <v>0</v>
      </c>
    </row>
    <row r="37" spans="1:33" s="808" customFormat="1" ht="14.25" customHeight="1" x14ac:dyDescent="0.2">
      <c r="A37" s="155">
        <v>22</v>
      </c>
      <c r="B37" s="811">
        <f>[14]Стоимость!J24</f>
        <v>153773</v>
      </c>
      <c r="C37" s="153">
        <v>150</v>
      </c>
      <c r="D37" s="153">
        <v>250</v>
      </c>
      <c r="E37" s="153"/>
      <c r="F37" s="153">
        <v>97</v>
      </c>
      <c r="G37" s="153"/>
      <c r="H37" s="156"/>
      <c r="I37" s="153"/>
      <c r="J37" s="153"/>
      <c r="K37" s="153"/>
      <c r="L37" s="153"/>
      <c r="M37" s="156"/>
      <c r="N37" s="153"/>
      <c r="O37" s="156"/>
      <c r="P37" s="156"/>
      <c r="Q37" s="153"/>
      <c r="R37" s="153"/>
      <c r="S37" s="156"/>
      <c r="T37" s="153"/>
      <c r="U37" s="153"/>
      <c r="V37" s="153"/>
      <c r="W37" s="153"/>
      <c r="X37" s="153"/>
      <c r="Y37" s="156"/>
      <c r="Z37" s="153"/>
      <c r="AA37" s="153"/>
      <c r="AB37" s="153"/>
      <c r="AC37" s="819">
        <f t="shared" si="13"/>
        <v>0</v>
      </c>
      <c r="AD37" s="153"/>
      <c r="AE37" s="813">
        <f t="shared" si="14"/>
        <v>497</v>
      </c>
      <c r="AF37" s="814"/>
      <c r="AG37" s="813">
        <f t="shared" si="15"/>
        <v>497</v>
      </c>
    </row>
    <row r="38" spans="1:33" s="808" customFormat="1" ht="14.25" customHeight="1" x14ac:dyDescent="0.2">
      <c r="A38" s="155">
        <v>23</v>
      </c>
      <c r="B38" s="811">
        <f>[14]Стоимость!J25</f>
        <v>81750</v>
      </c>
      <c r="C38" s="153"/>
      <c r="D38" s="153">
        <v>10</v>
      </c>
      <c r="E38" s="153"/>
      <c r="F38" s="153"/>
      <c r="G38" s="153"/>
      <c r="H38" s="156"/>
      <c r="I38" s="153"/>
      <c r="J38" s="153"/>
      <c r="K38" s="153"/>
      <c r="L38" s="153"/>
      <c r="M38" s="156"/>
      <c r="N38" s="153"/>
      <c r="O38" s="156"/>
      <c r="P38" s="156"/>
      <c r="Q38" s="153"/>
      <c r="R38" s="153"/>
      <c r="S38" s="156"/>
      <c r="T38" s="153"/>
      <c r="U38" s="153"/>
      <c r="V38" s="153"/>
      <c r="W38" s="153"/>
      <c r="X38" s="153"/>
      <c r="Y38" s="156"/>
      <c r="Z38" s="153"/>
      <c r="AA38" s="153"/>
      <c r="AB38" s="153"/>
      <c r="AC38" s="819">
        <f t="shared" si="13"/>
        <v>0</v>
      </c>
      <c r="AD38" s="153"/>
      <c r="AE38" s="813">
        <f t="shared" si="14"/>
        <v>10</v>
      </c>
      <c r="AF38" s="814"/>
      <c r="AG38" s="813">
        <f t="shared" si="15"/>
        <v>10</v>
      </c>
    </row>
    <row r="39" spans="1:33" s="808" customFormat="1" ht="14.25" customHeight="1" x14ac:dyDescent="0.2">
      <c r="A39" s="155">
        <v>24</v>
      </c>
      <c r="B39" s="811">
        <f>[14]Стоимость!J26</f>
        <v>184807</v>
      </c>
      <c r="C39" s="153"/>
      <c r="D39" s="153">
        <v>160</v>
      </c>
      <c r="E39" s="153"/>
      <c r="F39" s="153"/>
      <c r="G39" s="153"/>
      <c r="H39" s="156"/>
      <c r="I39" s="153"/>
      <c r="J39" s="153"/>
      <c r="K39" s="153"/>
      <c r="L39" s="153"/>
      <c r="M39" s="156"/>
      <c r="N39" s="153"/>
      <c r="O39" s="156"/>
      <c r="P39" s="156"/>
      <c r="Q39" s="153"/>
      <c r="R39" s="153"/>
      <c r="S39" s="156"/>
      <c r="T39" s="153"/>
      <c r="U39" s="153"/>
      <c r="V39" s="153"/>
      <c r="W39" s="153"/>
      <c r="X39" s="153"/>
      <c r="Y39" s="156"/>
      <c r="Z39" s="153"/>
      <c r="AA39" s="153"/>
      <c r="AB39" s="153"/>
      <c r="AC39" s="819">
        <f t="shared" si="13"/>
        <v>0</v>
      </c>
      <c r="AD39" s="153"/>
      <c r="AE39" s="813">
        <f t="shared" si="14"/>
        <v>160</v>
      </c>
      <c r="AF39" s="814"/>
      <c r="AG39" s="813">
        <f t="shared" si="15"/>
        <v>160</v>
      </c>
    </row>
    <row r="40" spans="1:33" s="808" customFormat="1" ht="14.25" customHeight="1" x14ac:dyDescent="0.2">
      <c r="A40" s="155">
        <v>25</v>
      </c>
      <c r="B40" s="811">
        <f>[14]Стоимость!J27</f>
        <v>245883</v>
      </c>
      <c r="C40" s="153"/>
      <c r="D40" s="153"/>
      <c r="E40" s="153"/>
      <c r="F40" s="153"/>
      <c r="G40" s="153"/>
      <c r="H40" s="156"/>
      <c r="I40" s="153"/>
      <c r="J40" s="153"/>
      <c r="K40" s="153"/>
      <c r="L40" s="153"/>
      <c r="M40" s="156"/>
      <c r="N40" s="153"/>
      <c r="O40" s="156"/>
      <c r="P40" s="156"/>
      <c r="Q40" s="153"/>
      <c r="R40" s="153"/>
      <c r="S40" s="156"/>
      <c r="T40" s="153"/>
      <c r="U40" s="153"/>
      <c r="V40" s="153"/>
      <c r="W40" s="153"/>
      <c r="X40" s="153"/>
      <c r="Y40" s="156"/>
      <c r="Z40" s="153"/>
      <c r="AA40" s="153"/>
      <c r="AB40" s="153"/>
      <c r="AC40" s="819">
        <f t="shared" si="13"/>
        <v>0</v>
      </c>
      <c r="AD40" s="153"/>
      <c r="AE40" s="813">
        <f t="shared" si="14"/>
        <v>0</v>
      </c>
      <c r="AF40" s="814"/>
      <c r="AG40" s="813">
        <f t="shared" si="15"/>
        <v>0</v>
      </c>
    </row>
    <row r="41" spans="1:33" s="148" customFormat="1" ht="19.5" customHeight="1" x14ac:dyDescent="0.2">
      <c r="A41" s="852" t="s">
        <v>521</v>
      </c>
      <c r="B41" s="852"/>
      <c r="C41" s="809">
        <f t="shared" ref="C41:AG41" si="16">C42+C43+C44</f>
        <v>147</v>
      </c>
      <c r="D41" s="809">
        <f t="shared" si="16"/>
        <v>0</v>
      </c>
      <c r="E41" s="809">
        <f t="shared" si="16"/>
        <v>0</v>
      </c>
      <c r="F41" s="809">
        <f t="shared" si="16"/>
        <v>62</v>
      </c>
      <c r="G41" s="809">
        <f t="shared" si="16"/>
        <v>0</v>
      </c>
      <c r="H41" s="809">
        <f t="shared" si="16"/>
        <v>0</v>
      </c>
      <c r="I41" s="809">
        <f t="shared" si="16"/>
        <v>0</v>
      </c>
      <c r="J41" s="809">
        <f t="shared" si="16"/>
        <v>4</v>
      </c>
      <c r="K41" s="809">
        <f t="shared" si="16"/>
        <v>73</v>
      </c>
      <c r="L41" s="809">
        <f t="shared" si="16"/>
        <v>0</v>
      </c>
      <c r="M41" s="809">
        <f t="shared" si="16"/>
        <v>0</v>
      </c>
      <c r="N41" s="809">
        <f t="shared" si="16"/>
        <v>0</v>
      </c>
      <c r="O41" s="809">
        <f t="shared" si="16"/>
        <v>0</v>
      </c>
      <c r="P41" s="809">
        <f t="shared" si="16"/>
        <v>100</v>
      </c>
      <c r="Q41" s="809">
        <f t="shared" si="16"/>
        <v>0</v>
      </c>
      <c r="R41" s="809">
        <f t="shared" si="16"/>
        <v>0</v>
      </c>
      <c r="S41" s="809">
        <f t="shared" si="16"/>
        <v>0</v>
      </c>
      <c r="T41" s="809">
        <f t="shared" si="16"/>
        <v>0</v>
      </c>
      <c r="U41" s="809">
        <f t="shared" si="16"/>
        <v>0</v>
      </c>
      <c r="V41" s="809">
        <f t="shared" si="16"/>
        <v>0</v>
      </c>
      <c r="W41" s="809">
        <f t="shared" si="16"/>
        <v>0</v>
      </c>
      <c r="X41" s="809">
        <f t="shared" si="16"/>
        <v>0</v>
      </c>
      <c r="Y41" s="809">
        <f t="shared" si="16"/>
        <v>0</v>
      </c>
      <c r="Z41" s="809">
        <f t="shared" si="16"/>
        <v>0</v>
      </c>
      <c r="AA41" s="809">
        <f t="shared" si="16"/>
        <v>0</v>
      </c>
      <c r="AB41" s="809">
        <f t="shared" si="16"/>
        <v>0</v>
      </c>
      <c r="AC41" s="809">
        <f t="shared" si="16"/>
        <v>0</v>
      </c>
      <c r="AD41" s="809">
        <f t="shared" si="16"/>
        <v>0</v>
      </c>
      <c r="AE41" s="809">
        <f t="shared" si="16"/>
        <v>386</v>
      </c>
      <c r="AF41" s="809">
        <f t="shared" si="16"/>
        <v>0</v>
      </c>
      <c r="AG41" s="809">
        <f t="shared" si="16"/>
        <v>386</v>
      </c>
    </row>
    <row r="42" spans="1:33" s="808" customFormat="1" ht="15" customHeight="1" x14ac:dyDescent="0.2">
      <c r="A42" s="155">
        <v>26</v>
      </c>
      <c r="B42" s="811">
        <f>[14]Стоимость!J28</f>
        <v>128062</v>
      </c>
      <c r="C42" s="153">
        <f>120-20</f>
        <v>100</v>
      </c>
      <c r="D42" s="153"/>
      <c r="E42" s="153"/>
      <c r="F42" s="153">
        <v>28</v>
      </c>
      <c r="G42" s="153"/>
      <c r="H42" s="153"/>
      <c r="I42" s="153"/>
      <c r="J42" s="153"/>
      <c r="K42" s="153">
        <v>20</v>
      </c>
      <c r="L42" s="153"/>
      <c r="M42" s="153"/>
      <c r="N42" s="153"/>
      <c r="O42" s="153"/>
      <c r="P42" s="153">
        <v>57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819">
        <f>AB42*B42</f>
        <v>0</v>
      </c>
      <c r="AD42" s="153"/>
      <c r="AE42" s="813">
        <f>C42+D42+E42+F42+G42+H42+I42+J42+K42+L42+M42+N42+O42+P42+Q42+R42+S42+T42+U42+V42+W42+X42+Y42+Z42+AA42+AB42+AD42</f>
        <v>205</v>
      </c>
      <c r="AF42" s="814"/>
      <c r="AG42" s="813">
        <f>AE42+AF42</f>
        <v>205</v>
      </c>
    </row>
    <row r="43" spans="1:33" s="808" customFormat="1" ht="15" customHeight="1" x14ac:dyDescent="0.2">
      <c r="A43" s="155">
        <v>27</v>
      </c>
      <c r="B43" s="811">
        <f>[14]Стоимость!J29</f>
        <v>75694</v>
      </c>
      <c r="C43" s="153">
        <v>30</v>
      </c>
      <c r="D43" s="153"/>
      <c r="E43" s="153"/>
      <c r="F43" s="153">
        <v>15</v>
      </c>
      <c r="G43" s="153"/>
      <c r="H43" s="153"/>
      <c r="I43" s="153"/>
      <c r="J43" s="153">
        <v>4</v>
      </c>
      <c r="K43" s="816">
        <v>53</v>
      </c>
      <c r="L43" s="153"/>
      <c r="M43" s="153"/>
      <c r="N43" s="153"/>
      <c r="O43" s="153"/>
      <c r="P43" s="153">
        <v>43</v>
      </c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819">
        <f>AB43*B43</f>
        <v>0</v>
      </c>
      <c r="AD43" s="153"/>
      <c r="AE43" s="813">
        <f>C43+D43+E43+F43+G43+H43+I43+J43+K43+L43+M43+N43+O43+P43+Q43+R43+S43+T43+U43+V43+W43+X43+Y43+Z43+AA43+AB43+AD43</f>
        <v>145</v>
      </c>
      <c r="AF43" s="814"/>
      <c r="AG43" s="813">
        <f>AE43+AF43</f>
        <v>145</v>
      </c>
    </row>
    <row r="44" spans="1:33" s="808" customFormat="1" ht="15" customHeight="1" x14ac:dyDescent="0.2">
      <c r="A44" s="820">
        <v>28</v>
      </c>
      <c r="B44" s="811">
        <f>[14]Стоимость!J30</f>
        <v>147486</v>
      </c>
      <c r="C44" s="153">
        <v>17</v>
      </c>
      <c r="D44" s="153"/>
      <c r="E44" s="153"/>
      <c r="F44" s="153">
        <v>19</v>
      </c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819">
        <f>AB44*B44</f>
        <v>0</v>
      </c>
      <c r="AD44" s="153"/>
      <c r="AE44" s="813">
        <f>C44+D44+E44+F44+G44+H44+I44+J44+K44+L44+M44+N44+O44+P44+Q44+R44+S44+T44+U44+V44+W44+X44+Y44+Z44+AA44+AB44+AD44</f>
        <v>36</v>
      </c>
      <c r="AF44" s="814"/>
      <c r="AG44" s="813">
        <f>AE44+AF44</f>
        <v>36</v>
      </c>
    </row>
    <row r="45" spans="1:33" s="148" customFormat="1" ht="19.5" customHeight="1" x14ac:dyDescent="0.2">
      <c r="A45" s="852" t="s">
        <v>522</v>
      </c>
      <c r="B45" s="852"/>
      <c r="C45" s="809">
        <f t="shared" ref="C45:AG45" si="17">C46+C47</f>
        <v>0</v>
      </c>
      <c r="D45" s="809">
        <f t="shared" si="17"/>
        <v>0</v>
      </c>
      <c r="E45" s="809">
        <f t="shared" si="17"/>
        <v>0</v>
      </c>
      <c r="F45" s="809">
        <f t="shared" si="17"/>
        <v>60</v>
      </c>
      <c r="G45" s="809">
        <f t="shared" si="17"/>
        <v>0</v>
      </c>
      <c r="H45" s="809">
        <f t="shared" si="17"/>
        <v>0</v>
      </c>
      <c r="I45" s="809">
        <f t="shared" si="17"/>
        <v>0</v>
      </c>
      <c r="J45" s="809">
        <f t="shared" si="17"/>
        <v>0</v>
      </c>
      <c r="K45" s="809">
        <f t="shared" si="17"/>
        <v>0</v>
      </c>
      <c r="L45" s="809">
        <f t="shared" si="17"/>
        <v>0</v>
      </c>
      <c r="M45" s="809">
        <f t="shared" si="17"/>
        <v>2000</v>
      </c>
      <c r="N45" s="809">
        <f t="shared" si="17"/>
        <v>200</v>
      </c>
      <c r="O45" s="809">
        <f t="shared" si="17"/>
        <v>0</v>
      </c>
      <c r="P45" s="809">
        <f t="shared" si="17"/>
        <v>0</v>
      </c>
      <c r="Q45" s="809">
        <f t="shared" si="17"/>
        <v>0</v>
      </c>
      <c r="R45" s="809">
        <f t="shared" si="17"/>
        <v>0</v>
      </c>
      <c r="S45" s="809">
        <f t="shared" si="17"/>
        <v>0</v>
      </c>
      <c r="T45" s="809">
        <f t="shared" si="17"/>
        <v>0</v>
      </c>
      <c r="U45" s="809">
        <f t="shared" si="17"/>
        <v>0</v>
      </c>
      <c r="V45" s="809">
        <f t="shared" si="17"/>
        <v>0</v>
      </c>
      <c r="W45" s="809">
        <f t="shared" si="17"/>
        <v>0</v>
      </c>
      <c r="X45" s="809">
        <f t="shared" si="17"/>
        <v>0</v>
      </c>
      <c r="Y45" s="809">
        <f t="shared" si="17"/>
        <v>0</v>
      </c>
      <c r="Z45" s="809">
        <f t="shared" si="17"/>
        <v>0</v>
      </c>
      <c r="AA45" s="809">
        <f t="shared" si="17"/>
        <v>0</v>
      </c>
      <c r="AB45" s="809">
        <f t="shared" si="17"/>
        <v>0</v>
      </c>
      <c r="AC45" s="809">
        <f t="shared" si="17"/>
        <v>0</v>
      </c>
      <c r="AD45" s="809">
        <f t="shared" si="17"/>
        <v>0</v>
      </c>
      <c r="AE45" s="809">
        <f t="shared" si="17"/>
        <v>2260</v>
      </c>
      <c r="AF45" s="809">
        <f t="shared" si="17"/>
        <v>0</v>
      </c>
      <c r="AG45" s="809">
        <f t="shared" si="17"/>
        <v>2260</v>
      </c>
    </row>
    <row r="46" spans="1:33" s="808" customFormat="1" ht="14.25" customHeight="1" x14ac:dyDescent="0.2">
      <c r="A46" s="155">
        <v>29</v>
      </c>
      <c r="B46" s="811">
        <f>[14]Стоимость!J31</f>
        <v>68919</v>
      </c>
      <c r="C46" s="153"/>
      <c r="D46" s="153"/>
      <c r="E46" s="153"/>
      <c r="F46" s="153">
        <v>60</v>
      </c>
      <c r="G46" s="153"/>
      <c r="H46" s="153"/>
      <c r="I46" s="153"/>
      <c r="J46" s="153"/>
      <c r="K46" s="153"/>
      <c r="L46" s="153"/>
      <c r="M46" s="153">
        <v>1980</v>
      </c>
      <c r="N46" s="152">
        <v>200</v>
      </c>
      <c r="O46" s="153"/>
      <c r="P46" s="153"/>
      <c r="Q46" s="153"/>
      <c r="R46" s="153"/>
      <c r="S46" s="153"/>
      <c r="T46" s="153"/>
      <c r="U46" s="152"/>
      <c r="V46" s="152"/>
      <c r="W46" s="152"/>
      <c r="X46" s="152"/>
      <c r="Y46" s="153"/>
      <c r="Z46" s="153"/>
      <c r="AA46" s="153"/>
      <c r="AB46" s="153"/>
      <c r="AC46" s="812">
        <f>AB46*B46</f>
        <v>0</v>
      </c>
      <c r="AD46" s="152"/>
      <c r="AE46" s="813">
        <f>C46+D46+E46+F46+G46+H46+I46+J46+K46+L46+M46+N46+O46+P46+Q46+R46+S46+T46+U46+V46+W46+X46+Y46+Z46+AA46+AB46+AD46</f>
        <v>2240</v>
      </c>
      <c r="AF46" s="814"/>
      <c r="AG46" s="813">
        <f>AE46+AF46</f>
        <v>2240</v>
      </c>
    </row>
    <row r="47" spans="1:33" s="808" customFormat="1" ht="14.25" customHeight="1" x14ac:dyDescent="0.2">
      <c r="A47" s="155">
        <v>30</v>
      </c>
      <c r="B47" s="811">
        <f>[14]Стоимость!J32</f>
        <v>100081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>
        <v>20</v>
      </c>
      <c r="N47" s="152"/>
      <c r="O47" s="153"/>
      <c r="P47" s="153"/>
      <c r="Q47" s="153"/>
      <c r="R47" s="153"/>
      <c r="S47" s="153"/>
      <c r="T47" s="153"/>
      <c r="U47" s="152"/>
      <c r="V47" s="152"/>
      <c r="W47" s="152"/>
      <c r="X47" s="152"/>
      <c r="Y47" s="153"/>
      <c r="Z47" s="153"/>
      <c r="AA47" s="153"/>
      <c r="AB47" s="153"/>
      <c r="AC47" s="812">
        <f>AB47*B47</f>
        <v>0</v>
      </c>
      <c r="AD47" s="152"/>
      <c r="AE47" s="813">
        <f>C47+D47+E47+F47+G47+H47+I47+J47+K47+L47+M47+N47+O47+P47+Q47+R47+S47+T47+U47+V47+W47+X47+Y47+Z47+AA47+AB47+AD47</f>
        <v>20</v>
      </c>
      <c r="AF47" s="814"/>
      <c r="AG47" s="813">
        <f>AE47+AF47</f>
        <v>20</v>
      </c>
    </row>
    <row r="48" spans="1:33" s="148" customFormat="1" ht="18.75" customHeight="1" x14ac:dyDescent="0.2">
      <c r="A48" s="852" t="s">
        <v>523</v>
      </c>
      <c r="B48" s="852"/>
      <c r="C48" s="809">
        <f>SUM(C49:C52)</f>
        <v>0</v>
      </c>
      <c r="D48" s="809">
        <f t="shared" ref="D48:AG48" si="18">SUM(D49:D52)</f>
        <v>0</v>
      </c>
      <c r="E48" s="809">
        <f t="shared" si="18"/>
        <v>30</v>
      </c>
      <c r="F48" s="809">
        <f t="shared" si="18"/>
        <v>47</v>
      </c>
      <c r="G48" s="809">
        <f t="shared" si="18"/>
        <v>0</v>
      </c>
      <c r="H48" s="809">
        <f t="shared" si="18"/>
        <v>0</v>
      </c>
      <c r="I48" s="809">
        <f t="shared" si="18"/>
        <v>0</v>
      </c>
      <c r="J48" s="809">
        <f t="shared" si="18"/>
        <v>0</v>
      </c>
      <c r="K48" s="809">
        <f t="shared" si="18"/>
        <v>0</v>
      </c>
      <c r="L48" s="809">
        <f t="shared" si="18"/>
        <v>0</v>
      </c>
      <c r="M48" s="809">
        <f t="shared" si="18"/>
        <v>0</v>
      </c>
      <c r="N48" s="809">
        <f t="shared" si="18"/>
        <v>0</v>
      </c>
      <c r="O48" s="809">
        <f t="shared" si="18"/>
        <v>0</v>
      </c>
      <c r="P48" s="809">
        <f t="shared" si="18"/>
        <v>0</v>
      </c>
      <c r="Q48" s="809">
        <f t="shared" si="18"/>
        <v>0</v>
      </c>
      <c r="R48" s="809">
        <f t="shared" si="18"/>
        <v>0</v>
      </c>
      <c r="S48" s="809">
        <f t="shared" si="18"/>
        <v>0</v>
      </c>
      <c r="T48" s="809">
        <f t="shared" si="18"/>
        <v>0</v>
      </c>
      <c r="U48" s="809">
        <f t="shared" si="18"/>
        <v>0</v>
      </c>
      <c r="V48" s="809">
        <f t="shared" si="18"/>
        <v>0</v>
      </c>
      <c r="W48" s="809">
        <f t="shared" si="18"/>
        <v>0</v>
      </c>
      <c r="X48" s="809">
        <f t="shared" si="18"/>
        <v>0</v>
      </c>
      <c r="Y48" s="809">
        <f t="shared" si="18"/>
        <v>0</v>
      </c>
      <c r="Z48" s="809">
        <f t="shared" si="18"/>
        <v>0</v>
      </c>
      <c r="AA48" s="809">
        <f t="shared" si="18"/>
        <v>0</v>
      </c>
      <c r="AB48" s="809">
        <f t="shared" si="18"/>
        <v>0</v>
      </c>
      <c r="AC48" s="809">
        <f t="shared" si="18"/>
        <v>0</v>
      </c>
      <c r="AD48" s="809">
        <f t="shared" si="18"/>
        <v>0</v>
      </c>
      <c r="AE48" s="809">
        <f t="shared" si="18"/>
        <v>77</v>
      </c>
      <c r="AF48" s="809">
        <f t="shared" si="18"/>
        <v>0</v>
      </c>
      <c r="AG48" s="809">
        <f t="shared" si="18"/>
        <v>77</v>
      </c>
    </row>
    <row r="49" spans="1:33" s="808" customFormat="1" ht="15" customHeight="1" x14ac:dyDescent="0.2">
      <c r="A49" s="155">
        <v>31</v>
      </c>
      <c r="B49" s="811">
        <f>[14]Стоимость!J33</f>
        <v>94707</v>
      </c>
      <c r="C49" s="153"/>
      <c r="D49" s="153"/>
      <c r="E49" s="153"/>
      <c r="F49" s="153">
        <v>2</v>
      </c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819">
        <f>AB49*B49</f>
        <v>0</v>
      </c>
      <c r="AD49" s="153"/>
      <c r="AE49" s="813">
        <f>C49+D49+E49+F49+G49+H49+I49+J49+K49+L49+M49+N49+O49+P49+Q49+R49+S49+T49+U49+V49+W49+X49+Y49+Z49+AA49+AB49+AD49</f>
        <v>2</v>
      </c>
      <c r="AF49" s="814"/>
      <c r="AG49" s="821">
        <f>AE49+AF49</f>
        <v>2</v>
      </c>
    </row>
    <row r="50" spans="1:33" s="808" customFormat="1" ht="13.5" customHeight="1" x14ac:dyDescent="0.2">
      <c r="A50" s="155">
        <v>32</v>
      </c>
      <c r="B50" s="811">
        <f>[14]Стоимость!J34</f>
        <v>193698</v>
      </c>
      <c r="C50" s="153"/>
      <c r="D50" s="153"/>
      <c r="E50" s="153"/>
      <c r="F50" s="153">
        <v>45</v>
      </c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819">
        <f>AB50*B50</f>
        <v>0</v>
      </c>
      <c r="AD50" s="153"/>
      <c r="AE50" s="813">
        <f>C50+D50+E50+F50+G50+H50+I50+J50+K50+L50+M50+N50+O50+P50+Q50+R50+S50+T50+U50+V50+W50+X50+Y50+Z50+AA50+AB50+AD50</f>
        <v>45</v>
      </c>
      <c r="AF50" s="814"/>
      <c r="AG50" s="821">
        <f>AE50+AF50</f>
        <v>45</v>
      </c>
    </row>
    <row r="51" spans="1:33" s="808" customFormat="1" ht="15" customHeight="1" x14ac:dyDescent="0.2">
      <c r="A51" s="155">
        <v>33</v>
      </c>
      <c r="B51" s="811">
        <f>[14]Стоимость!J35</f>
        <v>112041</v>
      </c>
      <c r="C51" s="153"/>
      <c r="D51" s="153"/>
      <c r="E51" s="153">
        <v>30</v>
      </c>
      <c r="F51" s="153"/>
      <c r="G51" s="153"/>
      <c r="H51" s="156"/>
      <c r="I51" s="153"/>
      <c r="J51" s="153"/>
      <c r="K51" s="153"/>
      <c r="L51" s="156"/>
      <c r="M51" s="156"/>
      <c r="N51" s="153"/>
      <c r="O51" s="156"/>
      <c r="P51" s="156"/>
      <c r="Q51" s="153"/>
      <c r="R51" s="153"/>
      <c r="S51" s="156"/>
      <c r="T51" s="153"/>
      <c r="U51" s="153"/>
      <c r="V51" s="153"/>
      <c r="W51" s="153"/>
      <c r="X51" s="153"/>
      <c r="Y51" s="156"/>
      <c r="Z51" s="153"/>
      <c r="AA51" s="153"/>
      <c r="AB51" s="153"/>
      <c r="AC51" s="819">
        <f>AB51*B51</f>
        <v>0</v>
      </c>
      <c r="AD51" s="153"/>
      <c r="AE51" s="813">
        <f>C51+D51+E51+F51+G51+H51+I51+J51+K51+L51+M51+N51+O51+P51+Q51+R51+S51+T51+U51+V51+W51+X51+Y51+Z51+AA51+AB51+AD51</f>
        <v>30</v>
      </c>
      <c r="AF51" s="814"/>
      <c r="AG51" s="821">
        <f>AE51+AF51</f>
        <v>30</v>
      </c>
    </row>
    <row r="52" spans="1:33" s="808" customFormat="1" ht="15" customHeight="1" x14ac:dyDescent="0.2">
      <c r="A52" s="820">
        <v>34</v>
      </c>
      <c r="B52" s="811">
        <f>[14]Стоимость!J36</f>
        <v>191968</v>
      </c>
      <c r="C52" s="153"/>
      <c r="D52" s="153"/>
      <c r="E52" s="153"/>
      <c r="F52" s="153"/>
      <c r="G52" s="153"/>
      <c r="H52" s="156"/>
      <c r="I52" s="153"/>
      <c r="J52" s="153"/>
      <c r="K52" s="153"/>
      <c r="L52" s="156"/>
      <c r="M52" s="156"/>
      <c r="N52" s="153"/>
      <c r="O52" s="156"/>
      <c r="P52" s="156"/>
      <c r="Q52" s="153"/>
      <c r="R52" s="153"/>
      <c r="S52" s="156"/>
      <c r="T52" s="153"/>
      <c r="U52" s="153"/>
      <c r="V52" s="153"/>
      <c r="W52" s="153"/>
      <c r="X52" s="153"/>
      <c r="Y52" s="156"/>
      <c r="Z52" s="153"/>
      <c r="AA52" s="153"/>
      <c r="AB52" s="153"/>
      <c r="AC52" s="819">
        <f>AB52*B52</f>
        <v>0</v>
      </c>
      <c r="AD52" s="153"/>
      <c r="AE52" s="813">
        <f>C52+D52+E52+F52+G52+H52+I52+J52+K52+L52+M52+N52+O52+P52+Q52+R52+S52+T52+U52+V52+W52+X52+Y52+Z52+AA52+AB52+AD52</f>
        <v>0</v>
      </c>
      <c r="AF52" s="814"/>
      <c r="AG52" s="821">
        <f>AE52+AF52</f>
        <v>0</v>
      </c>
    </row>
    <row r="53" spans="1:33" s="148" customFormat="1" ht="17.25" customHeight="1" x14ac:dyDescent="0.2">
      <c r="A53" s="852" t="s">
        <v>520</v>
      </c>
      <c r="B53" s="852"/>
      <c r="C53" s="809">
        <f t="shared" ref="C53:AG53" si="19">C54</f>
        <v>183</v>
      </c>
      <c r="D53" s="809">
        <f t="shared" si="19"/>
        <v>0</v>
      </c>
      <c r="E53" s="809">
        <f t="shared" si="19"/>
        <v>0</v>
      </c>
      <c r="F53" s="809">
        <f t="shared" si="19"/>
        <v>0</v>
      </c>
      <c r="G53" s="809">
        <f t="shared" si="19"/>
        <v>0</v>
      </c>
      <c r="H53" s="809">
        <f t="shared" si="19"/>
        <v>0</v>
      </c>
      <c r="I53" s="809">
        <f t="shared" si="19"/>
        <v>0</v>
      </c>
      <c r="J53" s="809">
        <f t="shared" si="19"/>
        <v>0</v>
      </c>
      <c r="K53" s="809">
        <f t="shared" si="19"/>
        <v>0</v>
      </c>
      <c r="L53" s="809">
        <f t="shared" si="19"/>
        <v>0</v>
      </c>
      <c r="M53" s="809">
        <f t="shared" si="19"/>
        <v>0</v>
      </c>
      <c r="N53" s="809">
        <f t="shared" si="19"/>
        <v>0</v>
      </c>
      <c r="O53" s="809">
        <f t="shared" si="19"/>
        <v>0</v>
      </c>
      <c r="P53" s="809">
        <f t="shared" si="19"/>
        <v>134</v>
      </c>
      <c r="Q53" s="809">
        <f t="shared" si="19"/>
        <v>0</v>
      </c>
      <c r="R53" s="809">
        <f t="shared" si="19"/>
        <v>0</v>
      </c>
      <c r="S53" s="809">
        <f t="shared" si="19"/>
        <v>0</v>
      </c>
      <c r="T53" s="809">
        <f t="shared" si="19"/>
        <v>0</v>
      </c>
      <c r="U53" s="809">
        <f t="shared" si="19"/>
        <v>0</v>
      </c>
      <c r="V53" s="809">
        <f t="shared" si="19"/>
        <v>0</v>
      </c>
      <c r="W53" s="809">
        <f t="shared" si="19"/>
        <v>0</v>
      </c>
      <c r="X53" s="809">
        <f t="shared" si="19"/>
        <v>0</v>
      </c>
      <c r="Y53" s="809">
        <f t="shared" si="19"/>
        <v>0</v>
      </c>
      <c r="Z53" s="809">
        <f t="shared" si="19"/>
        <v>45</v>
      </c>
      <c r="AA53" s="809">
        <f t="shared" si="19"/>
        <v>0</v>
      </c>
      <c r="AB53" s="809">
        <f t="shared" si="19"/>
        <v>0</v>
      </c>
      <c r="AC53" s="809">
        <f t="shared" si="19"/>
        <v>0</v>
      </c>
      <c r="AD53" s="809">
        <f t="shared" si="19"/>
        <v>0</v>
      </c>
      <c r="AE53" s="809">
        <f t="shared" si="19"/>
        <v>362</v>
      </c>
      <c r="AF53" s="809">
        <f t="shared" si="19"/>
        <v>0</v>
      </c>
      <c r="AG53" s="809">
        <f t="shared" si="19"/>
        <v>362</v>
      </c>
    </row>
    <row r="54" spans="1:33" s="808" customFormat="1" ht="14.25" customHeight="1" x14ac:dyDescent="0.2">
      <c r="A54" s="155">
        <v>35</v>
      </c>
      <c r="B54" s="811">
        <f>[14]Стоимость!J37</f>
        <v>150387</v>
      </c>
      <c r="C54" s="153">
        <v>183</v>
      </c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>
        <v>134</v>
      </c>
      <c r="Q54" s="153"/>
      <c r="R54" s="153"/>
      <c r="S54" s="153"/>
      <c r="T54" s="153"/>
      <c r="U54" s="153"/>
      <c r="V54" s="153"/>
      <c r="W54" s="153"/>
      <c r="X54" s="153"/>
      <c r="Y54" s="153"/>
      <c r="Z54" s="153">
        <v>45</v>
      </c>
      <c r="AA54" s="153"/>
      <c r="AB54" s="153"/>
      <c r="AC54" s="819">
        <f>AB54*B54</f>
        <v>0</v>
      </c>
      <c r="AD54" s="153"/>
      <c r="AE54" s="813">
        <f>C54+D54+E54+F54+G54+H54+I54+J54+K54+L54+M54+N54+O54+P54+Q54+R54+S54+T54+U54+V54+W54+X54+Y54+Z54+AA54+AB54+AD54</f>
        <v>362</v>
      </c>
      <c r="AF54" s="814"/>
      <c r="AG54" s="821">
        <f>AE54+AF54</f>
        <v>362</v>
      </c>
    </row>
    <row r="55" spans="1:33" s="148" customFormat="1" ht="26.25" customHeight="1" x14ac:dyDescent="0.2">
      <c r="A55" s="847" t="s">
        <v>524</v>
      </c>
      <c r="B55" s="848"/>
      <c r="C55" s="809">
        <f t="shared" ref="C55:AG55" si="20">SUM(C56:C68)</f>
        <v>707</v>
      </c>
      <c r="D55" s="809">
        <f t="shared" si="20"/>
        <v>0</v>
      </c>
      <c r="E55" s="809">
        <f t="shared" si="20"/>
        <v>3620</v>
      </c>
      <c r="F55" s="809">
        <f t="shared" si="20"/>
        <v>0</v>
      </c>
      <c r="G55" s="809">
        <f t="shared" si="20"/>
        <v>0</v>
      </c>
      <c r="H55" s="809">
        <f t="shared" si="20"/>
        <v>0</v>
      </c>
      <c r="I55" s="809">
        <f t="shared" si="20"/>
        <v>0</v>
      </c>
      <c r="J55" s="809">
        <f t="shared" si="20"/>
        <v>822</v>
      </c>
      <c r="K55" s="809">
        <f t="shared" si="20"/>
        <v>510</v>
      </c>
      <c r="L55" s="809">
        <f t="shared" si="20"/>
        <v>57</v>
      </c>
      <c r="M55" s="809">
        <f t="shared" si="20"/>
        <v>0</v>
      </c>
      <c r="N55" s="809">
        <f t="shared" si="20"/>
        <v>0</v>
      </c>
      <c r="O55" s="809">
        <f t="shared" si="20"/>
        <v>0</v>
      </c>
      <c r="P55" s="809">
        <f t="shared" si="20"/>
        <v>0</v>
      </c>
      <c r="Q55" s="809">
        <f t="shared" si="20"/>
        <v>0</v>
      </c>
      <c r="R55" s="809">
        <f t="shared" si="20"/>
        <v>312</v>
      </c>
      <c r="S55" s="809">
        <f t="shared" si="20"/>
        <v>0</v>
      </c>
      <c r="T55" s="809">
        <f t="shared" si="20"/>
        <v>220</v>
      </c>
      <c r="U55" s="809">
        <f t="shared" si="20"/>
        <v>185</v>
      </c>
      <c r="V55" s="809">
        <f t="shared" si="20"/>
        <v>57</v>
      </c>
      <c r="W55" s="809">
        <f t="shared" si="20"/>
        <v>265</v>
      </c>
      <c r="X55" s="809">
        <f t="shared" si="20"/>
        <v>0</v>
      </c>
      <c r="Y55" s="809">
        <f t="shared" si="20"/>
        <v>332</v>
      </c>
      <c r="Z55" s="809">
        <f t="shared" si="20"/>
        <v>468</v>
      </c>
      <c r="AA55" s="809">
        <f t="shared" si="20"/>
        <v>0</v>
      </c>
      <c r="AB55" s="809">
        <f t="shared" si="20"/>
        <v>0</v>
      </c>
      <c r="AC55" s="809">
        <f t="shared" si="20"/>
        <v>0</v>
      </c>
      <c r="AD55" s="809">
        <f t="shared" si="20"/>
        <v>450</v>
      </c>
      <c r="AE55" s="809">
        <f t="shared" si="20"/>
        <v>8005</v>
      </c>
      <c r="AF55" s="809">
        <f t="shared" si="20"/>
        <v>0</v>
      </c>
      <c r="AG55" s="809">
        <f t="shared" si="20"/>
        <v>8005</v>
      </c>
    </row>
    <row r="56" spans="1:33" s="808" customFormat="1" ht="14.25" customHeight="1" x14ac:dyDescent="0.2">
      <c r="A56" s="155">
        <v>36</v>
      </c>
      <c r="B56" s="811">
        <f>[14]Стоимость!J38</f>
        <v>183187</v>
      </c>
      <c r="C56" s="161">
        <v>78</v>
      </c>
      <c r="D56" s="161"/>
      <c r="E56" s="161">
        <v>320</v>
      </c>
      <c r="F56" s="161"/>
      <c r="G56" s="161"/>
      <c r="H56" s="162"/>
      <c r="I56" s="161"/>
      <c r="J56" s="161">
        <v>250</v>
      </c>
      <c r="K56" s="161">
        <f>221-1</f>
        <v>220</v>
      </c>
      <c r="L56" s="153">
        <v>25</v>
      </c>
      <c r="M56" s="162"/>
      <c r="N56" s="158"/>
      <c r="O56" s="162"/>
      <c r="P56" s="162"/>
      <c r="Q56" s="161"/>
      <c r="R56" s="161">
        <v>10</v>
      </c>
      <c r="S56" s="162"/>
      <c r="T56" s="152">
        <v>25</v>
      </c>
      <c r="U56" s="818">
        <f>100-13</f>
        <v>87</v>
      </c>
      <c r="V56" s="153">
        <v>11</v>
      </c>
      <c r="W56" s="153">
        <v>100</v>
      </c>
      <c r="X56" s="153"/>
      <c r="Y56" s="153">
        <f>160-10</f>
        <v>150</v>
      </c>
      <c r="Z56" s="153">
        <v>285</v>
      </c>
      <c r="AA56" s="161"/>
      <c r="AB56" s="161"/>
      <c r="AC56" s="812">
        <f t="shared" ref="AC56:AC68" si="21">AB56*B56</f>
        <v>0</v>
      </c>
      <c r="AD56" s="152">
        <f>160-4-7</f>
        <v>149</v>
      </c>
      <c r="AE56" s="813">
        <f t="shared" ref="AE56:AE68" si="22">C56+D56+E56+F56+G56+H56+I56+J56+K56+L56+M56+N56+O56+P56+Q56+R56+S56+T56+U56+V56+W56+X56+Y56+Z56+AA56+AB56+AD56</f>
        <v>1710</v>
      </c>
      <c r="AF56" s="157"/>
      <c r="AG56" s="813">
        <f t="shared" ref="AG56:AG68" si="23">AE56+AF56</f>
        <v>1710</v>
      </c>
    </row>
    <row r="57" spans="1:33" s="808" customFormat="1" ht="14.25" customHeight="1" x14ac:dyDescent="0.2">
      <c r="A57" s="155">
        <v>37</v>
      </c>
      <c r="B57" s="811">
        <f>[14]Стоимость!J39</f>
        <v>211305</v>
      </c>
      <c r="C57" s="153">
        <v>80</v>
      </c>
      <c r="D57" s="153"/>
      <c r="E57" s="161">
        <v>140</v>
      </c>
      <c r="F57" s="153"/>
      <c r="G57" s="153"/>
      <c r="H57" s="153"/>
      <c r="I57" s="153"/>
      <c r="J57" s="153">
        <v>70</v>
      </c>
      <c r="K57" s="153">
        <f>68-1</f>
        <v>67</v>
      </c>
      <c r="L57" s="153">
        <v>10</v>
      </c>
      <c r="M57" s="153"/>
      <c r="N57" s="152"/>
      <c r="O57" s="153"/>
      <c r="P57" s="153"/>
      <c r="Q57" s="153"/>
      <c r="R57" s="153">
        <v>52</v>
      </c>
      <c r="S57" s="153"/>
      <c r="T57" s="152">
        <v>20</v>
      </c>
      <c r="U57" s="818">
        <f>6+8</f>
        <v>14</v>
      </c>
      <c r="V57" s="153">
        <v>11</v>
      </c>
      <c r="W57" s="153">
        <v>20</v>
      </c>
      <c r="X57" s="153"/>
      <c r="Y57" s="153">
        <f>60-10</f>
        <v>50</v>
      </c>
      <c r="Z57" s="153">
        <v>25</v>
      </c>
      <c r="AA57" s="153"/>
      <c r="AB57" s="161"/>
      <c r="AC57" s="812">
        <f t="shared" si="21"/>
        <v>0</v>
      </c>
      <c r="AD57" s="152">
        <f>130-8-9</f>
        <v>113</v>
      </c>
      <c r="AE57" s="813">
        <f t="shared" si="22"/>
        <v>672</v>
      </c>
      <c r="AF57" s="157"/>
      <c r="AG57" s="813">
        <f t="shared" si="23"/>
        <v>672</v>
      </c>
    </row>
    <row r="58" spans="1:33" s="808" customFormat="1" ht="14.25" customHeight="1" x14ac:dyDescent="0.2">
      <c r="A58" s="155">
        <v>38</v>
      </c>
      <c r="B58" s="811">
        <f>[14]Стоимость!J40</f>
        <v>239147</v>
      </c>
      <c r="C58" s="153">
        <v>46</v>
      </c>
      <c r="D58" s="153"/>
      <c r="E58" s="161">
        <v>90</v>
      </c>
      <c r="F58" s="153"/>
      <c r="G58" s="153"/>
      <c r="H58" s="156"/>
      <c r="I58" s="153"/>
      <c r="J58" s="153">
        <v>25</v>
      </c>
      <c r="K58" s="153">
        <v>12</v>
      </c>
      <c r="L58" s="153">
        <v>1</v>
      </c>
      <c r="M58" s="156"/>
      <c r="N58" s="152"/>
      <c r="O58" s="156"/>
      <c r="P58" s="156"/>
      <c r="Q58" s="153"/>
      <c r="R58" s="153">
        <v>35</v>
      </c>
      <c r="S58" s="156"/>
      <c r="T58" s="152">
        <v>15</v>
      </c>
      <c r="U58" s="818">
        <v>3</v>
      </c>
      <c r="V58" s="152">
        <v>3</v>
      </c>
      <c r="W58" s="152">
        <v>6</v>
      </c>
      <c r="X58" s="153"/>
      <c r="Y58" s="153">
        <f>30-10</f>
        <v>20</v>
      </c>
      <c r="Z58" s="153">
        <v>8</v>
      </c>
      <c r="AA58" s="153"/>
      <c r="AB58" s="161"/>
      <c r="AC58" s="812">
        <f t="shared" si="21"/>
        <v>0</v>
      </c>
      <c r="AD58" s="152">
        <f>65-8-30</f>
        <v>27</v>
      </c>
      <c r="AE58" s="813">
        <f t="shared" si="22"/>
        <v>291</v>
      </c>
      <c r="AF58" s="822"/>
      <c r="AG58" s="813">
        <f t="shared" si="23"/>
        <v>291</v>
      </c>
    </row>
    <row r="59" spans="1:33" s="808" customFormat="1" ht="14.25" customHeight="1" x14ac:dyDescent="0.2">
      <c r="A59" s="155">
        <v>39</v>
      </c>
      <c r="B59" s="811">
        <f>[14]Стоимость!J41</f>
        <v>136052</v>
      </c>
      <c r="C59" s="153">
        <v>190</v>
      </c>
      <c r="D59" s="153"/>
      <c r="E59" s="161">
        <v>420</v>
      </c>
      <c r="F59" s="153"/>
      <c r="G59" s="153"/>
      <c r="H59" s="156"/>
      <c r="I59" s="153"/>
      <c r="J59" s="153">
        <v>250</v>
      </c>
      <c r="K59" s="153">
        <v>163</v>
      </c>
      <c r="L59" s="153">
        <v>14</v>
      </c>
      <c r="M59" s="156"/>
      <c r="N59" s="152"/>
      <c r="O59" s="156"/>
      <c r="P59" s="156"/>
      <c r="Q59" s="153"/>
      <c r="R59" s="153"/>
      <c r="S59" s="156"/>
      <c r="T59" s="152">
        <v>65</v>
      </c>
      <c r="U59" s="818">
        <f>40+5</f>
        <v>45</v>
      </c>
      <c r="V59" s="152">
        <v>11</v>
      </c>
      <c r="W59" s="152">
        <v>71</v>
      </c>
      <c r="X59" s="153"/>
      <c r="Y59" s="153">
        <f>40+30</f>
        <v>70</v>
      </c>
      <c r="Z59" s="153">
        <v>130</v>
      </c>
      <c r="AA59" s="153"/>
      <c r="AB59" s="161"/>
      <c r="AC59" s="812">
        <f t="shared" si="21"/>
        <v>0</v>
      </c>
      <c r="AD59" s="152">
        <f>20+7+2</f>
        <v>29</v>
      </c>
      <c r="AE59" s="813">
        <f t="shared" si="22"/>
        <v>1458</v>
      </c>
      <c r="AF59" s="822"/>
      <c r="AG59" s="813">
        <f t="shared" si="23"/>
        <v>1458</v>
      </c>
    </row>
    <row r="60" spans="1:33" s="808" customFormat="1" ht="14.25" customHeight="1" x14ac:dyDescent="0.2">
      <c r="A60" s="155">
        <v>40</v>
      </c>
      <c r="B60" s="811">
        <f>[14]Стоимость!J42</f>
        <v>164157</v>
      </c>
      <c r="C60" s="153">
        <v>165</v>
      </c>
      <c r="D60" s="153"/>
      <c r="E60" s="161">
        <v>190</v>
      </c>
      <c r="F60" s="153"/>
      <c r="G60" s="153"/>
      <c r="H60" s="153"/>
      <c r="I60" s="153"/>
      <c r="J60" s="153">
        <v>50</v>
      </c>
      <c r="K60" s="153">
        <v>31</v>
      </c>
      <c r="L60" s="153">
        <v>6</v>
      </c>
      <c r="M60" s="153"/>
      <c r="N60" s="152"/>
      <c r="O60" s="153"/>
      <c r="P60" s="153"/>
      <c r="Q60" s="153"/>
      <c r="R60" s="153">
        <v>75</v>
      </c>
      <c r="S60" s="153"/>
      <c r="T60" s="152">
        <v>60</v>
      </c>
      <c r="U60" s="152">
        <v>14</v>
      </c>
      <c r="V60" s="152">
        <v>11</v>
      </c>
      <c r="W60" s="152">
        <v>20</v>
      </c>
      <c r="X60" s="153"/>
      <c r="Y60" s="153">
        <v>26</v>
      </c>
      <c r="Z60" s="153">
        <v>10</v>
      </c>
      <c r="AA60" s="153"/>
      <c r="AB60" s="161"/>
      <c r="AC60" s="812">
        <f t="shared" si="21"/>
        <v>0</v>
      </c>
      <c r="AD60" s="152">
        <f>20+2+2</f>
        <v>24</v>
      </c>
      <c r="AE60" s="813">
        <f t="shared" si="22"/>
        <v>682</v>
      </c>
      <c r="AF60" s="822"/>
      <c r="AG60" s="813">
        <f t="shared" si="23"/>
        <v>682</v>
      </c>
    </row>
    <row r="61" spans="1:33" s="808" customFormat="1" ht="14.25" customHeight="1" x14ac:dyDescent="0.2">
      <c r="A61" s="155">
        <v>41</v>
      </c>
      <c r="B61" s="811">
        <f>[14]Стоимость!J43</f>
        <v>203933</v>
      </c>
      <c r="C61" s="153">
        <v>66</v>
      </c>
      <c r="D61" s="153"/>
      <c r="E61" s="161">
        <v>100</v>
      </c>
      <c r="F61" s="153"/>
      <c r="G61" s="153"/>
      <c r="H61" s="153"/>
      <c r="I61" s="153"/>
      <c r="J61" s="153">
        <v>25</v>
      </c>
      <c r="K61" s="153">
        <f>5+2</f>
        <v>7</v>
      </c>
      <c r="L61" s="153">
        <v>1</v>
      </c>
      <c r="M61" s="153"/>
      <c r="N61" s="152"/>
      <c r="O61" s="153"/>
      <c r="P61" s="153"/>
      <c r="Q61" s="153"/>
      <c r="R61" s="153">
        <v>60</v>
      </c>
      <c r="S61" s="153"/>
      <c r="T61" s="152">
        <v>28</v>
      </c>
      <c r="U61" s="152"/>
      <c r="V61" s="152">
        <v>3</v>
      </c>
      <c r="W61" s="152">
        <v>3</v>
      </c>
      <c r="X61" s="153"/>
      <c r="Y61" s="153">
        <v>6</v>
      </c>
      <c r="Z61" s="153"/>
      <c r="AA61" s="153"/>
      <c r="AB61" s="161"/>
      <c r="AC61" s="812">
        <f t="shared" si="21"/>
        <v>0</v>
      </c>
      <c r="AD61" s="152">
        <f>55-5-20</f>
        <v>30</v>
      </c>
      <c r="AE61" s="813">
        <f t="shared" si="22"/>
        <v>329</v>
      </c>
      <c r="AF61" s="822"/>
      <c r="AG61" s="813">
        <f t="shared" si="23"/>
        <v>329</v>
      </c>
    </row>
    <row r="62" spans="1:33" s="808" customFormat="1" ht="14.25" customHeight="1" x14ac:dyDescent="0.2">
      <c r="A62" s="155">
        <v>42</v>
      </c>
      <c r="B62" s="811">
        <f>[14]Стоимость!J44</f>
        <v>175787</v>
      </c>
      <c r="C62" s="153">
        <v>72</v>
      </c>
      <c r="D62" s="153"/>
      <c r="E62" s="161">
        <v>1020</v>
      </c>
      <c r="F62" s="153"/>
      <c r="G62" s="153"/>
      <c r="H62" s="156"/>
      <c r="I62" s="153"/>
      <c r="J62" s="153">
        <v>100</v>
      </c>
      <c r="K62" s="153"/>
      <c r="L62" s="156"/>
      <c r="M62" s="156"/>
      <c r="N62" s="152"/>
      <c r="O62" s="156"/>
      <c r="P62" s="156"/>
      <c r="Q62" s="153"/>
      <c r="R62" s="153"/>
      <c r="S62" s="156"/>
      <c r="T62" s="152"/>
      <c r="U62" s="152">
        <v>17</v>
      </c>
      <c r="V62" s="152">
        <v>7</v>
      </c>
      <c r="W62" s="152">
        <v>40</v>
      </c>
      <c r="X62" s="152"/>
      <c r="Y62" s="153">
        <v>10</v>
      </c>
      <c r="Z62" s="153"/>
      <c r="AA62" s="153"/>
      <c r="AB62" s="161"/>
      <c r="AC62" s="812">
        <f t="shared" si="21"/>
        <v>0</v>
      </c>
      <c r="AD62" s="152">
        <f>11+50</f>
        <v>61</v>
      </c>
      <c r="AE62" s="813">
        <f t="shared" si="22"/>
        <v>1327</v>
      </c>
      <c r="AF62" s="814"/>
      <c r="AG62" s="813">
        <f t="shared" si="23"/>
        <v>1327</v>
      </c>
    </row>
    <row r="63" spans="1:33" s="808" customFormat="1" ht="14.25" customHeight="1" x14ac:dyDescent="0.2">
      <c r="A63" s="155">
        <v>43</v>
      </c>
      <c r="B63" s="811">
        <f>[14]Стоимость!J45</f>
        <v>339241</v>
      </c>
      <c r="C63" s="153"/>
      <c r="D63" s="153"/>
      <c r="E63" s="161">
        <v>50</v>
      </c>
      <c r="F63" s="153"/>
      <c r="G63" s="153"/>
      <c r="H63" s="156"/>
      <c r="I63" s="153"/>
      <c r="J63" s="153"/>
      <c r="K63" s="153"/>
      <c r="L63" s="156"/>
      <c r="M63" s="156"/>
      <c r="N63" s="152"/>
      <c r="O63" s="156"/>
      <c r="P63" s="156"/>
      <c r="Q63" s="153"/>
      <c r="R63" s="153">
        <v>20</v>
      </c>
      <c r="S63" s="156"/>
      <c r="T63" s="152"/>
      <c r="U63" s="152"/>
      <c r="V63" s="152"/>
      <c r="W63" s="152"/>
      <c r="X63" s="152"/>
      <c r="Y63" s="156"/>
      <c r="Z63" s="153"/>
      <c r="AA63" s="153"/>
      <c r="AB63" s="161"/>
      <c r="AC63" s="812">
        <f t="shared" si="21"/>
        <v>0</v>
      </c>
      <c r="AD63" s="152"/>
      <c r="AE63" s="813">
        <f t="shared" si="22"/>
        <v>70</v>
      </c>
      <c r="AF63" s="814"/>
      <c r="AG63" s="813">
        <f t="shared" si="23"/>
        <v>70</v>
      </c>
    </row>
    <row r="64" spans="1:33" s="808" customFormat="1" ht="14.25" customHeight="1" x14ac:dyDescent="0.2">
      <c r="A64" s="155">
        <v>44</v>
      </c>
      <c r="B64" s="811">
        <f>[14]Стоимость!J46</f>
        <v>155745</v>
      </c>
      <c r="C64" s="153"/>
      <c r="D64" s="153"/>
      <c r="E64" s="161">
        <v>200</v>
      </c>
      <c r="F64" s="153"/>
      <c r="G64" s="153"/>
      <c r="H64" s="156"/>
      <c r="I64" s="153"/>
      <c r="J64" s="153"/>
      <c r="K64" s="153"/>
      <c r="L64" s="156"/>
      <c r="M64" s="156"/>
      <c r="N64" s="152"/>
      <c r="O64" s="156"/>
      <c r="P64" s="156"/>
      <c r="Q64" s="153"/>
      <c r="R64" s="153">
        <v>15</v>
      </c>
      <c r="S64" s="156"/>
      <c r="T64" s="153">
        <v>2</v>
      </c>
      <c r="U64" s="152"/>
      <c r="V64" s="152"/>
      <c r="W64" s="152"/>
      <c r="X64" s="152"/>
      <c r="Y64" s="156"/>
      <c r="Z64" s="153"/>
      <c r="AA64" s="153"/>
      <c r="AB64" s="161"/>
      <c r="AC64" s="812">
        <f t="shared" si="21"/>
        <v>0</v>
      </c>
      <c r="AD64" s="152"/>
      <c r="AE64" s="813">
        <f t="shared" si="22"/>
        <v>217</v>
      </c>
      <c r="AF64" s="814"/>
      <c r="AG64" s="813">
        <f t="shared" si="23"/>
        <v>217</v>
      </c>
    </row>
    <row r="65" spans="1:33" s="808" customFormat="1" ht="14.25" customHeight="1" x14ac:dyDescent="0.2">
      <c r="A65" s="155">
        <v>45</v>
      </c>
      <c r="B65" s="811">
        <f>[14]Стоимость!J47</f>
        <v>290212</v>
      </c>
      <c r="C65" s="153"/>
      <c r="D65" s="153"/>
      <c r="E65" s="161">
        <v>10</v>
      </c>
      <c r="F65" s="153"/>
      <c r="G65" s="153"/>
      <c r="H65" s="156"/>
      <c r="I65" s="153"/>
      <c r="J65" s="153"/>
      <c r="K65" s="153"/>
      <c r="L65" s="156"/>
      <c r="M65" s="156"/>
      <c r="N65" s="152"/>
      <c r="O65" s="156"/>
      <c r="P65" s="156"/>
      <c r="Q65" s="153"/>
      <c r="R65" s="153"/>
      <c r="S65" s="156"/>
      <c r="T65" s="153"/>
      <c r="U65" s="152"/>
      <c r="V65" s="152"/>
      <c r="W65" s="152"/>
      <c r="X65" s="152"/>
      <c r="Y65" s="156"/>
      <c r="Z65" s="153"/>
      <c r="AA65" s="153"/>
      <c r="AB65" s="161"/>
      <c r="AC65" s="812">
        <f t="shared" si="21"/>
        <v>0</v>
      </c>
      <c r="AD65" s="152"/>
      <c r="AE65" s="813">
        <f t="shared" si="22"/>
        <v>10</v>
      </c>
      <c r="AF65" s="814"/>
      <c r="AG65" s="813">
        <f t="shared" si="23"/>
        <v>10</v>
      </c>
    </row>
    <row r="66" spans="1:33" s="808" customFormat="1" ht="14.25" customHeight="1" x14ac:dyDescent="0.2">
      <c r="A66" s="155">
        <v>46</v>
      </c>
      <c r="B66" s="811">
        <f>[14]Стоимость!J48</f>
        <v>234475</v>
      </c>
      <c r="C66" s="152"/>
      <c r="D66" s="152"/>
      <c r="E66" s="161">
        <v>800</v>
      </c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>
        <v>45</v>
      </c>
      <c r="S66" s="152"/>
      <c r="T66" s="152"/>
      <c r="U66" s="152"/>
      <c r="V66" s="152"/>
      <c r="W66" s="152"/>
      <c r="X66" s="152"/>
      <c r="Y66" s="152"/>
      <c r="Z66" s="152"/>
      <c r="AA66" s="152"/>
      <c r="AB66" s="161"/>
      <c r="AC66" s="812">
        <f t="shared" si="21"/>
        <v>0</v>
      </c>
      <c r="AD66" s="152">
        <f>5+12</f>
        <v>17</v>
      </c>
      <c r="AE66" s="813">
        <f t="shared" si="22"/>
        <v>862</v>
      </c>
      <c r="AF66" s="814"/>
      <c r="AG66" s="813">
        <f t="shared" si="23"/>
        <v>862</v>
      </c>
    </row>
    <row r="67" spans="1:33" s="808" customFormat="1" ht="14.25" customHeight="1" x14ac:dyDescent="0.2">
      <c r="A67" s="155">
        <v>47</v>
      </c>
      <c r="B67" s="811">
        <f>[14]Стоимость!J49</f>
        <v>739082</v>
      </c>
      <c r="C67" s="152">
        <v>10</v>
      </c>
      <c r="D67" s="152"/>
      <c r="E67" s="161"/>
      <c r="F67" s="152"/>
      <c r="G67" s="152"/>
      <c r="H67" s="152"/>
      <c r="I67" s="152"/>
      <c r="J67" s="152">
        <f>60-8</f>
        <v>52</v>
      </c>
      <c r="K67" s="152">
        <v>10</v>
      </c>
      <c r="L67" s="152"/>
      <c r="M67" s="152"/>
      <c r="N67" s="152"/>
      <c r="O67" s="152"/>
      <c r="P67" s="152"/>
      <c r="Q67" s="152"/>
      <c r="R67" s="152"/>
      <c r="S67" s="152"/>
      <c r="T67" s="152">
        <v>5</v>
      </c>
      <c r="U67" s="152">
        <v>5</v>
      </c>
      <c r="V67" s="152"/>
      <c r="W67" s="152">
        <v>5</v>
      </c>
      <c r="X67" s="152"/>
      <c r="Y67" s="152"/>
      <c r="Z67" s="152">
        <v>10</v>
      </c>
      <c r="AA67" s="152"/>
      <c r="AB67" s="161"/>
      <c r="AC67" s="812">
        <f t="shared" si="21"/>
        <v>0</v>
      </c>
      <c r="AD67" s="152"/>
      <c r="AE67" s="813">
        <f t="shared" si="22"/>
        <v>97</v>
      </c>
      <c r="AF67" s="814"/>
      <c r="AG67" s="813">
        <f t="shared" si="23"/>
        <v>97</v>
      </c>
    </row>
    <row r="68" spans="1:33" s="808" customFormat="1" ht="14.25" customHeight="1" x14ac:dyDescent="0.2">
      <c r="A68" s="155">
        <v>48</v>
      </c>
      <c r="B68" s="811">
        <f>[14]Стоимость!J50</f>
        <v>409365</v>
      </c>
      <c r="C68" s="152"/>
      <c r="D68" s="152"/>
      <c r="E68" s="161">
        <v>280</v>
      </c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61"/>
      <c r="AC68" s="812">
        <f t="shared" si="21"/>
        <v>0</v>
      </c>
      <c r="AD68" s="152"/>
      <c r="AE68" s="813">
        <f t="shared" si="22"/>
        <v>280</v>
      </c>
      <c r="AF68" s="814"/>
      <c r="AG68" s="813">
        <f t="shared" si="23"/>
        <v>280</v>
      </c>
    </row>
    <row r="69" spans="1:33" s="148" customFormat="1" ht="19.5" customHeight="1" x14ac:dyDescent="0.2">
      <c r="A69" s="847" t="s">
        <v>525</v>
      </c>
      <c r="B69" s="848"/>
      <c r="C69" s="809">
        <f>C70+C71</f>
        <v>20</v>
      </c>
      <c r="D69" s="809">
        <f t="shared" ref="D69:AG69" si="24">D70+D71</f>
        <v>0</v>
      </c>
      <c r="E69" s="809">
        <f t="shared" si="24"/>
        <v>0</v>
      </c>
      <c r="F69" s="809">
        <f t="shared" si="24"/>
        <v>1</v>
      </c>
      <c r="G69" s="809">
        <f t="shared" si="24"/>
        <v>0</v>
      </c>
      <c r="H69" s="809">
        <f t="shared" si="24"/>
        <v>0</v>
      </c>
      <c r="I69" s="809">
        <f t="shared" si="24"/>
        <v>0</v>
      </c>
      <c r="J69" s="809">
        <f t="shared" si="24"/>
        <v>0</v>
      </c>
      <c r="K69" s="809">
        <f t="shared" si="24"/>
        <v>0</v>
      </c>
      <c r="L69" s="809">
        <f t="shared" si="24"/>
        <v>0</v>
      </c>
      <c r="M69" s="809">
        <f t="shared" si="24"/>
        <v>0</v>
      </c>
      <c r="N69" s="809">
        <f t="shared" si="24"/>
        <v>0</v>
      </c>
      <c r="O69" s="809">
        <f t="shared" si="24"/>
        <v>0</v>
      </c>
      <c r="P69" s="809">
        <f t="shared" si="24"/>
        <v>0</v>
      </c>
      <c r="Q69" s="809">
        <f t="shared" si="24"/>
        <v>0</v>
      </c>
      <c r="R69" s="809">
        <f t="shared" si="24"/>
        <v>0</v>
      </c>
      <c r="S69" s="809">
        <f t="shared" si="24"/>
        <v>0</v>
      </c>
      <c r="T69" s="809">
        <f t="shared" si="24"/>
        <v>0</v>
      </c>
      <c r="U69" s="809">
        <f t="shared" si="24"/>
        <v>0</v>
      </c>
      <c r="V69" s="809">
        <f t="shared" si="24"/>
        <v>0</v>
      </c>
      <c r="W69" s="809">
        <f t="shared" si="24"/>
        <v>0</v>
      </c>
      <c r="X69" s="809">
        <f t="shared" si="24"/>
        <v>0</v>
      </c>
      <c r="Y69" s="809">
        <f t="shared" si="24"/>
        <v>0</v>
      </c>
      <c r="Z69" s="809">
        <f t="shared" si="24"/>
        <v>0</v>
      </c>
      <c r="AA69" s="809">
        <f t="shared" si="24"/>
        <v>0</v>
      </c>
      <c r="AB69" s="809">
        <f t="shared" si="24"/>
        <v>0</v>
      </c>
      <c r="AC69" s="809">
        <f t="shared" si="24"/>
        <v>0</v>
      </c>
      <c r="AD69" s="809">
        <f t="shared" si="24"/>
        <v>0</v>
      </c>
      <c r="AE69" s="809">
        <f t="shared" si="24"/>
        <v>21</v>
      </c>
      <c r="AF69" s="809">
        <f t="shared" si="24"/>
        <v>0</v>
      </c>
      <c r="AG69" s="809">
        <f t="shared" si="24"/>
        <v>21</v>
      </c>
    </row>
    <row r="70" spans="1:33" s="808" customFormat="1" ht="15.75" customHeight="1" x14ac:dyDescent="0.2">
      <c r="A70" s="155">
        <v>49</v>
      </c>
      <c r="B70" s="811">
        <f>[14]Стоимость!J51</f>
        <v>160783</v>
      </c>
      <c r="C70" s="153">
        <v>20</v>
      </c>
      <c r="D70" s="153"/>
      <c r="E70" s="153"/>
      <c r="F70" s="153">
        <v>1</v>
      </c>
      <c r="G70" s="153"/>
      <c r="H70" s="156"/>
      <c r="I70" s="153"/>
      <c r="J70" s="153"/>
      <c r="K70" s="153"/>
      <c r="L70" s="156"/>
      <c r="M70" s="156"/>
      <c r="N70" s="152"/>
      <c r="O70" s="156"/>
      <c r="P70" s="156"/>
      <c r="Q70" s="153"/>
      <c r="R70" s="153"/>
      <c r="S70" s="156"/>
      <c r="T70" s="153"/>
      <c r="U70" s="152"/>
      <c r="V70" s="152"/>
      <c r="W70" s="152"/>
      <c r="X70" s="152"/>
      <c r="Y70" s="156"/>
      <c r="Z70" s="153"/>
      <c r="AA70" s="153"/>
      <c r="AB70" s="153"/>
      <c r="AC70" s="812">
        <f>AB70*B70</f>
        <v>0</v>
      </c>
      <c r="AD70" s="152"/>
      <c r="AE70" s="813">
        <f>C70+D70+E70+F70+G70+H70+I70+J70+K70+L70+M70+N70+O70+P70+Q70+R70+S70+T70+U70+V70+W70+X70+Y70+Z70+AA70+AB70+AD70</f>
        <v>21</v>
      </c>
      <c r="AF70" s="814"/>
      <c r="AG70" s="813">
        <f>AE70+AF70</f>
        <v>21</v>
      </c>
    </row>
    <row r="71" spans="1:33" s="808" customFormat="1" ht="15.75" customHeight="1" x14ac:dyDescent="0.2">
      <c r="A71" s="163">
        <v>50</v>
      </c>
      <c r="B71" s="811">
        <f>[14]Стоимость!J52</f>
        <v>279616</v>
      </c>
      <c r="C71" s="153"/>
      <c r="D71" s="153"/>
      <c r="E71" s="153"/>
      <c r="F71" s="153"/>
      <c r="G71" s="153"/>
      <c r="H71" s="156"/>
      <c r="I71" s="153"/>
      <c r="J71" s="153"/>
      <c r="K71" s="153"/>
      <c r="L71" s="156"/>
      <c r="M71" s="156"/>
      <c r="N71" s="152"/>
      <c r="O71" s="156"/>
      <c r="P71" s="156"/>
      <c r="Q71" s="153"/>
      <c r="R71" s="153"/>
      <c r="S71" s="156"/>
      <c r="T71" s="153"/>
      <c r="U71" s="152"/>
      <c r="V71" s="152"/>
      <c r="W71" s="152"/>
      <c r="X71" s="152"/>
      <c r="Y71" s="156"/>
      <c r="Z71" s="153"/>
      <c r="AA71" s="153"/>
      <c r="AB71" s="153"/>
      <c r="AC71" s="812">
        <f>AB71*B71</f>
        <v>0</v>
      </c>
      <c r="AD71" s="152"/>
      <c r="AE71" s="813">
        <f>C71+D71+E71+F71+G71+H71+I71+J71+K71+L71+M71+N71+O71+P71+Q71+R71+S71+T71+U71+V71+W71+X71+Y71+Z71+AA71+AB71+AD71</f>
        <v>0</v>
      </c>
      <c r="AF71" s="814"/>
      <c r="AG71" s="813">
        <f>AE71+AF71</f>
        <v>0</v>
      </c>
    </row>
    <row r="72" spans="1:33" s="148" customFormat="1" ht="24" customHeight="1" x14ac:dyDescent="0.2">
      <c r="A72" s="847" t="s">
        <v>526</v>
      </c>
      <c r="B72" s="848"/>
      <c r="C72" s="809">
        <f t="shared" ref="C72:AG72" si="25">SUM(C73:C77)</f>
        <v>338</v>
      </c>
      <c r="D72" s="809">
        <f t="shared" si="25"/>
        <v>0</v>
      </c>
      <c r="E72" s="809">
        <f t="shared" si="25"/>
        <v>0</v>
      </c>
      <c r="F72" s="809">
        <f t="shared" si="25"/>
        <v>69</v>
      </c>
      <c r="G72" s="809">
        <f t="shared" si="25"/>
        <v>0</v>
      </c>
      <c r="H72" s="809">
        <f t="shared" si="25"/>
        <v>0</v>
      </c>
      <c r="I72" s="809">
        <f t="shared" si="25"/>
        <v>210</v>
      </c>
      <c r="J72" s="809">
        <f t="shared" si="25"/>
        <v>226</v>
      </c>
      <c r="K72" s="809">
        <f t="shared" si="25"/>
        <v>217</v>
      </c>
      <c r="L72" s="809">
        <f t="shared" si="25"/>
        <v>0</v>
      </c>
      <c r="M72" s="809">
        <f t="shared" si="25"/>
        <v>0</v>
      </c>
      <c r="N72" s="809">
        <f t="shared" si="25"/>
        <v>0</v>
      </c>
      <c r="O72" s="809">
        <f t="shared" si="25"/>
        <v>0</v>
      </c>
      <c r="P72" s="809">
        <f t="shared" si="25"/>
        <v>84</v>
      </c>
      <c r="Q72" s="809">
        <f t="shared" si="25"/>
        <v>272</v>
      </c>
      <c r="R72" s="809">
        <f t="shared" si="25"/>
        <v>319</v>
      </c>
      <c r="S72" s="809">
        <f t="shared" si="25"/>
        <v>0</v>
      </c>
      <c r="T72" s="809">
        <f t="shared" si="25"/>
        <v>30</v>
      </c>
      <c r="U72" s="809">
        <f t="shared" si="25"/>
        <v>38</v>
      </c>
      <c r="V72" s="809">
        <f t="shared" si="25"/>
        <v>45</v>
      </c>
      <c r="W72" s="809">
        <f t="shared" si="25"/>
        <v>0</v>
      </c>
      <c r="X72" s="809">
        <f t="shared" si="25"/>
        <v>20</v>
      </c>
      <c r="Y72" s="809">
        <f t="shared" si="25"/>
        <v>35</v>
      </c>
      <c r="Z72" s="809">
        <f t="shared" si="25"/>
        <v>86</v>
      </c>
      <c r="AA72" s="809">
        <f t="shared" si="25"/>
        <v>0</v>
      </c>
      <c r="AB72" s="809">
        <f t="shared" si="25"/>
        <v>0</v>
      </c>
      <c r="AC72" s="809">
        <f t="shared" si="25"/>
        <v>0</v>
      </c>
      <c r="AD72" s="809">
        <f t="shared" si="25"/>
        <v>0</v>
      </c>
      <c r="AE72" s="809">
        <f t="shared" si="25"/>
        <v>1989</v>
      </c>
      <c r="AF72" s="809">
        <f t="shared" si="25"/>
        <v>38</v>
      </c>
      <c r="AG72" s="809">
        <f t="shared" si="25"/>
        <v>2027</v>
      </c>
    </row>
    <row r="73" spans="1:33" s="808" customFormat="1" ht="15.75" customHeight="1" x14ac:dyDescent="0.2">
      <c r="A73" s="151">
        <v>51</v>
      </c>
      <c r="B73" s="811">
        <f>[14]Стоимость!J53</f>
        <v>151179</v>
      </c>
      <c r="C73" s="152">
        <v>73</v>
      </c>
      <c r="D73" s="152"/>
      <c r="E73" s="152"/>
      <c r="F73" s="152">
        <v>64</v>
      </c>
      <c r="G73" s="152"/>
      <c r="H73" s="152"/>
      <c r="I73" s="152">
        <v>40</v>
      </c>
      <c r="J73" s="818">
        <v>65</v>
      </c>
      <c r="K73" s="152">
        <v>77</v>
      </c>
      <c r="L73" s="152"/>
      <c r="M73" s="152"/>
      <c r="N73" s="152"/>
      <c r="O73" s="152"/>
      <c r="P73" s="152">
        <v>40</v>
      </c>
      <c r="Q73" s="152">
        <v>258</v>
      </c>
      <c r="R73" s="152">
        <v>20</v>
      </c>
      <c r="S73" s="152"/>
      <c r="T73" s="152">
        <v>12</v>
      </c>
      <c r="U73" s="152">
        <v>7</v>
      </c>
      <c r="V73" s="152">
        <v>10</v>
      </c>
      <c r="W73" s="152"/>
      <c r="X73" s="152"/>
      <c r="Y73" s="152"/>
      <c r="Z73" s="152">
        <v>35</v>
      </c>
      <c r="AA73" s="152"/>
      <c r="AB73" s="152"/>
      <c r="AC73" s="812">
        <f>AB73*B73</f>
        <v>0</v>
      </c>
      <c r="AD73" s="152"/>
      <c r="AE73" s="813">
        <f>C73+D73+E73+F73+G73+H73+I73+J73+K73+L73+M73+N73+O73+P73+Q73+R73+S73+T73+U73+V73+W73+X73+Y73+Z73+AA73+AB73+AD73</f>
        <v>701</v>
      </c>
      <c r="AF73" s="814"/>
      <c r="AG73" s="813">
        <f>AE73+AF73</f>
        <v>701</v>
      </c>
    </row>
    <row r="74" spans="1:33" s="808" customFormat="1" ht="15.75" customHeight="1" x14ac:dyDescent="0.2">
      <c r="A74" s="151">
        <v>52</v>
      </c>
      <c r="B74" s="811">
        <f>[14]Стоимость!J54</f>
        <v>309886</v>
      </c>
      <c r="C74" s="818">
        <v>15</v>
      </c>
      <c r="D74" s="152"/>
      <c r="E74" s="152"/>
      <c r="F74" s="152">
        <v>5</v>
      </c>
      <c r="G74" s="152"/>
      <c r="H74" s="152"/>
      <c r="I74" s="152"/>
      <c r="J74" s="818">
        <v>61</v>
      </c>
      <c r="K74" s="818">
        <v>15</v>
      </c>
      <c r="L74" s="152"/>
      <c r="M74" s="152"/>
      <c r="N74" s="152"/>
      <c r="O74" s="152"/>
      <c r="P74" s="152">
        <v>5</v>
      </c>
      <c r="Q74" s="152">
        <v>4</v>
      </c>
      <c r="R74" s="152"/>
      <c r="S74" s="152"/>
      <c r="T74" s="152">
        <v>10</v>
      </c>
      <c r="U74" s="152">
        <v>11</v>
      </c>
      <c r="V74" s="152">
        <v>35</v>
      </c>
      <c r="W74" s="152"/>
      <c r="X74" s="152">
        <v>10</v>
      </c>
      <c r="Y74" s="152">
        <v>35</v>
      </c>
      <c r="Z74" s="152">
        <v>40</v>
      </c>
      <c r="AA74" s="152"/>
      <c r="AB74" s="152"/>
      <c r="AC74" s="812">
        <f>AB74*B74</f>
        <v>0</v>
      </c>
      <c r="AD74" s="152"/>
      <c r="AE74" s="813">
        <f>C74+D74+E74+F74+G74+H74+I74+J74+K74+L74+M74+N74+O74+P74+Q74+R74+S74+T74+U74+V74+W74+X74+Y74+Z74+AA74+AB74+AD74</f>
        <v>246</v>
      </c>
      <c r="AF74" s="814"/>
      <c r="AG74" s="813">
        <f>AE74+AF74</f>
        <v>246</v>
      </c>
    </row>
    <row r="75" spans="1:33" s="808" customFormat="1" ht="15.75" customHeight="1" x14ac:dyDescent="0.2">
      <c r="A75" s="151">
        <v>53</v>
      </c>
      <c r="B75" s="811">
        <f>[14]Стоимость!J55</f>
        <v>159765</v>
      </c>
      <c r="C75" s="152">
        <v>125</v>
      </c>
      <c r="D75" s="152"/>
      <c r="E75" s="152"/>
      <c r="F75" s="152"/>
      <c r="G75" s="152"/>
      <c r="H75" s="152"/>
      <c r="I75" s="152">
        <v>170</v>
      </c>
      <c r="J75" s="152">
        <v>90</v>
      </c>
      <c r="K75" s="152">
        <v>125</v>
      </c>
      <c r="L75" s="152"/>
      <c r="M75" s="152"/>
      <c r="N75" s="152"/>
      <c r="O75" s="152"/>
      <c r="P75" s="152">
        <v>39</v>
      </c>
      <c r="Q75" s="152"/>
      <c r="R75" s="152">
        <f>199</f>
        <v>199</v>
      </c>
      <c r="S75" s="152"/>
      <c r="T75" s="152">
        <v>8</v>
      </c>
      <c r="U75" s="152">
        <v>20</v>
      </c>
      <c r="V75" s="152"/>
      <c r="W75" s="152"/>
      <c r="X75" s="152">
        <v>10</v>
      </c>
      <c r="Y75" s="152"/>
      <c r="Z75" s="152">
        <v>11</v>
      </c>
      <c r="AA75" s="152"/>
      <c r="AB75" s="152"/>
      <c r="AC75" s="812">
        <f>AB75*B75</f>
        <v>0</v>
      </c>
      <c r="AD75" s="152"/>
      <c r="AE75" s="813">
        <f>C75+D75+E75+F75+G75+H75+I75+J75+K75+L75+M75+N75+O75+P75+Q75+R75+S75+T75+U75+V75+W75+X75+Y75+Z75+AA75+AB75+AD75</f>
        <v>797</v>
      </c>
      <c r="AF75" s="814">
        <v>38</v>
      </c>
      <c r="AG75" s="813">
        <f>AE75+AF75</f>
        <v>835</v>
      </c>
    </row>
    <row r="76" spans="1:33" s="808" customFormat="1" ht="15.75" customHeight="1" x14ac:dyDescent="0.2">
      <c r="A76" s="151">
        <v>54</v>
      </c>
      <c r="B76" s="811">
        <f>[14]Стоимость!J56</f>
        <v>240720</v>
      </c>
      <c r="C76" s="818">
        <v>125</v>
      </c>
      <c r="D76" s="152"/>
      <c r="E76" s="152"/>
      <c r="F76" s="152"/>
      <c r="G76" s="152"/>
      <c r="H76" s="160"/>
      <c r="I76" s="152"/>
      <c r="J76" s="152">
        <v>10</v>
      </c>
      <c r="K76" s="152"/>
      <c r="L76" s="160"/>
      <c r="M76" s="160"/>
      <c r="N76" s="152"/>
      <c r="O76" s="160"/>
      <c r="P76" s="152"/>
      <c r="Q76" s="152"/>
      <c r="R76" s="152">
        <v>100</v>
      </c>
      <c r="S76" s="160"/>
      <c r="T76" s="152"/>
      <c r="U76" s="152"/>
      <c r="V76" s="152"/>
      <c r="W76" s="152"/>
      <c r="X76" s="152"/>
      <c r="Y76" s="160"/>
      <c r="Z76" s="152"/>
      <c r="AA76" s="152"/>
      <c r="AB76" s="152"/>
      <c r="AC76" s="812">
        <f>AB76*B76</f>
        <v>0</v>
      </c>
      <c r="AD76" s="152"/>
      <c r="AE76" s="813">
        <f>C76+D76+E76+F76+G76+H76+I76+J76+K76+L76+M76+N76+O76+P76+Q76+R76+S76+T76+U76+V76+W76+X76+Y76+Z76+AA76+AB76+AD76</f>
        <v>235</v>
      </c>
      <c r="AF76" s="814"/>
      <c r="AG76" s="813">
        <f>AE76+AF76</f>
        <v>235</v>
      </c>
    </row>
    <row r="77" spans="1:33" s="808" customFormat="1" ht="15.75" customHeight="1" x14ac:dyDescent="0.2">
      <c r="A77" s="151">
        <v>55</v>
      </c>
      <c r="B77" s="811">
        <f>[14]Стоимость!J57</f>
        <v>378732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>
        <v>10</v>
      </c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812">
        <f>AB77*B77</f>
        <v>0</v>
      </c>
      <c r="AD77" s="152"/>
      <c r="AE77" s="813">
        <f>C77+D77+E77+F77+G77+H77+I77+J77+K77+L77+M77+N77+O77+P77+Q77+R77+S77+T77+U77+V77+W77+X77+Y77+Z77+AA77+AB77+AD77</f>
        <v>10</v>
      </c>
      <c r="AF77" s="814"/>
      <c r="AG77" s="813">
        <f>AE77+AF77</f>
        <v>10</v>
      </c>
    </row>
    <row r="78" spans="1:33" s="148" customFormat="1" ht="18.75" customHeight="1" x14ac:dyDescent="0.2">
      <c r="A78" s="847" t="s">
        <v>527</v>
      </c>
      <c r="B78" s="848"/>
      <c r="C78" s="809">
        <f t="shared" ref="C78:AG78" si="26">C79+C80</f>
        <v>124</v>
      </c>
      <c r="D78" s="809">
        <f t="shared" si="26"/>
        <v>0</v>
      </c>
      <c r="E78" s="809">
        <f t="shared" si="26"/>
        <v>0</v>
      </c>
      <c r="F78" s="809">
        <f t="shared" si="26"/>
        <v>131</v>
      </c>
      <c r="G78" s="809">
        <f t="shared" si="26"/>
        <v>0</v>
      </c>
      <c r="H78" s="809">
        <f t="shared" si="26"/>
        <v>0</v>
      </c>
      <c r="I78" s="809">
        <f t="shared" si="26"/>
        <v>0</v>
      </c>
      <c r="J78" s="809">
        <f t="shared" si="26"/>
        <v>0</v>
      </c>
      <c r="K78" s="809">
        <f t="shared" si="26"/>
        <v>10</v>
      </c>
      <c r="L78" s="809">
        <f t="shared" si="26"/>
        <v>0</v>
      </c>
      <c r="M78" s="809">
        <f t="shared" si="26"/>
        <v>0</v>
      </c>
      <c r="N78" s="809">
        <f t="shared" si="26"/>
        <v>6</v>
      </c>
      <c r="O78" s="809">
        <f t="shared" si="26"/>
        <v>0</v>
      </c>
      <c r="P78" s="809">
        <f t="shared" si="26"/>
        <v>0</v>
      </c>
      <c r="Q78" s="809">
        <f t="shared" si="26"/>
        <v>42</v>
      </c>
      <c r="R78" s="809">
        <f t="shared" si="26"/>
        <v>0</v>
      </c>
      <c r="S78" s="809">
        <f t="shared" si="26"/>
        <v>0</v>
      </c>
      <c r="T78" s="809">
        <f t="shared" si="26"/>
        <v>0</v>
      </c>
      <c r="U78" s="809">
        <f t="shared" si="26"/>
        <v>0</v>
      </c>
      <c r="V78" s="809">
        <f t="shared" si="26"/>
        <v>0</v>
      </c>
      <c r="W78" s="809">
        <f t="shared" si="26"/>
        <v>0</v>
      </c>
      <c r="X78" s="809">
        <f t="shared" si="26"/>
        <v>0</v>
      </c>
      <c r="Y78" s="809">
        <f t="shared" si="26"/>
        <v>0</v>
      </c>
      <c r="Z78" s="809">
        <f t="shared" si="26"/>
        <v>0</v>
      </c>
      <c r="AA78" s="809">
        <f t="shared" si="26"/>
        <v>50</v>
      </c>
      <c r="AB78" s="809">
        <f t="shared" si="26"/>
        <v>0</v>
      </c>
      <c r="AC78" s="809">
        <f t="shared" si="26"/>
        <v>0</v>
      </c>
      <c r="AD78" s="809">
        <f t="shared" si="26"/>
        <v>0</v>
      </c>
      <c r="AE78" s="809">
        <f t="shared" si="26"/>
        <v>363</v>
      </c>
      <c r="AF78" s="809">
        <f t="shared" si="26"/>
        <v>0</v>
      </c>
      <c r="AG78" s="809">
        <f t="shared" si="26"/>
        <v>363</v>
      </c>
    </row>
    <row r="79" spans="1:33" s="808" customFormat="1" ht="18" customHeight="1" x14ac:dyDescent="0.2">
      <c r="A79" s="155">
        <v>56</v>
      </c>
      <c r="B79" s="811">
        <f>[14]Стоимость!J58</f>
        <v>107029</v>
      </c>
      <c r="C79" s="818">
        <v>104</v>
      </c>
      <c r="D79" s="152"/>
      <c r="E79" s="152"/>
      <c r="F79" s="152">
        <v>131</v>
      </c>
      <c r="G79" s="152"/>
      <c r="H79" s="152"/>
      <c r="I79" s="152"/>
      <c r="J79" s="152"/>
      <c r="K79" s="152">
        <v>10</v>
      </c>
      <c r="L79" s="152"/>
      <c r="M79" s="152"/>
      <c r="N79" s="152">
        <v>4</v>
      </c>
      <c r="O79" s="152"/>
      <c r="P79" s="152"/>
      <c r="Q79" s="152">
        <v>42</v>
      </c>
      <c r="R79" s="152"/>
      <c r="S79" s="152"/>
      <c r="T79" s="152"/>
      <c r="U79" s="152"/>
      <c r="V79" s="152"/>
      <c r="W79" s="152"/>
      <c r="X79" s="152"/>
      <c r="Y79" s="152"/>
      <c r="Z79" s="152"/>
      <c r="AA79" s="152">
        <v>40</v>
      </c>
      <c r="AB79" s="152"/>
      <c r="AC79" s="812">
        <f>AB79*B79</f>
        <v>0</v>
      </c>
      <c r="AD79" s="152"/>
      <c r="AE79" s="813">
        <f>C79+D79+E79+F79+G79+H79+I79+J79+K79+L79+M79+N79+O79+P79+Q79+R79+S79+T79+U79+V79+W79+X79+Y79+Z79+AA79+AB79+AD79</f>
        <v>331</v>
      </c>
      <c r="AF79" s="814"/>
      <c r="AG79" s="813">
        <f>AE79+AF79</f>
        <v>331</v>
      </c>
    </row>
    <row r="80" spans="1:33" s="808" customFormat="1" ht="12.75" customHeight="1" x14ac:dyDescent="0.2">
      <c r="A80" s="155">
        <v>57</v>
      </c>
      <c r="B80" s="811">
        <f>[14]Стоимость!J59</f>
        <v>158170</v>
      </c>
      <c r="C80" s="818">
        <v>20</v>
      </c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>
        <v>2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>
        <v>10</v>
      </c>
      <c r="AB80" s="152"/>
      <c r="AC80" s="812">
        <f>AB80*B80</f>
        <v>0</v>
      </c>
      <c r="AD80" s="152"/>
      <c r="AE80" s="813">
        <f>C80+D80+E80+F80+G80+H80+I80+J80+K80+L80+M80+N80+O80+P80+Q80+R80+S80+T80+U80+V80+W80+X80+Y80+Z80+AA80+AB80+AD80</f>
        <v>32</v>
      </c>
      <c r="AF80" s="814"/>
      <c r="AG80" s="813">
        <f>AE80+AF80</f>
        <v>32</v>
      </c>
    </row>
    <row r="81" spans="1:33" s="148" customFormat="1" ht="24.75" customHeight="1" x14ac:dyDescent="0.2">
      <c r="A81" s="847" t="s">
        <v>528</v>
      </c>
      <c r="B81" s="848"/>
      <c r="C81" s="809">
        <f t="shared" ref="C81:AG81" si="27">C82</f>
        <v>0</v>
      </c>
      <c r="D81" s="809">
        <f t="shared" si="27"/>
        <v>0</v>
      </c>
      <c r="E81" s="809">
        <f t="shared" si="27"/>
        <v>0</v>
      </c>
      <c r="F81" s="809">
        <f t="shared" si="27"/>
        <v>60</v>
      </c>
      <c r="G81" s="809">
        <f t="shared" si="27"/>
        <v>0</v>
      </c>
      <c r="H81" s="809">
        <f t="shared" si="27"/>
        <v>0</v>
      </c>
      <c r="I81" s="809">
        <f t="shared" si="27"/>
        <v>0</v>
      </c>
      <c r="J81" s="809">
        <f t="shared" si="27"/>
        <v>0</v>
      </c>
      <c r="K81" s="809">
        <f t="shared" si="27"/>
        <v>51</v>
      </c>
      <c r="L81" s="809">
        <f t="shared" si="27"/>
        <v>0</v>
      </c>
      <c r="M81" s="809">
        <f t="shared" si="27"/>
        <v>0</v>
      </c>
      <c r="N81" s="809">
        <f t="shared" si="27"/>
        <v>0</v>
      </c>
      <c r="O81" s="809">
        <f t="shared" si="27"/>
        <v>0</v>
      </c>
      <c r="P81" s="809">
        <f t="shared" si="27"/>
        <v>0</v>
      </c>
      <c r="Q81" s="809">
        <f t="shared" si="27"/>
        <v>0</v>
      </c>
      <c r="R81" s="809">
        <f t="shared" si="27"/>
        <v>0</v>
      </c>
      <c r="S81" s="809">
        <f t="shared" si="27"/>
        <v>0</v>
      </c>
      <c r="T81" s="809">
        <f t="shared" si="27"/>
        <v>0</v>
      </c>
      <c r="U81" s="809">
        <f t="shared" si="27"/>
        <v>0</v>
      </c>
      <c r="V81" s="809">
        <f t="shared" si="27"/>
        <v>0</v>
      </c>
      <c r="W81" s="809">
        <f t="shared" si="27"/>
        <v>0</v>
      </c>
      <c r="X81" s="809">
        <f t="shared" si="27"/>
        <v>0</v>
      </c>
      <c r="Y81" s="809">
        <f t="shared" si="27"/>
        <v>0</v>
      </c>
      <c r="Z81" s="809">
        <f t="shared" si="27"/>
        <v>13</v>
      </c>
      <c r="AA81" s="809">
        <f t="shared" si="27"/>
        <v>0</v>
      </c>
      <c r="AB81" s="809">
        <f t="shared" si="27"/>
        <v>0</v>
      </c>
      <c r="AC81" s="809">
        <f t="shared" si="27"/>
        <v>0</v>
      </c>
      <c r="AD81" s="809">
        <f t="shared" si="27"/>
        <v>0</v>
      </c>
      <c r="AE81" s="809">
        <f t="shared" si="27"/>
        <v>124</v>
      </c>
      <c r="AF81" s="809">
        <f t="shared" si="27"/>
        <v>0</v>
      </c>
      <c r="AG81" s="809">
        <f t="shared" si="27"/>
        <v>124</v>
      </c>
    </row>
    <row r="82" spans="1:33" s="808" customFormat="1" ht="16.5" customHeight="1" x14ac:dyDescent="0.2">
      <c r="A82" s="155">
        <v>58</v>
      </c>
      <c r="B82" s="811">
        <f>[14]Стоимость!J60</f>
        <v>139828</v>
      </c>
      <c r="C82" s="152"/>
      <c r="D82" s="152"/>
      <c r="E82" s="152"/>
      <c r="F82" s="152">
        <v>60</v>
      </c>
      <c r="G82" s="152"/>
      <c r="H82" s="152"/>
      <c r="I82" s="152"/>
      <c r="J82" s="152"/>
      <c r="K82" s="152">
        <v>51</v>
      </c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>
        <v>13</v>
      </c>
      <c r="AA82" s="152"/>
      <c r="AB82" s="152"/>
      <c r="AC82" s="812">
        <f>AB82*B82</f>
        <v>0</v>
      </c>
      <c r="AD82" s="152"/>
      <c r="AE82" s="813">
        <f>C82+D82+E82+F82+G82+H82+I82+J82+K82+L82+M82+N82+O82+P82+Q82+R82+S82+T82+U82+V82+W82+X82+Y82+Z82+AA82+AB82+AD82</f>
        <v>124</v>
      </c>
      <c r="AF82" s="814"/>
      <c r="AG82" s="813">
        <f>AE82+AF82</f>
        <v>124</v>
      </c>
    </row>
    <row r="83" spans="1:33" s="148" customFormat="1" ht="18.75" customHeight="1" x14ac:dyDescent="0.2">
      <c r="A83" s="847" t="s">
        <v>529</v>
      </c>
      <c r="B83" s="848"/>
      <c r="C83" s="809">
        <f t="shared" ref="C83:AG83" si="28">C84+C85</f>
        <v>10</v>
      </c>
      <c r="D83" s="809">
        <f t="shared" si="28"/>
        <v>0</v>
      </c>
      <c r="E83" s="809">
        <f t="shared" si="28"/>
        <v>0</v>
      </c>
      <c r="F83" s="809">
        <f t="shared" si="28"/>
        <v>80</v>
      </c>
      <c r="G83" s="809">
        <f t="shared" si="28"/>
        <v>0</v>
      </c>
      <c r="H83" s="809">
        <f t="shared" si="28"/>
        <v>0</v>
      </c>
      <c r="I83" s="809">
        <f t="shared" si="28"/>
        <v>0</v>
      </c>
      <c r="J83" s="809">
        <f t="shared" si="28"/>
        <v>0</v>
      </c>
      <c r="K83" s="809">
        <f t="shared" si="28"/>
        <v>10</v>
      </c>
      <c r="L83" s="809">
        <f t="shared" si="28"/>
        <v>0</v>
      </c>
      <c r="M83" s="809">
        <f t="shared" si="28"/>
        <v>0</v>
      </c>
      <c r="N83" s="809">
        <f t="shared" si="28"/>
        <v>0</v>
      </c>
      <c r="O83" s="809">
        <f t="shared" si="28"/>
        <v>0</v>
      </c>
      <c r="P83" s="809">
        <f t="shared" si="28"/>
        <v>0</v>
      </c>
      <c r="Q83" s="809">
        <f t="shared" si="28"/>
        <v>0</v>
      </c>
      <c r="R83" s="809">
        <f t="shared" si="28"/>
        <v>0</v>
      </c>
      <c r="S83" s="809">
        <f t="shared" si="28"/>
        <v>0</v>
      </c>
      <c r="T83" s="809">
        <f t="shared" si="28"/>
        <v>0</v>
      </c>
      <c r="U83" s="809">
        <f t="shared" si="28"/>
        <v>0</v>
      </c>
      <c r="V83" s="809">
        <f t="shared" si="28"/>
        <v>0</v>
      </c>
      <c r="W83" s="809">
        <f t="shared" si="28"/>
        <v>0</v>
      </c>
      <c r="X83" s="809">
        <f t="shared" si="28"/>
        <v>0</v>
      </c>
      <c r="Y83" s="809">
        <f t="shared" si="28"/>
        <v>0</v>
      </c>
      <c r="Z83" s="809">
        <f t="shared" si="28"/>
        <v>0</v>
      </c>
      <c r="AA83" s="809">
        <f t="shared" si="28"/>
        <v>0</v>
      </c>
      <c r="AB83" s="809">
        <f t="shared" si="28"/>
        <v>0</v>
      </c>
      <c r="AC83" s="809">
        <f t="shared" si="28"/>
        <v>0</v>
      </c>
      <c r="AD83" s="809">
        <f t="shared" si="28"/>
        <v>0</v>
      </c>
      <c r="AE83" s="809">
        <f t="shared" si="28"/>
        <v>100</v>
      </c>
      <c r="AF83" s="809">
        <f t="shared" si="28"/>
        <v>0</v>
      </c>
      <c r="AG83" s="809">
        <f t="shared" si="28"/>
        <v>100</v>
      </c>
    </row>
    <row r="84" spans="1:33" s="808" customFormat="1" ht="15.75" customHeight="1" x14ac:dyDescent="0.2">
      <c r="A84" s="155">
        <v>59</v>
      </c>
      <c r="B84" s="811">
        <f>[14]Стоимость!J61</f>
        <v>208400</v>
      </c>
      <c r="C84" s="152">
        <v>10</v>
      </c>
      <c r="D84" s="152"/>
      <c r="E84" s="152"/>
      <c r="F84" s="152">
        <v>80</v>
      </c>
      <c r="G84" s="152"/>
      <c r="H84" s="152"/>
      <c r="I84" s="152"/>
      <c r="J84" s="152"/>
      <c r="K84" s="152">
        <v>10</v>
      </c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812">
        <f>AB84*B84</f>
        <v>0</v>
      </c>
      <c r="AD84" s="152"/>
      <c r="AE84" s="813">
        <f>C84+D84+E84+F84+G84+H84+I84+J84+K84+L84+M84+N84+O84+P84+Q84+R84+S84+T84+U84+V84+W84+X84+Y84+Z84+AA84+AB84+AD84</f>
        <v>100</v>
      </c>
      <c r="AF84" s="814"/>
      <c r="AG84" s="813">
        <f>AE84+AF84</f>
        <v>100</v>
      </c>
    </row>
    <row r="85" spans="1:33" s="808" customFormat="1" ht="17.25" customHeight="1" x14ac:dyDescent="0.2">
      <c r="A85" s="155">
        <v>60</v>
      </c>
      <c r="B85" s="811">
        <f>[14]Стоимость!J62</f>
        <v>116200</v>
      </c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812">
        <f>AB85*B85</f>
        <v>0</v>
      </c>
      <c r="AD85" s="152"/>
      <c r="AE85" s="813">
        <f>C85+D85+E85+F85+G85+H85+I85+J85+K85+L85+M85+N85+O85+P85+Q85+R85+S85+T85+U85+V85+W85+X85+Y85+Z85+AA85+AB85+AD85</f>
        <v>0</v>
      </c>
      <c r="AF85" s="814"/>
      <c r="AG85" s="813">
        <f>AE85+AF85</f>
        <v>0</v>
      </c>
    </row>
    <row r="86" spans="1:33" s="148" customFormat="1" ht="18.75" customHeight="1" x14ac:dyDescent="0.2">
      <c r="A86" s="853" t="s">
        <v>1</v>
      </c>
      <c r="B86" s="854"/>
      <c r="C86" s="823">
        <f t="shared" ref="C86:AG86" si="29">C6+C9+C12+C14+C17+C19+C21+C24+C31+C34+C41+C45+C53+C55+C69+C72+C78+C81+C83+C48</f>
        <v>2873</v>
      </c>
      <c r="D86" s="823">
        <f t="shared" si="29"/>
        <v>1687</v>
      </c>
      <c r="E86" s="823">
        <f t="shared" si="29"/>
        <v>3650</v>
      </c>
      <c r="F86" s="823">
        <f t="shared" si="29"/>
        <v>1060</v>
      </c>
      <c r="G86" s="823">
        <f t="shared" si="29"/>
        <v>871</v>
      </c>
      <c r="H86" s="823">
        <f t="shared" si="29"/>
        <v>48</v>
      </c>
      <c r="I86" s="823">
        <f t="shared" si="29"/>
        <v>210</v>
      </c>
      <c r="J86" s="823">
        <f t="shared" si="29"/>
        <v>1145</v>
      </c>
      <c r="K86" s="823">
        <f t="shared" si="29"/>
        <v>1180</v>
      </c>
      <c r="L86" s="823">
        <f t="shared" si="29"/>
        <v>57</v>
      </c>
      <c r="M86" s="823">
        <f t="shared" si="29"/>
        <v>2000</v>
      </c>
      <c r="N86" s="823">
        <f t="shared" si="29"/>
        <v>206</v>
      </c>
      <c r="O86" s="823">
        <f t="shared" si="29"/>
        <v>0</v>
      </c>
      <c r="P86" s="823">
        <f t="shared" si="29"/>
        <v>369</v>
      </c>
      <c r="Q86" s="823">
        <f t="shared" si="29"/>
        <v>401</v>
      </c>
      <c r="R86" s="823">
        <f t="shared" si="29"/>
        <v>885</v>
      </c>
      <c r="S86" s="823">
        <f t="shared" si="29"/>
        <v>120</v>
      </c>
      <c r="T86" s="823">
        <f t="shared" si="29"/>
        <v>253</v>
      </c>
      <c r="U86" s="823">
        <f t="shared" si="29"/>
        <v>223</v>
      </c>
      <c r="V86" s="823">
        <f t="shared" si="29"/>
        <v>121</v>
      </c>
      <c r="W86" s="823">
        <f t="shared" si="29"/>
        <v>265</v>
      </c>
      <c r="X86" s="823">
        <f t="shared" si="29"/>
        <v>30</v>
      </c>
      <c r="Y86" s="823">
        <f t="shared" si="29"/>
        <v>367</v>
      </c>
      <c r="Z86" s="823">
        <f t="shared" si="29"/>
        <v>943</v>
      </c>
      <c r="AA86" s="823">
        <f t="shared" si="29"/>
        <v>265</v>
      </c>
      <c r="AB86" s="823">
        <f t="shared" si="29"/>
        <v>0</v>
      </c>
      <c r="AC86" s="823">
        <f t="shared" si="29"/>
        <v>0</v>
      </c>
      <c r="AD86" s="823">
        <f t="shared" si="29"/>
        <v>450</v>
      </c>
      <c r="AE86" s="823">
        <f t="shared" si="29"/>
        <v>19679</v>
      </c>
      <c r="AF86" s="823">
        <f t="shared" si="29"/>
        <v>38</v>
      </c>
      <c r="AG86" s="823">
        <f t="shared" si="29"/>
        <v>19717</v>
      </c>
    </row>
    <row r="87" spans="1:33" x14ac:dyDescent="0.2">
      <c r="B87" s="824"/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  <c r="Q87" s="824"/>
      <c r="R87" s="824"/>
      <c r="S87" s="824"/>
      <c r="T87" s="824"/>
      <c r="U87" s="824"/>
      <c r="V87" s="824"/>
      <c r="W87" s="824"/>
      <c r="X87" s="824"/>
      <c r="Y87" s="824"/>
      <c r="Z87" s="824"/>
      <c r="AA87" s="824"/>
      <c r="AB87" s="824"/>
      <c r="AC87" s="824"/>
      <c r="AD87" s="824"/>
      <c r="AE87" s="824"/>
      <c r="AF87" s="825"/>
      <c r="AG87" s="824"/>
    </row>
    <row r="89" spans="1:33" s="828" customFormat="1" ht="11.25" x14ac:dyDescent="0.2">
      <c r="A89" s="855"/>
      <c r="B89" s="855"/>
      <c r="C89" s="166"/>
      <c r="D89" s="166"/>
      <c r="E89" s="166"/>
      <c r="F89" s="166"/>
      <c r="G89" s="166"/>
      <c r="H89" s="167"/>
      <c r="I89" s="166"/>
      <c r="J89" s="166"/>
      <c r="K89" s="166"/>
      <c r="L89" s="167"/>
      <c r="M89" s="167"/>
      <c r="N89" s="826"/>
      <c r="O89" s="167"/>
      <c r="P89" s="167"/>
      <c r="Q89" s="166"/>
      <c r="R89" s="166"/>
      <c r="S89" s="167"/>
      <c r="T89" s="166"/>
      <c r="U89" s="826"/>
      <c r="V89" s="826"/>
      <c r="W89" s="826"/>
      <c r="X89" s="826"/>
      <c r="Y89" s="167"/>
      <c r="Z89" s="166"/>
      <c r="AA89" s="166"/>
      <c r="AB89" s="166"/>
      <c r="AC89" s="826"/>
      <c r="AD89" s="826"/>
      <c r="AE89" s="826"/>
      <c r="AF89" s="827"/>
      <c r="AG89" s="827"/>
    </row>
    <row r="90" spans="1:33" s="829" customFormat="1" ht="11.25" x14ac:dyDescent="0.2">
      <c r="A90" s="168"/>
      <c r="C90" s="169"/>
      <c r="D90" s="169"/>
      <c r="E90" s="169"/>
      <c r="F90" s="169"/>
      <c r="G90" s="169"/>
      <c r="H90" s="170"/>
      <c r="I90" s="169"/>
      <c r="J90" s="169"/>
      <c r="K90" s="169"/>
      <c r="L90" s="170"/>
      <c r="M90" s="170"/>
      <c r="O90" s="170"/>
      <c r="P90" s="170"/>
      <c r="Q90" s="169"/>
      <c r="R90" s="169"/>
      <c r="S90" s="170"/>
      <c r="T90" s="169"/>
      <c r="Y90" s="170"/>
      <c r="Z90" s="169"/>
      <c r="AA90" s="169"/>
      <c r="AB90" s="169"/>
      <c r="AF90" s="830"/>
      <c r="AG90" s="830"/>
    </row>
  </sheetData>
  <mergeCells count="27">
    <mergeCell ref="A83:B83"/>
    <mergeCell ref="A86:B86"/>
    <mergeCell ref="A89:B89"/>
    <mergeCell ref="A53:B53"/>
    <mergeCell ref="A55:B55"/>
    <mergeCell ref="A69:B69"/>
    <mergeCell ref="A72:B72"/>
    <mergeCell ref="A78:B78"/>
    <mergeCell ref="A81:B81"/>
    <mergeCell ref="A48:B48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45:B45"/>
    <mergeCell ref="A6:B6"/>
    <mergeCell ref="A1:O1"/>
    <mergeCell ref="A2:A4"/>
    <mergeCell ref="B2:B4"/>
    <mergeCell ref="AB2:AC2"/>
    <mergeCell ref="AB4:AC4"/>
  </mergeCells>
  <pageMargins left="0" right="0" top="0.19685039370078741" bottom="0" header="0.70866141732283472" footer="0.31496062992125984"/>
  <pageSetup paperSize="9" scale="4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35"/>
  <sheetViews>
    <sheetView workbookViewId="0">
      <pane xSplit="3" ySplit="8" topLeftCell="G9" activePane="bottomRight" state="frozen"/>
      <selection pane="topRight" activeCell="D1" sqref="D1"/>
      <selection pane="bottomLeft" activeCell="A9" sqref="A9"/>
      <selection pane="bottomRight" activeCell="H32" sqref="H32"/>
    </sheetView>
  </sheetViews>
  <sheetFormatPr defaultColWidth="9.140625" defaultRowHeight="12.75" x14ac:dyDescent="0.25"/>
  <cols>
    <col min="1" max="1" width="3.42578125" style="48" customWidth="1"/>
    <col min="2" max="2" width="7.5703125" style="48" customWidth="1"/>
    <col min="3" max="3" width="30.42578125" style="47" customWidth="1"/>
    <col min="4" max="4" width="6.7109375" style="50" customWidth="1"/>
    <col min="5" max="5" width="7.42578125" style="50" customWidth="1"/>
    <col min="6" max="6" width="7.140625" style="50" customWidth="1"/>
    <col min="7" max="7" width="9.28515625" style="50" customWidth="1"/>
    <col min="8" max="8" width="12.140625" style="50" customWidth="1"/>
    <col min="9" max="9" width="7.42578125" style="50" customWidth="1"/>
    <col min="10" max="10" width="7.7109375" style="51" customWidth="1"/>
    <col min="11" max="11" width="6.42578125" style="50" customWidth="1"/>
    <col min="12" max="12" width="7" style="51" customWidth="1"/>
    <col min="13" max="13" width="8.42578125" style="50" customWidth="1"/>
    <col min="14" max="14" width="10" style="50" customWidth="1"/>
    <col min="15" max="15" width="10.85546875" style="50" customWidth="1"/>
    <col min="16" max="16" width="9.85546875" style="50" customWidth="1"/>
    <col min="17" max="17" width="10.140625" style="50" customWidth="1"/>
    <col min="18" max="18" width="9.5703125" style="51" customWidth="1"/>
    <col min="19" max="19" width="9.140625" style="51" customWidth="1"/>
    <col min="20" max="20" width="11.85546875" style="47" customWidth="1"/>
    <col min="21" max="16384" width="9.140625" style="47"/>
  </cols>
  <sheetData>
    <row r="1" spans="1:19" ht="15.75" x14ac:dyDescent="0.25">
      <c r="A1" s="1008" t="s">
        <v>2207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</row>
    <row r="2" spans="1:19" ht="13.5" thickBot="1" x14ac:dyDescent="0.3"/>
    <row r="3" spans="1:19" s="313" customFormat="1" ht="11.25" x14ac:dyDescent="0.25">
      <c r="A3" s="1077" t="s">
        <v>0</v>
      </c>
      <c r="B3" s="1080" t="s">
        <v>296</v>
      </c>
      <c r="C3" s="1083" t="s">
        <v>297</v>
      </c>
      <c r="D3" s="1086" t="s">
        <v>2208</v>
      </c>
      <c r="E3" s="1087"/>
      <c r="F3" s="1087"/>
      <c r="G3" s="1087"/>
      <c r="H3" s="1087"/>
      <c r="I3" s="1087"/>
      <c r="J3" s="1087"/>
      <c r="K3" s="1088"/>
      <c r="L3" s="1089"/>
      <c r="M3" s="1090" t="s">
        <v>2209</v>
      </c>
      <c r="N3" s="1090" t="s">
        <v>2210</v>
      </c>
      <c r="O3" s="1086" t="s">
        <v>2211</v>
      </c>
      <c r="P3" s="1093"/>
      <c r="Q3" s="1093"/>
      <c r="R3" s="1094"/>
      <c r="S3" s="1095" t="s">
        <v>329</v>
      </c>
    </row>
    <row r="4" spans="1:19" s="313" customFormat="1" ht="11.25" x14ac:dyDescent="0.25">
      <c r="A4" s="1078"/>
      <c r="B4" s="1081"/>
      <c r="C4" s="1084"/>
      <c r="D4" s="1098" t="s">
        <v>2212</v>
      </c>
      <c r="E4" s="1099"/>
      <c r="F4" s="1099"/>
      <c r="G4" s="1099"/>
      <c r="H4" s="1099"/>
      <c r="I4" s="1099"/>
      <c r="J4" s="1100"/>
      <c r="K4" s="1101" t="s">
        <v>2213</v>
      </c>
      <c r="L4" s="1103" t="s">
        <v>1</v>
      </c>
      <c r="M4" s="1091"/>
      <c r="N4" s="1091"/>
      <c r="O4" s="1105" t="s">
        <v>2214</v>
      </c>
      <c r="P4" s="1107" t="s">
        <v>2215</v>
      </c>
      <c r="Q4" s="1107" t="s">
        <v>2216</v>
      </c>
      <c r="R4" s="1075" t="s">
        <v>1</v>
      </c>
      <c r="S4" s="1096"/>
    </row>
    <row r="5" spans="1:19" s="313" customFormat="1" ht="102" customHeight="1" thickBot="1" x14ac:dyDescent="0.3">
      <c r="A5" s="1079"/>
      <c r="B5" s="1082"/>
      <c r="C5" s="1085"/>
      <c r="D5" s="314" t="s">
        <v>2217</v>
      </c>
      <c r="E5" s="315" t="s">
        <v>2218</v>
      </c>
      <c r="F5" s="315" t="s">
        <v>2219</v>
      </c>
      <c r="G5" s="315" t="s">
        <v>2220</v>
      </c>
      <c r="H5" s="315" t="s">
        <v>2221</v>
      </c>
      <c r="I5" s="315" t="s">
        <v>2222</v>
      </c>
      <c r="J5" s="316" t="s">
        <v>1</v>
      </c>
      <c r="K5" s="1102"/>
      <c r="L5" s="1104"/>
      <c r="M5" s="1092"/>
      <c r="N5" s="1092"/>
      <c r="O5" s="1106"/>
      <c r="P5" s="1108"/>
      <c r="Q5" s="1108"/>
      <c r="R5" s="1076"/>
      <c r="S5" s="1097"/>
    </row>
    <row r="6" spans="1:19" x14ac:dyDescent="0.25">
      <c r="A6" s="491"/>
      <c r="B6" s="76"/>
      <c r="C6" s="495" t="s">
        <v>1</v>
      </c>
      <c r="D6" s="317">
        <f>D7+D8</f>
        <v>3380</v>
      </c>
      <c r="E6" s="318">
        <f t="shared" ref="E6:S6" si="0">E7+E8</f>
        <v>4470</v>
      </c>
      <c r="F6" s="318">
        <f t="shared" si="0"/>
        <v>840</v>
      </c>
      <c r="G6" s="318">
        <f t="shared" si="0"/>
        <v>1480</v>
      </c>
      <c r="H6" s="318">
        <f t="shared" si="0"/>
        <v>900</v>
      </c>
      <c r="I6" s="318">
        <f t="shared" si="0"/>
        <v>1050</v>
      </c>
      <c r="J6" s="318">
        <f t="shared" si="0"/>
        <v>12120</v>
      </c>
      <c r="K6" s="57">
        <f t="shared" si="0"/>
        <v>1030</v>
      </c>
      <c r="L6" s="319">
        <f t="shared" si="0"/>
        <v>13150</v>
      </c>
      <c r="M6" s="320">
        <f t="shared" si="0"/>
        <v>13000</v>
      </c>
      <c r="N6" s="320">
        <f t="shared" si="0"/>
        <v>6245</v>
      </c>
      <c r="O6" s="321">
        <f t="shared" si="0"/>
        <v>31350</v>
      </c>
      <c r="P6" s="57">
        <f t="shared" si="0"/>
        <v>32070</v>
      </c>
      <c r="Q6" s="57">
        <f t="shared" si="0"/>
        <v>29750</v>
      </c>
      <c r="R6" s="319">
        <f t="shared" si="0"/>
        <v>93170</v>
      </c>
      <c r="S6" s="322">
        <f t="shared" si="0"/>
        <v>125565</v>
      </c>
    </row>
    <row r="7" spans="1:19" ht="25.5" x14ac:dyDescent="0.25">
      <c r="A7" s="492"/>
      <c r="B7" s="80"/>
      <c r="C7" s="496" t="s">
        <v>3</v>
      </c>
      <c r="D7" s="323">
        <v>0</v>
      </c>
      <c r="E7" s="324">
        <v>0</v>
      </c>
      <c r="F7" s="324">
        <v>0</v>
      </c>
      <c r="G7" s="324">
        <v>0</v>
      </c>
      <c r="H7" s="324">
        <v>0</v>
      </c>
      <c r="I7" s="324">
        <v>0</v>
      </c>
      <c r="J7" s="324">
        <v>0</v>
      </c>
      <c r="K7" s="66">
        <v>0</v>
      </c>
      <c r="L7" s="325">
        <v>0</v>
      </c>
      <c r="M7" s="326">
        <v>0</v>
      </c>
      <c r="N7" s="326">
        <v>0</v>
      </c>
      <c r="O7" s="327">
        <v>0</v>
      </c>
      <c r="P7" s="66">
        <v>0</v>
      </c>
      <c r="Q7" s="66">
        <v>0</v>
      </c>
      <c r="R7" s="325">
        <v>0</v>
      </c>
      <c r="S7" s="328">
        <v>0</v>
      </c>
    </row>
    <row r="8" spans="1:19" x14ac:dyDescent="0.25">
      <c r="A8" s="492"/>
      <c r="B8" s="80"/>
      <c r="C8" s="496" t="s">
        <v>4</v>
      </c>
      <c r="D8" s="323">
        <f t="shared" ref="D8:S8" si="1">SUM(D9:D28)</f>
        <v>3380</v>
      </c>
      <c r="E8" s="324">
        <f t="shared" si="1"/>
        <v>4470</v>
      </c>
      <c r="F8" s="324">
        <f t="shared" si="1"/>
        <v>840</v>
      </c>
      <c r="G8" s="324">
        <f t="shared" si="1"/>
        <v>1480</v>
      </c>
      <c r="H8" s="324">
        <f t="shared" si="1"/>
        <v>900</v>
      </c>
      <c r="I8" s="324">
        <f t="shared" si="1"/>
        <v>1050</v>
      </c>
      <c r="J8" s="324">
        <f t="shared" si="1"/>
        <v>12120</v>
      </c>
      <c r="K8" s="66">
        <f t="shared" si="1"/>
        <v>1030</v>
      </c>
      <c r="L8" s="325">
        <f t="shared" si="1"/>
        <v>13150</v>
      </c>
      <c r="M8" s="326">
        <f t="shared" si="1"/>
        <v>13000</v>
      </c>
      <c r="N8" s="326">
        <f t="shared" si="1"/>
        <v>6245</v>
      </c>
      <c r="O8" s="327">
        <f t="shared" si="1"/>
        <v>31350</v>
      </c>
      <c r="P8" s="66">
        <f t="shared" si="1"/>
        <v>32070</v>
      </c>
      <c r="Q8" s="66">
        <f t="shared" si="1"/>
        <v>29750</v>
      </c>
      <c r="R8" s="325">
        <f t="shared" si="1"/>
        <v>93170</v>
      </c>
      <c r="S8" s="328">
        <f t="shared" si="1"/>
        <v>125565</v>
      </c>
    </row>
    <row r="9" spans="1:19" x14ac:dyDescent="0.25">
      <c r="A9" s="493">
        <v>1</v>
      </c>
      <c r="B9" s="505" t="s">
        <v>71</v>
      </c>
      <c r="C9" s="497" t="s">
        <v>5</v>
      </c>
      <c r="D9" s="329"/>
      <c r="E9" s="330"/>
      <c r="F9" s="330"/>
      <c r="G9" s="330"/>
      <c r="H9" s="330"/>
      <c r="I9" s="330"/>
      <c r="J9" s="331"/>
      <c r="K9" s="332"/>
      <c r="L9" s="333"/>
      <c r="M9" s="334"/>
      <c r="N9" s="334"/>
      <c r="O9" s="329">
        <v>1000</v>
      </c>
      <c r="P9" s="332">
        <v>820</v>
      </c>
      <c r="Q9" s="332">
        <v>800</v>
      </c>
      <c r="R9" s="79">
        <f>O9+P9+Q9</f>
        <v>2620</v>
      </c>
      <c r="S9" s="335">
        <f t="shared" ref="S9:S10" si="2">L9+M9+N9+R9</f>
        <v>2620</v>
      </c>
    </row>
    <row r="10" spans="1:19" x14ac:dyDescent="0.25">
      <c r="A10" s="493">
        <v>2</v>
      </c>
      <c r="B10" s="506" t="s">
        <v>73</v>
      </c>
      <c r="C10" s="498" t="s">
        <v>6</v>
      </c>
      <c r="D10" s="62"/>
      <c r="E10" s="336"/>
      <c r="F10" s="336"/>
      <c r="G10" s="336"/>
      <c r="H10" s="336"/>
      <c r="I10" s="336"/>
      <c r="J10" s="331"/>
      <c r="K10" s="63"/>
      <c r="L10" s="333"/>
      <c r="M10" s="337"/>
      <c r="N10" s="337"/>
      <c r="O10" s="62">
        <v>2100</v>
      </c>
      <c r="P10" s="63">
        <v>2000</v>
      </c>
      <c r="Q10" s="63">
        <v>2000</v>
      </c>
      <c r="R10" s="61">
        <f t="shared" ref="R10:R28" si="3">O10+P10+Q10</f>
        <v>6100</v>
      </c>
      <c r="S10" s="335">
        <f t="shared" si="2"/>
        <v>6100</v>
      </c>
    </row>
    <row r="11" spans="1:19" x14ac:dyDescent="0.25">
      <c r="A11" s="493">
        <v>3</v>
      </c>
      <c r="B11" s="505" t="s">
        <v>76</v>
      </c>
      <c r="C11" s="497" t="s">
        <v>7</v>
      </c>
      <c r="D11" s="329"/>
      <c r="E11" s="330"/>
      <c r="F11" s="330"/>
      <c r="G11" s="330"/>
      <c r="H11" s="330"/>
      <c r="I11" s="330"/>
      <c r="J11" s="331"/>
      <c r="K11" s="332"/>
      <c r="L11" s="333"/>
      <c r="M11" s="334"/>
      <c r="N11" s="334"/>
      <c r="O11" s="329">
        <v>1700</v>
      </c>
      <c r="P11" s="332">
        <v>1600</v>
      </c>
      <c r="Q11" s="332">
        <v>1500</v>
      </c>
      <c r="R11" s="79">
        <f t="shared" si="3"/>
        <v>4800</v>
      </c>
      <c r="S11" s="335">
        <f>L11+M11+N11+R11</f>
        <v>4800</v>
      </c>
    </row>
    <row r="12" spans="1:19" x14ac:dyDescent="0.25">
      <c r="A12" s="493">
        <v>4</v>
      </c>
      <c r="B12" s="506" t="s">
        <v>77</v>
      </c>
      <c r="C12" s="498" t="s">
        <v>9</v>
      </c>
      <c r="D12" s="62"/>
      <c r="E12" s="336"/>
      <c r="F12" s="336"/>
      <c r="G12" s="336"/>
      <c r="H12" s="336"/>
      <c r="I12" s="336"/>
      <c r="J12" s="331"/>
      <c r="K12" s="63"/>
      <c r="L12" s="333"/>
      <c r="M12" s="337"/>
      <c r="N12" s="337"/>
      <c r="O12" s="62">
        <v>1600</v>
      </c>
      <c r="P12" s="63">
        <v>1600</v>
      </c>
      <c r="Q12" s="63">
        <v>1600</v>
      </c>
      <c r="R12" s="61">
        <f t="shared" si="3"/>
        <v>4800</v>
      </c>
      <c r="S12" s="335">
        <f t="shared" ref="S12:S28" si="4">L12+M12+N12+R12</f>
        <v>4800</v>
      </c>
    </row>
    <row r="13" spans="1:19" x14ac:dyDescent="0.25">
      <c r="A13" s="493">
        <v>5</v>
      </c>
      <c r="B13" s="506" t="s">
        <v>121</v>
      </c>
      <c r="C13" s="498" t="s">
        <v>122</v>
      </c>
      <c r="D13" s="62"/>
      <c r="E13" s="336"/>
      <c r="F13" s="336"/>
      <c r="G13" s="336"/>
      <c r="H13" s="336"/>
      <c r="I13" s="336"/>
      <c r="J13" s="331"/>
      <c r="K13" s="63"/>
      <c r="L13" s="333"/>
      <c r="M13" s="337"/>
      <c r="N13" s="337"/>
      <c r="O13" s="62">
        <v>4000</v>
      </c>
      <c r="P13" s="63">
        <v>3900</v>
      </c>
      <c r="Q13" s="63">
        <v>3900</v>
      </c>
      <c r="R13" s="61">
        <f t="shared" si="3"/>
        <v>11800</v>
      </c>
      <c r="S13" s="335">
        <f t="shared" si="4"/>
        <v>11800</v>
      </c>
    </row>
    <row r="14" spans="1:19" x14ac:dyDescent="0.25">
      <c r="A14" s="493">
        <v>6</v>
      </c>
      <c r="B14" s="506" t="s">
        <v>82</v>
      </c>
      <c r="C14" s="498" t="s">
        <v>10</v>
      </c>
      <c r="D14" s="62"/>
      <c r="E14" s="336"/>
      <c r="F14" s="336"/>
      <c r="G14" s="336"/>
      <c r="H14" s="336"/>
      <c r="I14" s="336"/>
      <c r="J14" s="331"/>
      <c r="K14" s="63"/>
      <c r="L14" s="333"/>
      <c r="M14" s="337"/>
      <c r="N14" s="337"/>
      <c r="O14" s="62">
        <v>1400</v>
      </c>
      <c r="P14" s="63">
        <v>1400</v>
      </c>
      <c r="Q14" s="63">
        <v>800</v>
      </c>
      <c r="R14" s="61">
        <f t="shared" si="3"/>
        <v>3600</v>
      </c>
      <c r="S14" s="335">
        <f t="shared" si="4"/>
        <v>3600</v>
      </c>
    </row>
    <row r="15" spans="1:19" x14ac:dyDescent="0.25">
      <c r="A15" s="493">
        <v>7</v>
      </c>
      <c r="B15" s="506" t="s">
        <v>83</v>
      </c>
      <c r="C15" s="498" t="s">
        <v>11</v>
      </c>
      <c r="D15" s="62"/>
      <c r="E15" s="336"/>
      <c r="F15" s="336"/>
      <c r="G15" s="336"/>
      <c r="H15" s="336"/>
      <c r="I15" s="336"/>
      <c r="J15" s="331"/>
      <c r="K15" s="63"/>
      <c r="L15" s="333"/>
      <c r="M15" s="337"/>
      <c r="N15" s="337"/>
      <c r="O15" s="62">
        <v>1700</v>
      </c>
      <c r="P15" s="63">
        <v>1700</v>
      </c>
      <c r="Q15" s="63">
        <v>1700</v>
      </c>
      <c r="R15" s="61">
        <f t="shared" si="3"/>
        <v>5100</v>
      </c>
      <c r="S15" s="335">
        <f t="shared" si="4"/>
        <v>5100</v>
      </c>
    </row>
    <row r="16" spans="1:19" x14ac:dyDescent="0.25">
      <c r="A16" s="493">
        <v>8</v>
      </c>
      <c r="B16" s="506" t="s">
        <v>88</v>
      </c>
      <c r="C16" s="499" t="s">
        <v>13</v>
      </c>
      <c r="D16" s="62"/>
      <c r="E16" s="336"/>
      <c r="F16" s="336"/>
      <c r="G16" s="336"/>
      <c r="H16" s="336"/>
      <c r="I16" s="336"/>
      <c r="J16" s="331"/>
      <c r="K16" s="63"/>
      <c r="L16" s="333"/>
      <c r="M16" s="337"/>
      <c r="N16" s="337"/>
      <c r="O16" s="62">
        <v>1600</v>
      </c>
      <c r="P16" s="63">
        <v>1600</v>
      </c>
      <c r="Q16" s="63">
        <v>1600</v>
      </c>
      <c r="R16" s="61">
        <f t="shared" si="3"/>
        <v>4800</v>
      </c>
      <c r="S16" s="335">
        <f t="shared" si="4"/>
        <v>4800</v>
      </c>
    </row>
    <row r="17" spans="1:19" x14ac:dyDescent="0.25">
      <c r="A17" s="493">
        <v>9</v>
      </c>
      <c r="B17" s="506" t="s">
        <v>136</v>
      </c>
      <c r="C17" s="500" t="s">
        <v>15</v>
      </c>
      <c r="D17" s="62"/>
      <c r="E17" s="336"/>
      <c r="F17" s="336"/>
      <c r="G17" s="336"/>
      <c r="H17" s="336"/>
      <c r="I17" s="336"/>
      <c r="J17" s="331"/>
      <c r="K17" s="63"/>
      <c r="L17" s="333"/>
      <c r="M17" s="337"/>
      <c r="N17" s="337"/>
      <c r="O17" s="62">
        <v>1300</v>
      </c>
      <c r="P17" s="63">
        <v>1400</v>
      </c>
      <c r="Q17" s="63">
        <v>1300</v>
      </c>
      <c r="R17" s="61">
        <f t="shared" si="3"/>
        <v>4000</v>
      </c>
      <c r="S17" s="335">
        <f t="shared" si="4"/>
        <v>4000</v>
      </c>
    </row>
    <row r="18" spans="1:19" x14ac:dyDescent="0.25">
      <c r="A18" s="493">
        <v>10</v>
      </c>
      <c r="B18" s="506" t="s">
        <v>151</v>
      </c>
      <c r="C18" s="498" t="s">
        <v>345</v>
      </c>
      <c r="D18" s="62"/>
      <c r="E18" s="336"/>
      <c r="F18" s="336"/>
      <c r="G18" s="336"/>
      <c r="H18" s="336"/>
      <c r="I18" s="336"/>
      <c r="J18" s="331"/>
      <c r="K18" s="63"/>
      <c r="L18" s="333"/>
      <c r="M18" s="337"/>
      <c r="N18" s="337"/>
      <c r="O18" s="62">
        <v>950</v>
      </c>
      <c r="P18" s="63">
        <v>900</v>
      </c>
      <c r="Q18" s="63">
        <v>900</v>
      </c>
      <c r="R18" s="61">
        <f t="shared" si="3"/>
        <v>2750</v>
      </c>
      <c r="S18" s="335">
        <f t="shared" si="4"/>
        <v>2750</v>
      </c>
    </row>
    <row r="19" spans="1:19" x14ac:dyDescent="0.25">
      <c r="A19" s="493">
        <v>11</v>
      </c>
      <c r="B19" s="506" t="s">
        <v>154</v>
      </c>
      <c r="C19" s="498" t="s">
        <v>346</v>
      </c>
      <c r="D19" s="62"/>
      <c r="E19" s="336"/>
      <c r="F19" s="336"/>
      <c r="G19" s="336"/>
      <c r="H19" s="336"/>
      <c r="I19" s="336"/>
      <c r="J19" s="331"/>
      <c r="K19" s="63"/>
      <c r="L19" s="333"/>
      <c r="M19" s="337"/>
      <c r="N19" s="337"/>
      <c r="O19" s="62">
        <v>1600</v>
      </c>
      <c r="P19" s="63">
        <f>1600-100</f>
        <v>1500</v>
      </c>
      <c r="Q19" s="63">
        <f>1600-200</f>
        <v>1400</v>
      </c>
      <c r="R19" s="61">
        <f t="shared" si="3"/>
        <v>4500</v>
      </c>
      <c r="S19" s="335">
        <f t="shared" si="4"/>
        <v>4500</v>
      </c>
    </row>
    <row r="20" spans="1:19" x14ac:dyDescent="0.25">
      <c r="A20" s="493">
        <v>12</v>
      </c>
      <c r="B20" s="506" t="s">
        <v>142</v>
      </c>
      <c r="C20" s="498" t="s">
        <v>143</v>
      </c>
      <c r="D20" s="62"/>
      <c r="E20" s="336"/>
      <c r="F20" s="336"/>
      <c r="G20" s="336"/>
      <c r="H20" s="336"/>
      <c r="I20" s="336"/>
      <c r="J20" s="331"/>
      <c r="K20" s="63"/>
      <c r="L20" s="333"/>
      <c r="M20" s="337"/>
      <c r="N20" s="337"/>
      <c r="O20" s="62">
        <f>2300-72</f>
        <v>2228</v>
      </c>
      <c r="P20" s="63">
        <v>2400</v>
      </c>
      <c r="Q20" s="63">
        <v>2100</v>
      </c>
      <c r="R20" s="61">
        <f t="shared" si="3"/>
        <v>6728</v>
      </c>
      <c r="S20" s="335">
        <f t="shared" si="4"/>
        <v>6728</v>
      </c>
    </row>
    <row r="21" spans="1:19" x14ac:dyDescent="0.25">
      <c r="A21" s="493">
        <v>13</v>
      </c>
      <c r="B21" s="506" t="s">
        <v>224</v>
      </c>
      <c r="C21" s="501" t="s">
        <v>225</v>
      </c>
      <c r="D21" s="62"/>
      <c r="E21" s="336"/>
      <c r="F21" s="336"/>
      <c r="G21" s="336"/>
      <c r="H21" s="336"/>
      <c r="I21" s="336"/>
      <c r="J21" s="331"/>
      <c r="K21" s="63"/>
      <c r="L21" s="333"/>
      <c r="M21" s="337"/>
      <c r="N21" s="337"/>
      <c r="O21" s="62">
        <f>1650+72</f>
        <v>1722</v>
      </c>
      <c r="P21" s="63">
        <v>1600</v>
      </c>
      <c r="Q21" s="63">
        <v>1600</v>
      </c>
      <c r="R21" s="61">
        <f t="shared" si="3"/>
        <v>4922</v>
      </c>
      <c r="S21" s="335">
        <f t="shared" si="4"/>
        <v>4922</v>
      </c>
    </row>
    <row r="22" spans="1:19" x14ac:dyDescent="0.25">
      <c r="A22" s="493">
        <v>14</v>
      </c>
      <c r="B22" s="506" t="s">
        <v>101</v>
      </c>
      <c r="C22" s="498" t="s">
        <v>20</v>
      </c>
      <c r="D22" s="62"/>
      <c r="E22" s="336"/>
      <c r="F22" s="336"/>
      <c r="G22" s="336"/>
      <c r="H22" s="336"/>
      <c r="I22" s="336"/>
      <c r="J22" s="331"/>
      <c r="K22" s="63"/>
      <c r="L22" s="333"/>
      <c r="M22" s="337"/>
      <c r="N22" s="337"/>
      <c r="O22" s="62">
        <v>900</v>
      </c>
      <c r="P22" s="63">
        <v>900</v>
      </c>
      <c r="Q22" s="63">
        <v>850</v>
      </c>
      <c r="R22" s="61">
        <f t="shared" si="3"/>
        <v>2650</v>
      </c>
      <c r="S22" s="335">
        <f t="shared" si="4"/>
        <v>2650</v>
      </c>
    </row>
    <row r="23" spans="1:19" x14ac:dyDescent="0.25">
      <c r="A23" s="493">
        <v>15</v>
      </c>
      <c r="B23" s="506" t="s">
        <v>272</v>
      </c>
      <c r="C23" s="498" t="s">
        <v>336</v>
      </c>
      <c r="D23" s="62">
        <v>380</v>
      </c>
      <c r="E23" s="336">
        <v>1640</v>
      </c>
      <c r="F23" s="336">
        <v>400</v>
      </c>
      <c r="G23" s="336">
        <v>650</v>
      </c>
      <c r="H23" s="336"/>
      <c r="I23" s="336">
        <v>1000</v>
      </c>
      <c r="J23" s="331">
        <f>D23+E23+F23+G23+H23+I23</f>
        <v>4070</v>
      </c>
      <c r="K23" s="63">
        <v>1030</v>
      </c>
      <c r="L23" s="333">
        <f>J23+K23</f>
        <v>5100</v>
      </c>
      <c r="M23" s="337"/>
      <c r="N23" s="337"/>
      <c r="O23" s="62"/>
      <c r="P23" s="63"/>
      <c r="Q23" s="63"/>
      <c r="R23" s="61">
        <f t="shared" si="3"/>
        <v>0</v>
      </c>
      <c r="S23" s="335">
        <f t="shared" si="4"/>
        <v>5100</v>
      </c>
    </row>
    <row r="24" spans="1:19" x14ac:dyDescent="0.25">
      <c r="A24" s="493">
        <v>16</v>
      </c>
      <c r="B24" s="506" t="s">
        <v>161</v>
      </c>
      <c r="C24" s="498" t="s">
        <v>274</v>
      </c>
      <c r="D24" s="62">
        <v>3000</v>
      </c>
      <c r="E24" s="336">
        <v>2500</v>
      </c>
      <c r="F24" s="336">
        <v>300</v>
      </c>
      <c r="G24" s="336">
        <v>100</v>
      </c>
      <c r="H24" s="336">
        <v>900</v>
      </c>
      <c r="I24" s="336">
        <v>50</v>
      </c>
      <c r="J24" s="331">
        <f t="shared" ref="J24:J25" si="5">D24+E24+F24+G24+H24+I24</f>
        <v>6850</v>
      </c>
      <c r="K24" s="63"/>
      <c r="L24" s="333">
        <f t="shared" ref="L24:L25" si="6">J24+K24</f>
        <v>6850</v>
      </c>
      <c r="M24" s="337">
        <v>13000</v>
      </c>
      <c r="N24" s="337"/>
      <c r="O24" s="62"/>
      <c r="P24" s="63"/>
      <c r="Q24" s="63"/>
      <c r="R24" s="61">
        <f t="shared" si="3"/>
        <v>0</v>
      </c>
      <c r="S24" s="335">
        <f>L24+M24+N24+R24</f>
        <v>19850</v>
      </c>
    </row>
    <row r="25" spans="1:19" x14ac:dyDescent="0.25">
      <c r="A25" s="493">
        <v>17</v>
      </c>
      <c r="B25" s="506" t="s">
        <v>275</v>
      </c>
      <c r="C25" s="498" t="s">
        <v>276</v>
      </c>
      <c r="D25" s="62"/>
      <c r="E25" s="336">
        <v>330</v>
      </c>
      <c r="F25" s="336">
        <v>140</v>
      </c>
      <c r="G25" s="336">
        <v>730</v>
      </c>
      <c r="H25" s="336"/>
      <c r="I25" s="336"/>
      <c r="J25" s="331">
        <f t="shared" si="5"/>
        <v>1200</v>
      </c>
      <c r="K25" s="63"/>
      <c r="L25" s="333">
        <f t="shared" si="6"/>
        <v>1200</v>
      </c>
      <c r="M25" s="337"/>
      <c r="N25" s="337"/>
      <c r="O25" s="62"/>
      <c r="P25" s="63"/>
      <c r="Q25" s="63"/>
      <c r="R25" s="61">
        <f t="shared" si="3"/>
        <v>0</v>
      </c>
      <c r="S25" s="335">
        <f t="shared" ref="S25:S27" si="7">L25+M25+N25+R25</f>
        <v>1200</v>
      </c>
    </row>
    <row r="26" spans="1:19" x14ac:dyDescent="0.25">
      <c r="A26" s="493">
        <v>18</v>
      </c>
      <c r="B26" s="506" t="s">
        <v>281</v>
      </c>
      <c r="C26" s="502" t="s">
        <v>22</v>
      </c>
      <c r="D26" s="62"/>
      <c r="E26" s="336"/>
      <c r="F26" s="336"/>
      <c r="G26" s="336"/>
      <c r="H26" s="336"/>
      <c r="I26" s="336"/>
      <c r="J26" s="331"/>
      <c r="K26" s="63"/>
      <c r="L26" s="333"/>
      <c r="M26" s="337"/>
      <c r="N26" s="337"/>
      <c r="O26" s="62">
        <v>5400</v>
      </c>
      <c r="P26" s="63">
        <v>5100</v>
      </c>
      <c r="Q26" s="63">
        <v>4800</v>
      </c>
      <c r="R26" s="61">
        <f t="shared" si="3"/>
        <v>15300</v>
      </c>
      <c r="S26" s="335">
        <f t="shared" si="7"/>
        <v>15300</v>
      </c>
    </row>
    <row r="27" spans="1:19" x14ac:dyDescent="0.25">
      <c r="A27" s="493">
        <v>19</v>
      </c>
      <c r="B27" s="507" t="s">
        <v>282</v>
      </c>
      <c r="C27" s="503" t="s">
        <v>283</v>
      </c>
      <c r="D27" s="338"/>
      <c r="E27" s="339"/>
      <c r="F27" s="339"/>
      <c r="G27" s="339"/>
      <c r="H27" s="339"/>
      <c r="I27" s="339"/>
      <c r="J27" s="331"/>
      <c r="K27" s="340"/>
      <c r="L27" s="333"/>
      <c r="M27" s="341"/>
      <c r="N27" s="341"/>
      <c r="O27" s="338">
        <v>2150</v>
      </c>
      <c r="P27" s="340">
        <v>3650</v>
      </c>
      <c r="Q27" s="340">
        <v>2900</v>
      </c>
      <c r="R27" s="71">
        <f t="shared" si="3"/>
        <v>8700</v>
      </c>
      <c r="S27" s="335">
        <f t="shared" si="7"/>
        <v>8700</v>
      </c>
    </row>
    <row r="28" spans="1:19" ht="13.5" thickBot="1" x14ac:dyDescent="0.3">
      <c r="A28" s="494">
        <v>20</v>
      </c>
      <c r="B28" s="508" t="s">
        <v>290</v>
      </c>
      <c r="C28" s="504" t="s">
        <v>291</v>
      </c>
      <c r="D28" s="55"/>
      <c r="E28" s="360"/>
      <c r="F28" s="360"/>
      <c r="G28" s="360"/>
      <c r="H28" s="360"/>
      <c r="I28" s="360"/>
      <c r="J28" s="361"/>
      <c r="K28" s="53"/>
      <c r="L28" s="362"/>
      <c r="M28" s="363"/>
      <c r="N28" s="363">
        <v>6245</v>
      </c>
      <c r="O28" s="55"/>
      <c r="P28" s="53"/>
      <c r="Q28" s="53"/>
      <c r="R28" s="69">
        <f t="shared" si="3"/>
        <v>0</v>
      </c>
      <c r="S28" s="364">
        <f t="shared" si="4"/>
        <v>6245</v>
      </c>
    </row>
    <row r="35" spans="1:20" s="50" customFormat="1" x14ac:dyDescent="0.25">
      <c r="A35" s="48"/>
      <c r="B35" s="48"/>
      <c r="C35" s="47"/>
      <c r="D35" s="50" t="s">
        <v>2223</v>
      </c>
      <c r="J35" s="51"/>
      <c r="L35" s="51"/>
      <c r="R35" s="51"/>
      <c r="S35" s="51"/>
      <c r="T35" s="47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66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J13" sqref="J13"/>
    </sheetView>
  </sheetViews>
  <sheetFormatPr defaultRowHeight="12.75" x14ac:dyDescent="0.25"/>
  <cols>
    <col min="1" max="1" width="6.140625" style="378" customWidth="1"/>
    <col min="2" max="2" width="11.5703125" style="378" customWidth="1"/>
    <col min="3" max="3" width="39.42578125" style="379" customWidth="1"/>
    <col min="4" max="4" width="16.42578125" style="380" customWidth="1"/>
    <col min="5" max="5" width="13.7109375" style="380" customWidth="1"/>
    <col min="6" max="6" width="19.7109375" style="380" customWidth="1"/>
    <col min="7" max="7" width="14.140625" style="380" customWidth="1"/>
    <col min="8" max="16384" width="9.140625" style="375"/>
  </cols>
  <sheetData>
    <row r="1" spans="1:7" ht="20.25" customHeight="1" x14ac:dyDescent="0.25">
      <c r="A1" s="1109" t="s">
        <v>2230</v>
      </c>
      <c r="B1" s="1109"/>
      <c r="C1" s="1109"/>
      <c r="D1" s="1109"/>
      <c r="E1" s="1109"/>
      <c r="F1" s="1109"/>
      <c r="G1" s="1109"/>
    </row>
    <row r="2" spans="1:7" ht="14.25" customHeight="1" thickBot="1" x14ac:dyDescent="0.3">
      <c r="A2" s="376"/>
      <c r="B2" s="376"/>
      <c r="C2" s="376"/>
      <c r="D2" s="376"/>
      <c r="E2" s="376"/>
      <c r="F2" s="376"/>
      <c r="G2" s="376"/>
    </row>
    <row r="3" spans="1:7" s="377" customFormat="1" ht="16.5" customHeight="1" x14ac:dyDescent="0.25">
      <c r="A3" s="1110" t="s">
        <v>0</v>
      </c>
      <c r="B3" s="1112" t="s">
        <v>296</v>
      </c>
      <c r="C3" s="1112" t="s">
        <v>297</v>
      </c>
      <c r="D3" s="1114" t="s">
        <v>2231</v>
      </c>
      <c r="E3" s="1115"/>
      <c r="F3" s="1116" t="s">
        <v>2232</v>
      </c>
      <c r="G3" s="1118" t="s">
        <v>2233</v>
      </c>
    </row>
    <row r="4" spans="1:7" ht="51.75" customHeight="1" thickBot="1" x14ac:dyDescent="0.3">
      <c r="A4" s="1111"/>
      <c r="B4" s="1113"/>
      <c r="C4" s="1113"/>
      <c r="D4" s="419" t="s">
        <v>2234</v>
      </c>
      <c r="E4" s="432" t="s">
        <v>2235</v>
      </c>
      <c r="F4" s="1117"/>
      <c r="G4" s="1119"/>
    </row>
    <row r="5" spans="1:7" ht="13.5" customHeight="1" x14ac:dyDescent="0.25">
      <c r="A5" s="509"/>
      <c r="B5" s="512"/>
      <c r="C5" s="425" t="s">
        <v>1</v>
      </c>
      <c r="D5" s="420">
        <f>D6+D7</f>
        <v>291623</v>
      </c>
      <c r="E5" s="433">
        <f t="shared" ref="E5:G5" si="0">E6+E7</f>
        <v>12687</v>
      </c>
      <c r="F5" s="442">
        <f t="shared" si="0"/>
        <v>1859</v>
      </c>
      <c r="G5" s="437">
        <f t="shared" si="0"/>
        <v>676</v>
      </c>
    </row>
    <row r="6" spans="1:7" ht="13.5" customHeight="1" x14ac:dyDescent="0.25">
      <c r="A6" s="509"/>
      <c r="B6" s="512"/>
      <c r="C6" s="426" t="s">
        <v>3</v>
      </c>
      <c r="D6" s="418">
        <v>0</v>
      </c>
      <c r="E6" s="431">
        <v>0</v>
      </c>
      <c r="F6" s="443">
        <v>0</v>
      </c>
      <c r="G6" s="438">
        <v>0</v>
      </c>
    </row>
    <row r="7" spans="1:7" ht="13.5" customHeight="1" x14ac:dyDescent="0.25">
      <c r="A7" s="509"/>
      <c r="B7" s="512"/>
      <c r="C7" s="426" t="s">
        <v>4</v>
      </c>
      <c r="D7" s="421">
        <f>SUM(D8:D65)</f>
        <v>291623</v>
      </c>
      <c r="E7" s="434">
        <f t="shared" ref="E7:G7" si="1">SUM(E8:E65)</f>
        <v>12687</v>
      </c>
      <c r="F7" s="444">
        <f t="shared" si="1"/>
        <v>1859</v>
      </c>
      <c r="G7" s="439">
        <f t="shared" si="1"/>
        <v>676</v>
      </c>
    </row>
    <row r="8" spans="1:7" ht="15.75" customHeight="1" x14ac:dyDescent="0.25">
      <c r="A8" s="510">
        <v>1</v>
      </c>
      <c r="B8" s="513" t="s">
        <v>69</v>
      </c>
      <c r="C8" s="427" t="s">
        <v>29</v>
      </c>
      <c r="D8" s="422">
        <v>1628</v>
      </c>
      <c r="E8" s="435"/>
      <c r="F8" s="445"/>
      <c r="G8" s="440"/>
    </row>
    <row r="9" spans="1:7" ht="15.75" customHeight="1" x14ac:dyDescent="0.25">
      <c r="A9" s="510">
        <v>2</v>
      </c>
      <c r="B9" s="514" t="s">
        <v>70</v>
      </c>
      <c r="C9" s="427" t="s">
        <v>31</v>
      </c>
      <c r="D9" s="422">
        <v>2377</v>
      </c>
      <c r="E9" s="435"/>
      <c r="F9" s="445"/>
      <c r="G9" s="440"/>
    </row>
    <row r="10" spans="1:7" ht="15.75" customHeight="1" x14ac:dyDescent="0.25">
      <c r="A10" s="510">
        <v>3</v>
      </c>
      <c r="B10" s="515" t="s">
        <v>71</v>
      </c>
      <c r="C10" s="427" t="s">
        <v>5</v>
      </c>
      <c r="D10" s="422">
        <v>6217</v>
      </c>
      <c r="E10" s="435"/>
      <c r="F10" s="445"/>
      <c r="G10" s="440"/>
    </row>
    <row r="11" spans="1:7" ht="15.75" customHeight="1" x14ac:dyDescent="0.25">
      <c r="A11" s="510">
        <v>4</v>
      </c>
      <c r="B11" s="513" t="s">
        <v>72</v>
      </c>
      <c r="C11" s="427" t="s">
        <v>35</v>
      </c>
      <c r="D11" s="422">
        <v>1855</v>
      </c>
      <c r="E11" s="435"/>
      <c r="F11" s="445"/>
      <c r="G11" s="440"/>
    </row>
    <row r="12" spans="1:7" ht="15.75" customHeight="1" x14ac:dyDescent="0.25">
      <c r="A12" s="510">
        <v>5</v>
      </c>
      <c r="B12" s="513" t="s">
        <v>108</v>
      </c>
      <c r="C12" s="427" t="s">
        <v>37</v>
      </c>
      <c r="D12" s="422">
        <v>1507</v>
      </c>
      <c r="E12" s="435"/>
      <c r="F12" s="445"/>
      <c r="G12" s="440"/>
    </row>
    <row r="13" spans="1:7" ht="15.75" customHeight="1" x14ac:dyDescent="0.25">
      <c r="A13" s="510">
        <v>6</v>
      </c>
      <c r="B13" s="515" t="s">
        <v>73</v>
      </c>
      <c r="C13" s="427" t="s">
        <v>6</v>
      </c>
      <c r="D13" s="422">
        <v>17142</v>
      </c>
      <c r="E13" s="435">
        <v>81</v>
      </c>
      <c r="F13" s="445"/>
      <c r="G13" s="440">
        <v>282</v>
      </c>
    </row>
    <row r="14" spans="1:7" ht="15.75" customHeight="1" x14ac:dyDescent="0.25">
      <c r="A14" s="510">
        <v>7</v>
      </c>
      <c r="B14" s="513" t="s">
        <v>109</v>
      </c>
      <c r="C14" s="427" t="s">
        <v>23</v>
      </c>
      <c r="D14" s="422">
        <v>3329</v>
      </c>
      <c r="E14" s="435"/>
      <c r="F14" s="445"/>
      <c r="G14" s="440"/>
    </row>
    <row r="15" spans="1:7" ht="15.75" customHeight="1" x14ac:dyDescent="0.25">
      <c r="A15" s="510">
        <v>8</v>
      </c>
      <c r="B15" s="515" t="s">
        <v>110</v>
      </c>
      <c r="C15" s="427" t="s">
        <v>44</v>
      </c>
      <c r="D15" s="422">
        <v>1926</v>
      </c>
      <c r="E15" s="435"/>
      <c r="F15" s="445"/>
      <c r="G15" s="440"/>
    </row>
    <row r="16" spans="1:7" ht="15.75" customHeight="1" x14ac:dyDescent="0.25">
      <c r="A16" s="510">
        <v>9</v>
      </c>
      <c r="B16" s="515" t="s">
        <v>74</v>
      </c>
      <c r="C16" s="427" t="s">
        <v>45</v>
      </c>
      <c r="D16" s="422">
        <v>2324</v>
      </c>
      <c r="E16" s="435"/>
      <c r="F16" s="445"/>
      <c r="G16" s="440"/>
    </row>
    <row r="17" spans="1:7" ht="15.75" customHeight="1" x14ac:dyDescent="0.25">
      <c r="A17" s="510">
        <v>10</v>
      </c>
      <c r="B17" s="515" t="s">
        <v>111</v>
      </c>
      <c r="C17" s="427" t="s">
        <v>48</v>
      </c>
      <c r="D17" s="422">
        <v>1644</v>
      </c>
      <c r="E17" s="435"/>
      <c r="F17" s="445"/>
      <c r="G17" s="440"/>
    </row>
    <row r="18" spans="1:7" ht="15.75" customHeight="1" x14ac:dyDescent="0.25">
      <c r="A18" s="510">
        <v>11</v>
      </c>
      <c r="B18" s="515" t="s">
        <v>75</v>
      </c>
      <c r="C18" s="427" t="s">
        <v>52</v>
      </c>
      <c r="D18" s="422">
        <v>1675</v>
      </c>
      <c r="E18" s="435"/>
      <c r="F18" s="445"/>
      <c r="G18" s="440"/>
    </row>
    <row r="19" spans="1:7" ht="15.75" customHeight="1" x14ac:dyDescent="0.25">
      <c r="A19" s="510">
        <v>12</v>
      </c>
      <c r="B19" s="515" t="s">
        <v>112</v>
      </c>
      <c r="C19" s="427" t="s">
        <v>63</v>
      </c>
      <c r="D19" s="422">
        <v>2618</v>
      </c>
      <c r="E19" s="435"/>
      <c r="F19" s="445"/>
      <c r="G19" s="440"/>
    </row>
    <row r="20" spans="1:7" ht="15.75" customHeight="1" x14ac:dyDescent="0.25">
      <c r="A20" s="510">
        <v>13</v>
      </c>
      <c r="B20" s="515" t="s">
        <v>115</v>
      </c>
      <c r="C20" s="427" t="s">
        <v>26</v>
      </c>
      <c r="D20" s="422">
        <v>2732</v>
      </c>
      <c r="E20" s="435"/>
      <c r="F20" s="445"/>
      <c r="G20" s="440"/>
    </row>
    <row r="21" spans="1:7" ht="15.75" customHeight="1" x14ac:dyDescent="0.25">
      <c r="A21" s="510">
        <v>14</v>
      </c>
      <c r="B21" s="515" t="s">
        <v>116</v>
      </c>
      <c r="C21" s="427" t="s">
        <v>28</v>
      </c>
      <c r="D21" s="423">
        <v>4410</v>
      </c>
      <c r="E21" s="435"/>
      <c r="F21" s="445"/>
      <c r="G21" s="440"/>
    </row>
    <row r="22" spans="1:7" ht="15.75" customHeight="1" x14ac:dyDescent="0.25">
      <c r="A22" s="510">
        <v>15</v>
      </c>
      <c r="B22" s="515" t="s">
        <v>117</v>
      </c>
      <c r="C22" s="427" t="s">
        <v>24</v>
      </c>
      <c r="D22" s="422">
        <v>4445</v>
      </c>
      <c r="E22" s="435"/>
      <c r="F22" s="445"/>
      <c r="G22" s="440"/>
    </row>
    <row r="23" spans="1:7" ht="15.75" customHeight="1" x14ac:dyDescent="0.25">
      <c r="A23" s="510">
        <v>16</v>
      </c>
      <c r="B23" s="515" t="s">
        <v>76</v>
      </c>
      <c r="C23" s="427" t="s">
        <v>7</v>
      </c>
      <c r="D23" s="422">
        <v>10090</v>
      </c>
      <c r="E23" s="435">
        <v>81</v>
      </c>
      <c r="F23" s="445"/>
      <c r="G23" s="440">
        <v>113</v>
      </c>
    </row>
    <row r="24" spans="1:7" ht="15.75" customHeight="1" x14ac:dyDescent="0.25">
      <c r="A24" s="510">
        <v>17</v>
      </c>
      <c r="B24" s="513" t="s">
        <v>118</v>
      </c>
      <c r="C24" s="427" t="s">
        <v>36</v>
      </c>
      <c r="D24" s="422">
        <v>1051</v>
      </c>
      <c r="E24" s="435"/>
      <c r="F24" s="445"/>
      <c r="G24" s="440"/>
    </row>
    <row r="25" spans="1:7" ht="15.75" customHeight="1" x14ac:dyDescent="0.25">
      <c r="A25" s="510">
        <v>18</v>
      </c>
      <c r="B25" s="513" t="s">
        <v>119</v>
      </c>
      <c r="C25" s="427" t="s">
        <v>41</v>
      </c>
      <c r="D25" s="422">
        <v>1970</v>
      </c>
      <c r="E25" s="435"/>
      <c r="F25" s="445"/>
      <c r="G25" s="440"/>
    </row>
    <row r="26" spans="1:7" ht="15.75" customHeight="1" x14ac:dyDescent="0.25">
      <c r="A26" s="510">
        <v>19</v>
      </c>
      <c r="B26" s="513" t="s">
        <v>120</v>
      </c>
      <c r="C26" s="427" t="s">
        <v>8</v>
      </c>
      <c r="D26" s="422">
        <v>6944</v>
      </c>
      <c r="E26" s="435"/>
      <c r="F26" s="445"/>
      <c r="G26" s="440">
        <v>28</v>
      </c>
    </row>
    <row r="27" spans="1:7" ht="15.75" customHeight="1" x14ac:dyDescent="0.25">
      <c r="A27" s="510">
        <v>20</v>
      </c>
      <c r="B27" s="513" t="s">
        <v>77</v>
      </c>
      <c r="C27" s="427" t="s">
        <v>9</v>
      </c>
      <c r="D27" s="422">
        <v>2892</v>
      </c>
      <c r="E27" s="435">
        <v>81</v>
      </c>
      <c r="F27" s="445"/>
      <c r="G27" s="440"/>
    </row>
    <row r="28" spans="1:7" ht="15.75" customHeight="1" x14ac:dyDescent="0.25">
      <c r="A28" s="510">
        <v>21</v>
      </c>
      <c r="B28" s="515" t="s">
        <v>121</v>
      </c>
      <c r="C28" s="427" t="s">
        <v>122</v>
      </c>
      <c r="D28" s="422">
        <v>6514</v>
      </c>
      <c r="E28" s="435"/>
      <c r="F28" s="445"/>
      <c r="G28" s="440"/>
    </row>
    <row r="29" spans="1:7" ht="15.75" customHeight="1" x14ac:dyDescent="0.25">
      <c r="A29" s="510">
        <v>22</v>
      </c>
      <c r="B29" s="514" t="s">
        <v>82</v>
      </c>
      <c r="C29" s="427" t="s">
        <v>10</v>
      </c>
      <c r="D29" s="422">
        <v>5382</v>
      </c>
      <c r="E29" s="435">
        <v>81</v>
      </c>
      <c r="F29" s="445"/>
      <c r="G29" s="440"/>
    </row>
    <row r="30" spans="1:7" ht="15.75" customHeight="1" x14ac:dyDescent="0.25">
      <c r="A30" s="510">
        <v>23</v>
      </c>
      <c r="B30" s="514" t="s">
        <v>125</v>
      </c>
      <c r="C30" s="427" t="s">
        <v>43</v>
      </c>
      <c r="D30" s="422">
        <v>2843</v>
      </c>
      <c r="E30" s="435"/>
      <c r="F30" s="445"/>
      <c r="G30" s="440"/>
    </row>
    <row r="31" spans="1:7" ht="15.75" customHeight="1" x14ac:dyDescent="0.25">
      <c r="A31" s="510">
        <v>24</v>
      </c>
      <c r="B31" s="515" t="s">
        <v>84</v>
      </c>
      <c r="C31" s="427" t="s">
        <v>12</v>
      </c>
      <c r="D31" s="422">
        <v>7988</v>
      </c>
      <c r="E31" s="435"/>
      <c r="F31" s="445"/>
      <c r="G31" s="440"/>
    </row>
    <row r="32" spans="1:7" ht="15.75" customHeight="1" x14ac:dyDescent="0.25">
      <c r="A32" s="510">
        <v>25</v>
      </c>
      <c r="B32" s="514" t="s">
        <v>85</v>
      </c>
      <c r="C32" s="427" t="s">
        <v>49</v>
      </c>
      <c r="D32" s="422">
        <v>2039</v>
      </c>
      <c r="E32" s="435"/>
      <c r="F32" s="445"/>
      <c r="G32" s="440"/>
    </row>
    <row r="33" spans="1:7" ht="15.75" customHeight="1" x14ac:dyDescent="0.25">
      <c r="A33" s="510">
        <v>26</v>
      </c>
      <c r="B33" s="513" t="s">
        <v>126</v>
      </c>
      <c r="C33" s="427" t="s">
        <v>25</v>
      </c>
      <c r="D33" s="422">
        <v>5677</v>
      </c>
      <c r="E33" s="435"/>
      <c r="F33" s="445"/>
      <c r="G33" s="440"/>
    </row>
    <row r="34" spans="1:7" ht="15.75" customHeight="1" x14ac:dyDescent="0.25">
      <c r="A34" s="510">
        <v>27</v>
      </c>
      <c r="B34" s="516" t="s">
        <v>127</v>
      </c>
      <c r="C34" s="428" t="s">
        <v>54</v>
      </c>
      <c r="D34" s="422">
        <v>2496</v>
      </c>
      <c r="E34" s="435"/>
      <c r="F34" s="445"/>
      <c r="G34" s="440"/>
    </row>
    <row r="35" spans="1:7" ht="15.75" customHeight="1" x14ac:dyDescent="0.25">
      <c r="A35" s="510">
        <v>28</v>
      </c>
      <c r="B35" s="513" t="s">
        <v>86</v>
      </c>
      <c r="C35" s="427" t="s">
        <v>57</v>
      </c>
      <c r="D35" s="422">
        <v>1268</v>
      </c>
      <c r="E35" s="435"/>
      <c r="F35" s="445"/>
      <c r="G35" s="440"/>
    </row>
    <row r="36" spans="1:7" ht="15.75" customHeight="1" x14ac:dyDescent="0.25">
      <c r="A36" s="510">
        <v>29</v>
      </c>
      <c r="B36" s="513" t="s">
        <v>87</v>
      </c>
      <c r="C36" s="427" t="s">
        <v>58</v>
      </c>
      <c r="D36" s="422">
        <v>2226</v>
      </c>
      <c r="E36" s="435"/>
      <c r="F36" s="445"/>
      <c r="G36" s="440"/>
    </row>
    <row r="37" spans="1:7" ht="15.75" customHeight="1" x14ac:dyDescent="0.25">
      <c r="A37" s="510">
        <v>30</v>
      </c>
      <c r="B37" s="515" t="s">
        <v>128</v>
      </c>
      <c r="C37" s="427" t="s">
        <v>59</v>
      </c>
      <c r="D37" s="422">
        <v>2042</v>
      </c>
      <c r="E37" s="435"/>
      <c r="F37" s="445"/>
      <c r="G37" s="440"/>
    </row>
    <row r="38" spans="1:7" ht="15.75" customHeight="1" x14ac:dyDescent="0.25">
      <c r="A38" s="510">
        <v>31</v>
      </c>
      <c r="B38" s="515" t="s">
        <v>88</v>
      </c>
      <c r="C38" s="427" t="s">
        <v>13</v>
      </c>
      <c r="D38" s="422">
        <v>8474</v>
      </c>
      <c r="E38" s="435">
        <v>81</v>
      </c>
      <c r="F38" s="445"/>
      <c r="G38" s="440"/>
    </row>
    <row r="39" spans="1:7" ht="15.75" customHeight="1" x14ac:dyDescent="0.25">
      <c r="A39" s="510">
        <v>32</v>
      </c>
      <c r="B39" s="513" t="s">
        <v>132</v>
      </c>
      <c r="C39" s="427" t="s">
        <v>30</v>
      </c>
      <c r="D39" s="422">
        <v>2678</v>
      </c>
      <c r="E39" s="435"/>
      <c r="F39" s="445"/>
      <c r="G39" s="440"/>
    </row>
    <row r="40" spans="1:7" ht="15.75" customHeight="1" x14ac:dyDescent="0.25">
      <c r="A40" s="510">
        <v>33</v>
      </c>
      <c r="B40" s="513" t="s">
        <v>133</v>
      </c>
      <c r="C40" s="427" t="s">
        <v>14</v>
      </c>
      <c r="D40" s="422">
        <v>7412</v>
      </c>
      <c r="E40" s="435"/>
      <c r="F40" s="445"/>
      <c r="G40" s="440">
        <v>56</v>
      </c>
    </row>
    <row r="41" spans="1:7" ht="15.75" customHeight="1" x14ac:dyDescent="0.25">
      <c r="A41" s="510">
        <v>34</v>
      </c>
      <c r="B41" s="517" t="s">
        <v>134</v>
      </c>
      <c r="C41" s="429" t="s">
        <v>33</v>
      </c>
      <c r="D41" s="422">
        <v>2271</v>
      </c>
      <c r="E41" s="435"/>
      <c r="F41" s="445"/>
      <c r="G41" s="440"/>
    </row>
    <row r="42" spans="1:7" ht="15.75" customHeight="1" x14ac:dyDescent="0.25">
      <c r="A42" s="510">
        <v>35</v>
      </c>
      <c r="B42" s="515" t="s">
        <v>89</v>
      </c>
      <c r="C42" s="427" t="s">
        <v>38</v>
      </c>
      <c r="D42" s="422">
        <v>2491</v>
      </c>
      <c r="E42" s="435"/>
      <c r="F42" s="445"/>
      <c r="G42" s="440"/>
    </row>
    <row r="43" spans="1:7" ht="15.75" customHeight="1" x14ac:dyDescent="0.25">
      <c r="A43" s="510">
        <v>36</v>
      </c>
      <c r="B43" s="514" t="s">
        <v>90</v>
      </c>
      <c r="C43" s="427" t="s">
        <v>39</v>
      </c>
      <c r="D43" s="422">
        <v>4282</v>
      </c>
      <c r="E43" s="435"/>
      <c r="F43" s="445"/>
      <c r="G43" s="440"/>
    </row>
    <row r="44" spans="1:7" ht="15.75" customHeight="1" x14ac:dyDescent="0.25">
      <c r="A44" s="510">
        <v>37</v>
      </c>
      <c r="B44" s="515" t="s">
        <v>135</v>
      </c>
      <c r="C44" s="427" t="s">
        <v>40</v>
      </c>
      <c r="D44" s="422">
        <v>1260</v>
      </c>
      <c r="E44" s="435"/>
      <c r="F44" s="445"/>
      <c r="G44" s="440"/>
    </row>
    <row r="45" spans="1:7" ht="15.75" customHeight="1" x14ac:dyDescent="0.25">
      <c r="A45" s="510">
        <v>38</v>
      </c>
      <c r="B45" s="514" t="s">
        <v>91</v>
      </c>
      <c r="C45" s="427" t="s">
        <v>53</v>
      </c>
      <c r="D45" s="422">
        <v>2499</v>
      </c>
      <c r="E45" s="435"/>
      <c r="F45" s="445"/>
      <c r="G45" s="440"/>
    </row>
    <row r="46" spans="1:7" ht="15.75" customHeight="1" x14ac:dyDescent="0.25">
      <c r="A46" s="510">
        <v>39</v>
      </c>
      <c r="B46" s="515" t="s">
        <v>92</v>
      </c>
      <c r="C46" s="427" t="s">
        <v>56</v>
      </c>
      <c r="D46" s="422">
        <v>2776</v>
      </c>
      <c r="E46" s="435"/>
      <c r="F46" s="445"/>
      <c r="G46" s="440"/>
    </row>
    <row r="47" spans="1:7" ht="15.75" customHeight="1" x14ac:dyDescent="0.25">
      <c r="A47" s="510">
        <v>40</v>
      </c>
      <c r="B47" s="515" t="s">
        <v>136</v>
      </c>
      <c r="C47" s="427" t="s">
        <v>15</v>
      </c>
      <c r="D47" s="422">
        <v>10783</v>
      </c>
      <c r="E47" s="435"/>
      <c r="F47" s="445"/>
      <c r="G47" s="440"/>
    </row>
    <row r="48" spans="1:7" ht="15.75" customHeight="1" x14ac:dyDescent="0.25">
      <c r="A48" s="510">
        <v>41</v>
      </c>
      <c r="B48" s="515" t="s">
        <v>137</v>
      </c>
      <c r="C48" s="427" t="s">
        <v>61</v>
      </c>
      <c r="D48" s="422">
        <v>2097</v>
      </c>
      <c r="E48" s="435"/>
      <c r="F48" s="445"/>
      <c r="G48" s="440"/>
    </row>
    <row r="49" spans="1:7" ht="15.75" customHeight="1" x14ac:dyDescent="0.25">
      <c r="A49" s="510">
        <v>42</v>
      </c>
      <c r="B49" s="514" t="s">
        <v>95</v>
      </c>
      <c r="C49" s="429" t="s">
        <v>27</v>
      </c>
      <c r="D49" s="422">
        <v>1608</v>
      </c>
      <c r="E49" s="435"/>
      <c r="F49" s="445"/>
      <c r="G49" s="440"/>
    </row>
    <row r="50" spans="1:7" ht="15.75" customHeight="1" x14ac:dyDescent="0.25">
      <c r="A50" s="510">
        <v>43</v>
      </c>
      <c r="B50" s="515" t="s">
        <v>138</v>
      </c>
      <c r="C50" s="427" t="s">
        <v>32</v>
      </c>
      <c r="D50" s="422">
        <v>2085</v>
      </c>
      <c r="E50" s="435"/>
      <c r="F50" s="445"/>
      <c r="G50" s="440"/>
    </row>
    <row r="51" spans="1:7" ht="15.75" customHeight="1" x14ac:dyDescent="0.25">
      <c r="A51" s="510">
        <v>44</v>
      </c>
      <c r="B51" s="515" t="s">
        <v>96</v>
      </c>
      <c r="C51" s="427" t="s">
        <v>18</v>
      </c>
      <c r="D51" s="422">
        <v>3666</v>
      </c>
      <c r="E51" s="435"/>
      <c r="F51" s="445"/>
      <c r="G51" s="440"/>
    </row>
    <row r="52" spans="1:7" ht="15.75" customHeight="1" x14ac:dyDescent="0.25">
      <c r="A52" s="510">
        <v>45</v>
      </c>
      <c r="B52" s="514" t="s">
        <v>139</v>
      </c>
      <c r="C52" s="427" t="s">
        <v>19</v>
      </c>
      <c r="D52" s="422">
        <v>1136</v>
      </c>
      <c r="E52" s="435"/>
      <c r="F52" s="445"/>
      <c r="G52" s="440"/>
    </row>
    <row r="53" spans="1:7" ht="15.75" customHeight="1" x14ac:dyDescent="0.25">
      <c r="A53" s="510">
        <v>46</v>
      </c>
      <c r="B53" s="514" t="s">
        <v>97</v>
      </c>
      <c r="C53" s="427" t="s">
        <v>34</v>
      </c>
      <c r="D53" s="422">
        <v>2395</v>
      </c>
      <c r="E53" s="435"/>
      <c r="F53" s="445"/>
      <c r="G53" s="440"/>
    </row>
    <row r="54" spans="1:7" ht="15.75" customHeight="1" x14ac:dyDescent="0.25">
      <c r="A54" s="510">
        <v>47</v>
      </c>
      <c r="B54" s="513" t="s">
        <v>98</v>
      </c>
      <c r="C54" s="427" t="s">
        <v>42</v>
      </c>
      <c r="D54" s="422">
        <v>4211</v>
      </c>
      <c r="E54" s="435"/>
      <c r="F54" s="445"/>
      <c r="G54" s="440"/>
    </row>
    <row r="55" spans="1:7" ht="15.75" customHeight="1" x14ac:dyDescent="0.25">
      <c r="A55" s="510">
        <v>48</v>
      </c>
      <c r="B55" s="513" t="s">
        <v>99</v>
      </c>
      <c r="C55" s="427" t="s">
        <v>46</v>
      </c>
      <c r="D55" s="422">
        <v>2741</v>
      </c>
      <c r="E55" s="435"/>
      <c r="F55" s="445"/>
      <c r="G55" s="440"/>
    </row>
    <row r="56" spans="1:7" ht="15.75" customHeight="1" x14ac:dyDescent="0.25">
      <c r="A56" s="510">
        <v>49</v>
      </c>
      <c r="B56" s="515" t="s">
        <v>149</v>
      </c>
      <c r="C56" s="427" t="s">
        <v>47</v>
      </c>
      <c r="D56" s="422">
        <v>1628</v>
      </c>
      <c r="E56" s="435"/>
      <c r="F56" s="445"/>
      <c r="G56" s="440"/>
    </row>
    <row r="57" spans="1:7" ht="15.75" customHeight="1" x14ac:dyDescent="0.25">
      <c r="A57" s="510">
        <v>50</v>
      </c>
      <c r="B57" s="513" t="s">
        <v>100</v>
      </c>
      <c r="C57" s="427" t="s">
        <v>50</v>
      </c>
      <c r="D57" s="422">
        <v>2232</v>
      </c>
      <c r="E57" s="435"/>
      <c r="F57" s="445"/>
      <c r="G57" s="440"/>
    </row>
    <row r="58" spans="1:7" ht="15.75" customHeight="1" x14ac:dyDescent="0.25">
      <c r="A58" s="510">
        <v>51</v>
      </c>
      <c r="B58" s="513" t="s">
        <v>150</v>
      </c>
      <c r="C58" s="427" t="s">
        <v>51</v>
      </c>
      <c r="D58" s="422">
        <v>1320</v>
      </c>
      <c r="E58" s="435"/>
      <c r="F58" s="445"/>
      <c r="G58" s="440"/>
    </row>
    <row r="59" spans="1:7" ht="15.75" customHeight="1" x14ac:dyDescent="0.25">
      <c r="A59" s="510">
        <v>52</v>
      </c>
      <c r="B59" s="514" t="s">
        <v>101</v>
      </c>
      <c r="C59" s="427" t="s">
        <v>20</v>
      </c>
      <c r="D59" s="422">
        <v>2611</v>
      </c>
      <c r="E59" s="435">
        <v>81</v>
      </c>
      <c r="F59" s="445"/>
      <c r="G59" s="440"/>
    </row>
    <row r="60" spans="1:7" ht="15.75" customHeight="1" x14ac:dyDescent="0.25">
      <c r="A60" s="510">
        <v>53</v>
      </c>
      <c r="B60" s="515" t="s">
        <v>102</v>
      </c>
      <c r="C60" s="427" t="s">
        <v>55</v>
      </c>
      <c r="D60" s="422">
        <v>4619</v>
      </c>
      <c r="E60" s="435"/>
      <c r="F60" s="445"/>
      <c r="G60" s="440"/>
    </row>
    <row r="61" spans="1:7" ht="15.75" customHeight="1" x14ac:dyDescent="0.25">
      <c r="A61" s="510">
        <v>54</v>
      </c>
      <c r="B61" s="515" t="s">
        <v>103</v>
      </c>
      <c r="C61" s="427" t="s">
        <v>60</v>
      </c>
      <c r="D61" s="422">
        <v>2053</v>
      </c>
      <c r="E61" s="435"/>
      <c r="F61" s="445"/>
      <c r="G61" s="440"/>
    </row>
    <row r="62" spans="1:7" ht="15.75" customHeight="1" x14ac:dyDescent="0.25">
      <c r="A62" s="510">
        <v>55</v>
      </c>
      <c r="B62" s="513" t="s">
        <v>104</v>
      </c>
      <c r="C62" s="427" t="s">
        <v>21</v>
      </c>
      <c r="D62" s="422">
        <v>4655</v>
      </c>
      <c r="E62" s="435"/>
      <c r="F62" s="445"/>
      <c r="G62" s="440"/>
    </row>
    <row r="63" spans="1:7" ht="15.75" customHeight="1" x14ac:dyDescent="0.25">
      <c r="A63" s="510">
        <v>56</v>
      </c>
      <c r="B63" s="514" t="s">
        <v>105</v>
      </c>
      <c r="C63" s="427" t="s">
        <v>62</v>
      </c>
      <c r="D63" s="422">
        <v>1553</v>
      </c>
      <c r="E63" s="435"/>
      <c r="F63" s="445"/>
      <c r="G63" s="440"/>
    </row>
    <row r="64" spans="1:7" ht="15.75" customHeight="1" x14ac:dyDescent="0.25">
      <c r="A64" s="510">
        <v>57</v>
      </c>
      <c r="B64" s="513" t="s">
        <v>280</v>
      </c>
      <c r="C64" s="427" t="s">
        <v>2236</v>
      </c>
      <c r="D64" s="422">
        <v>84139</v>
      </c>
      <c r="E64" s="435">
        <v>12201</v>
      </c>
      <c r="F64" s="445">
        <v>1859</v>
      </c>
      <c r="G64" s="440">
        <v>197</v>
      </c>
    </row>
    <row r="65" spans="1:7" ht="15.75" customHeight="1" thickBot="1" x14ac:dyDescent="0.3">
      <c r="A65" s="511">
        <v>58</v>
      </c>
      <c r="B65" s="518" t="s">
        <v>113</v>
      </c>
      <c r="C65" s="430" t="s">
        <v>114</v>
      </c>
      <c r="D65" s="424">
        <v>4697</v>
      </c>
      <c r="E65" s="436"/>
      <c r="F65" s="446"/>
      <c r="G65" s="441"/>
    </row>
    <row r="66" spans="1:7" x14ac:dyDescent="0.25">
      <c r="E66" s="378"/>
      <c r="F66" s="378"/>
      <c r="G66" s="378"/>
    </row>
  </sheetData>
  <mergeCells count="7">
    <mergeCell ref="A1:G1"/>
    <mergeCell ref="A3:A4"/>
    <mergeCell ref="B3:B4"/>
    <mergeCell ref="C3:C4"/>
    <mergeCell ref="D3:E3"/>
    <mergeCell ref="F3:F4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83"/>
  <sheetViews>
    <sheetView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F22" sqref="F22"/>
    </sheetView>
  </sheetViews>
  <sheetFormatPr defaultRowHeight="12.75" x14ac:dyDescent="0.25"/>
  <cols>
    <col min="1" max="1" width="6.28515625" style="348" customWidth="1"/>
    <col min="2" max="2" width="10" style="348" customWidth="1"/>
    <col min="3" max="3" width="33.140625" style="349" customWidth="1"/>
    <col min="4" max="4" width="15.28515625" style="348" customWidth="1"/>
    <col min="5" max="5" width="12.7109375" style="348" customWidth="1"/>
    <col min="6" max="6" width="14.85546875" style="348" customWidth="1"/>
    <col min="7" max="7" width="12" style="348" customWidth="1"/>
    <col min="8" max="8" width="14.42578125" style="348" customWidth="1"/>
    <col min="9" max="11" width="12.28515625" style="348" customWidth="1"/>
    <col min="12" max="12" width="14.28515625" style="351" customWidth="1"/>
    <col min="13" max="16384" width="9.140625" style="348"/>
  </cols>
  <sheetData>
    <row r="1" spans="1:12" ht="19.5" customHeight="1" x14ac:dyDescent="0.25">
      <c r="A1" s="1120" t="s">
        <v>2237</v>
      </c>
      <c r="B1" s="1120"/>
      <c r="C1" s="1120"/>
      <c r="D1" s="1120"/>
      <c r="E1" s="1120"/>
      <c r="F1" s="1120"/>
      <c r="G1" s="1120"/>
      <c r="H1" s="1121"/>
      <c r="I1" s="1122"/>
      <c r="J1" s="1122"/>
      <c r="K1" s="1122"/>
      <c r="L1" s="1123"/>
    </row>
    <row r="2" spans="1:12" ht="13.5" thickBot="1" x14ac:dyDescent="0.3">
      <c r="D2" s="350"/>
    </row>
    <row r="3" spans="1:12" s="352" customFormat="1" ht="25.5" customHeight="1" x14ac:dyDescent="0.25">
      <c r="A3" s="1124" t="s">
        <v>0</v>
      </c>
      <c r="B3" s="1127" t="s">
        <v>296</v>
      </c>
      <c r="C3" s="1130" t="s">
        <v>297</v>
      </c>
      <c r="D3" s="1133" t="s">
        <v>2238</v>
      </c>
      <c r="E3" s="1134"/>
      <c r="F3" s="1135"/>
      <c r="G3" s="1135"/>
      <c r="H3" s="1135"/>
      <c r="I3" s="1136"/>
      <c r="J3" s="1137" t="s">
        <v>2239</v>
      </c>
      <c r="K3" s="1135"/>
      <c r="L3" s="1136"/>
    </row>
    <row r="4" spans="1:12" s="352" customFormat="1" ht="40.5" customHeight="1" x14ac:dyDescent="0.25">
      <c r="A4" s="1125"/>
      <c r="B4" s="1128"/>
      <c r="C4" s="1131"/>
      <c r="D4" s="1138" t="s">
        <v>2240</v>
      </c>
      <c r="E4" s="1139"/>
      <c r="F4" s="1139" t="s">
        <v>2241</v>
      </c>
      <c r="G4" s="1139"/>
      <c r="H4" s="1140" t="s">
        <v>2242</v>
      </c>
      <c r="I4" s="1141"/>
      <c r="J4" s="392" t="s">
        <v>2243</v>
      </c>
      <c r="K4" s="353" t="s">
        <v>2241</v>
      </c>
      <c r="L4" s="382" t="s">
        <v>2244</v>
      </c>
    </row>
    <row r="5" spans="1:12" s="352" customFormat="1" ht="114" customHeight="1" thickBot="1" x14ac:dyDescent="0.3">
      <c r="A5" s="1126"/>
      <c r="B5" s="1129"/>
      <c r="C5" s="1132"/>
      <c r="D5" s="533" t="s">
        <v>2245</v>
      </c>
      <c r="E5" s="534" t="s">
        <v>2246</v>
      </c>
      <c r="F5" s="534" t="s">
        <v>2245</v>
      </c>
      <c r="G5" s="534" t="s">
        <v>2246</v>
      </c>
      <c r="H5" s="534" t="s">
        <v>2245</v>
      </c>
      <c r="I5" s="535" t="s">
        <v>2246</v>
      </c>
      <c r="J5" s="536" t="s">
        <v>2247</v>
      </c>
      <c r="K5" s="537" t="s">
        <v>2247</v>
      </c>
      <c r="L5" s="538" t="s">
        <v>2247</v>
      </c>
    </row>
    <row r="6" spans="1:12" x14ac:dyDescent="0.25">
      <c r="A6" s="519"/>
      <c r="B6" s="523"/>
      <c r="C6" s="410" t="s">
        <v>1</v>
      </c>
      <c r="D6" s="399">
        <f>D7+D8</f>
        <v>73687</v>
      </c>
      <c r="E6" s="389">
        <f t="shared" ref="E6:L6" si="0">E7+E8</f>
        <v>11369</v>
      </c>
      <c r="F6" s="389">
        <f t="shared" si="0"/>
        <v>73655</v>
      </c>
      <c r="G6" s="389">
        <f t="shared" si="0"/>
        <v>11354</v>
      </c>
      <c r="H6" s="389">
        <f t="shared" si="0"/>
        <v>147342</v>
      </c>
      <c r="I6" s="390">
        <f t="shared" si="0"/>
        <v>22723</v>
      </c>
      <c r="J6" s="393">
        <f t="shared" si="0"/>
        <v>151470</v>
      </c>
      <c r="K6" s="389">
        <f t="shared" si="0"/>
        <v>151470</v>
      </c>
      <c r="L6" s="390">
        <f t="shared" si="0"/>
        <v>302940</v>
      </c>
    </row>
    <row r="7" spans="1:12" ht="13.5" customHeight="1" x14ac:dyDescent="0.25">
      <c r="A7" s="520"/>
      <c r="B7" s="524"/>
      <c r="C7" s="411" t="s">
        <v>3</v>
      </c>
      <c r="D7" s="400">
        <v>0</v>
      </c>
      <c r="E7" s="381">
        <v>0</v>
      </c>
      <c r="F7" s="381">
        <v>0</v>
      </c>
      <c r="G7" s="381">
        <v>2877</v>
      </c>
      <c r="H7" s="358">
        <v>0</v>
      </c>
      <c r="I7" s="385">
        <v>2877</v>
      </c>
      <c r="J7" s="394">
        <v>0</v>
      </c>
      <c r="K7" s="358">
        <v>9900</v>
      </c>
      <c r="L7" s="385">
        <v>9900</v>
      </c>
    </row>
    <row r="8" spans="1:12" x14ac:dyDescent="0.25">
      <c r="A8" s="520"/>
      <c r="B8" s="524"/>
      <c r="C8" s="411" t="s">
        <v>4</v>
      </c>
      <c r="D8" s="400">
        <f>SUM(D9:D83)</f>
        <v>73687</v>
      </c>
      <c r="E8" s="381">
        <f t="shared" ref="E8:L8" si="1">SUM(E9:E83)</f>
        <v>11369</v>
      </c>
      <c r="F8" s="381">
        <f t="shared" si="1"/>
        <v>73655</v>
      </c>
      <c r="G8" s="381">
        <f t="shared" si="1"/>
        <v>8477</v>
      </c>
      <c r="H8" s="381">
        <f t="shared" si="1"/>
        <v>147342</v>
      </c>
      <c r="I8" s="384">
        <f t="shared" si="1"/>
        <v>19846</v>
      </c>
      <c r="J8" s="395">
        <f t="shared" si="1"/>
        <v>151470</v>
      </c>
      <c r="K8" s="381">
        <f t="shared" si="1"/>
        <v>141570</v>
      </c>
      <c r="L8" s="384">
        <f t="shared" si="1"/>
        <v>293040</v>
      </c>
    </row>
    <row r="9" spans="1:12" x14ac:dyDescent="0.25">
      <c r="A9" s="521">
        <v>1</v>
      </c>
      <c r="B9" s="525" t="s">
        <v>69</v>
      </c>
      <c r="C9" s="412" t="s">
        <v>29</v>
      </c>
      <c r="D9" s="401"/>
      <c r="E9" s="353"/>
      <c r="F9" s="353"/>
      <c r="G9" s="353"/>
      <c r="H9" s="8"/>
      <c r="I9" s="402"/>
      <c r="J9" s="396">
        <v>1650</v>
      </c>
      <c r="K9" s="8">
        <v>1650</v>
      </c>
      <c r="L9" s="383">
        <f>SUM(J9:K9)</f>
        <v>3300</v>
      </c>
    </row>
    <row r="10" spans="1:12" x14ac:dyDescent="0.25">
      <c r="A10" s="521">
        <v>2</v>
      </c>
      <c r="B10" s="526" t="s">
        <v>70</v>
      </c>
      <c r="C10" s="413" t="s">
        <v>31</v>
      </c>
      <c r="D10" s="403">
        <v>993</v>
      </c>
      <c r="E10" s="355">
        <v>101</v>
      </c>
      <c r="F10" s="355">
        <v>992</v>
      </c>
      <c r="G10" s="355">
        <v>101</v>
      </c>
      <c r="H10" s="354">
        <f>D10+F10</f>
        <v>1985</v>
      </c>
      <c r="I10" s="404">
        <f>E10+G10</f>
        <v>202</v>
      </c>
      <c r="J10" s="397">
        <v>1650</v>
      </c>
      <c r="K10" s="354">
        <v>1650</v>
      </c>
      <c r="L10" s="383">
        <f t="shared" ref="L10:L73" si="2">SUM(J10:K10)</f>
        <v>3300</v>
      </c>
    </row>
    <row r="11" spans="1:12" x14ac:dyDescent="0.25">
      <c r="A11" s="521">
        <v>3</v>
      </c>
      <c r="B11" s="527" t="s">
        <v>71</v>
      </c>
      <c r="C11" s="413" t="s">
        <v>5</v>
      </c>
      <c r="D11" s="403">
        <v>1124</v>
      </c>
      <c r="E11" s="355">
        <v>229</v>
      </c>
      <c r="F11" s="355">
        <v>1124</v>
      </c>
      <c r="G11" s="355">
        <v>228</v>
      </c>
      <c r="H11" s="354">
        <f t="shared" ref="H11:I74" si="3">D11+F11</f>
        <v>2248</v>
      </c>
      <c r="I11" s="404">
        <f t="shared" si="3"/>
        <v>457</v>
      </c>
      <c r="J11" s="397">
        <v>2640</v>
      </c>
      <c r="K11" s="354">
        <v>2640</v>
      </c>
      <c r="L11" s="383">
        <f t="shared" si="2"/>
        <v>5280</v>
      </c>
    </row>
    <row r="12" spans="1:12" x14ac:dyDescent="0.25">
      <c r="A12" s="521">
        <v>4</v>
      </c>
      <c r="B12" s="525" t="s">
        <v>72</v>
      </c>
      <c r="C12" s="413" t="s">
        <v>2248</v>
      </c>
      <c r="D12" s="403">
        <v>574</v>
      </c>
      <c r="E12" s="355">
        <v>0</v>
      </c>
      <c r="F12" s="355">
        <v>573</v>
      </c>
      <c r="G12" s="355">
        <v>0</v>
      </c>
      <c r="H12" s="354">
        <f t="shared" si="3"/>
        <v>1147</v>
      </c>
      <c r="I12" s="404">
        <f t="shared" si="3"/>
        <v>0</v>
      </c>
      <c r="J12" s="397">
        <v>1650</v>
      </c>
      <c r="K12" s="354">
        <v>1650</v>
      </c>
      <c r="L12" s="383">
        <f t="shared" si="2"/>
        <v>3300</v>
      </c>
    </row>
    <row r="13" spans="1:12" ht="25.5" customHeight="1" x14ac:dyDescent="0.25">
      <c r="A13" s="521">
        <v>5</v>
      </c>
      <c r="B13" s="525" t="s">
        <v>108</v>
      </c>
      <c r="C13" s="414" t="s">
        <v>37</v>
      </c>
      <c r="D13" s="401"/>
      <c r="E13" s="353"/>
      <c r="F13" s="353"/>
      <c r="G13" s="353"/>
      <c r="H13" s="354">
        <f t="shared" si="3"/>
        <v>0</v>
      </c>
      <c r="I13" s="404">
        <f t="shared" si="3"/>
        <v>0</v>
      </c>
      <c r="J13" s="397">
        <v>1650</v>
      </c>
      <c r="K13" s="354">
        <v>1650</v>
      </c>
      <c r="L13" s="383">
        <f t="shared" si="2"/>
        <v>3300</v>
      </c>
    </row>
    <row r="14" spans="1:12" x14ac:dyDescent="0.25">
      <c r="A14" s="521">
        <v>6</v>
      </c>
      <c r="B14" s="527" t="s">
        <v>73</v>
      </c>
      <c r="C14" s="413" t="s">
        <v>574</v>
      </c>
      <c r="D14" s="403">
        <v>2106</v>
      </c>
      <c r="E14" s="355">
        <v>528</v>
      </c>
      <c r="F14" s="355">
        <v>2106</v>
      </c>
      <c r="G14" s="355">
        <v>527</v>
      </c>
      <c r="H14" s="354">
        <f t="shared" si="3"/>
        <v>4212</v>
      </c>
      <c r="I14" s="404">
        <f t="shared" si="3"/>
        <v>1055</v>
      </c>
      <c r="J14" s="397">
        <v>4290</v>
      </c>
      <c r="K14" s="354">
        <v>3465</v>
      </c>
      <c r="L14" s="383">
        <f t="shared" si="2"/>
        <v>7755</v>
      </c>
    </row>
    <row r="15" spans="1:12" x14ac:dyDescent="0.25">
      <c r="A15" s="521">
        <v>7</v>
      </c>
      <c r="B15" s="525" t="s">
        <v>109</v>
      </c>
      <c r="C15" s="413" t="s">
        <v>23</v>
      </c>
      <c r="D15" s="403">
        <v>1707</v>
      </c>
      <c r="E15" s="355">
        <v>249</v>
      </c>
      <c r="F15" s="355">
        <v>1707</v>
      </c>
      <c r="G15" s="355">
        <v>249</v>
      </c>
      <c r="H15" s="354">
        <f t="shared" si="3"/>
        <v>3414</v>
      </c>
      <c r="I15" s="404">
        <f t="shared" si="3"/>
        <v>498</v>
      </c>
      <c r="J15" s="397">
        <v>1650</v>
      </c>
      <c r="K15" s="354">
        <v>1650</v>
      </c>
      <c r="L15" s="383">
        <f t="shared" si="2"/>
        <v>3300</v>
      </c>
    </row>
    <row r="16" spans="1:12" x14ac:dyDescent="0.25">
      <c r="A16" s="521">
        <v>8</v>
      </c>
      <c r="B16" s="527" t="s">
        <v>110</v>
      </c>
      <c r="C16" s="414" t="s">
        <v>44</v>
      </c>
      <c r="D16" s="401"/>
      <c r="E16" s="353"/>
      <c r="F16" s="353"/>
      <c r="G16" s="353"/>
      <c r="H16" s="354">
        <f t="shared" si="3"/>
        <v>0</v>
      </c>
      <c r="I16" s="404">
        <f t="shared" si="3"/>
        <v>0</v>
      </c>
      <c r="J16" s="397">
        <v>1650</v>
      </c>
      <c r="K16" s="354">
        <v>1650</v>
      </c>
      <c r="L16" s="383">
        <f t="shared" si="2"/>
        <v>3300</v>
      </c>
    </row>
    <row r="17" spans="1:12" x14ac:dyDescent="0.25">
      <c r="A17" s="521">
        <v>9</v>
      </c>
      <c r="B17" s="527" t="s">
        <v>74</v>
      </c>
      <c r="C17" s="413" t="s">
        <v>45</v>
      </c>
      <c r="D17" s="403">
        <v>627</v>
      </c>
      <c r="E17" s="355">
        <v>53</v>
      </c>
      <c r="F17" s="355">
        <v>626</v>
      </c>
      <c r="G17" s="355">
        <v>53</v>
      </c>
      <c r="H17" s="354">
        <f t="shared" si="3"/>
        <v>1253</v>
      </c>
      <c r="I17" s="404">
        <f t="shared" si="3"/>
        <v>106</v>
      </c>
      <c r="J17" s="397">
        <v>825</v>
      </c>
      <c r="K17" s="354">
        <v>825</v>
      </c>
      <c r="L17" s="383">
        <f t="shared" si="2"/>
        <v>1650</v>
      </c>
    </row>
    <row r="18" spans="1:12" x14ac:dyDescent="0.25">
      <c r="A18" s="521">
        <v>10</v>
      </c>
      <c r="B18" s="527" t="s">
        <v>111</v>
      </c>
      <c r="C18" s="414" t="s">
        <v>48</v>
      </c>
      <c r="D18" s="401"/>
      <c r="E18" s="353"/>
      <c r="F18" s="353"/>
      <c r="G18" s="353"/>
      <c r="H18" s="354">
        <f t="shared" si="3"/>
        <v>0</v>
      </c>
      <c r="I18" s="404">
        <f t="shared" si="3"/>
        <v>0</v>
      </c>
      <c r="J18" s="397">
        <v>1650</v>
      </c>
      <c r="K18" s="354">
        <v>1650</v>
      </c>
      <c r="L18" s="383">
        <f t="shared" si="2"/>
        <v>3300</v>
      </c>
    </row>
    <row r="19" spans="1:12" x14ac:dyDescent="0.25">
      <c r="A19" s="521">
        <v>11</v>
      </c>
      <c r="B19" s="527" t="s">
        <v>75</v>
      </c>
      <c r="C19" s="414" t="s">
        <v>52</v>
      </c>
      <c r="D19" s="401"/>
      <c r="E19" s="353"/>
      <c r="F19" s="353"/>
      <c r="G19" s="353"/>
      <c r="H19" s="354">
        <f t="shared" si="3"/>
        <v>0</v>
      </c>
      <c r="I19" s="404">
        <f t="shared" si="3"/>
        <v>0</v>
      </c>
      <c r="J19" s="397">
        <v>1650</v>
      </c>
      <c r="K19" s="354">
        <v>1650</v>
      </c>
      <c r="L19" s="383">
        <f t="shared" si="2"/>
        <v>3300</v>
      </c>
    </row>
    <row r="20" spans="1:12" x14ac:dyDescent="0.25">
      <c r="A20" s="521">
        <v>12</v>
      </c>
      <c r="B20" s="527" t="s">
        <v>112</v>
      </c>
      <c r="C20" s="413" t="s">
        <v>63</v>
      </c>
      <c r="D20" s="403">
        <v>1074</v>
      </c>
      <c r="E20" s="355">
        <v>0</v>
      </c>
      <c r="F20" s="355">
        <v>1073</v>
      </c>
      <c r="G20" s="355">
        <v>0</v>
      </c>
      <c r="H20" s="354">
        <f t="shared" si="3"/>
        <v>2147</v>
      </c>
      <c r="I20" s="404">
        <f t="shared" si="3"/>
        <v>0</v>
      </c>
      <c r="J20" s="397">
        <v>1650</v>
      </c>
      <c r="K20" s="354">
        <v>1650</v>
      </c>
      <c r="L20" s="383">
        <f t="shared" si="2"/>
        <v>3300</v>
      </c>
    </row>
    <row r="21" spans="1:12" x14ac:dyDescent="0.25">
      <c r="A21" s="521">
        <v>13</v>
      </c>
      <c r="B21" s="527" t="s">
        <v>115</v>
      </c>
      <c r="C21" s="414" t="s">
        <v>26</v>
      </c>
      <c r="D21" s="401"/>
      <c r="E21" s="353"/>
      <c r="F21" s="353"/>
      <c r="G21" s="353"/>
      <c r="H21" s="354">
        <f t="shared" si="3"/>
        <v>0</v>
      </c>
      <c r="I21" s="404">
        <f t="shared" si="3"/>
        <v>0</v>
      </c>
      <c r="J21" s="397">
        <v>1650</v>
      </c>
      <c r="K21" s="354">
        <v>1650</v>
      </c>
      <c r="L21" s="383">
        <f t="shared" si="2"/>
        <v>3300</v>
      </c>
    </row>
    <row r="22" spans="1:12" x14ac:dyDescent="0.25">
      <c r="A22" s="521">
        <v>14</v>
      </c>
      <c r="B22" s="527" t="s">
        <v>116</v>
      </c>
      <c r="C22" s="414" t="s">
        <v>28</v>
      </c>
      <c r="D22" s="401"/>
      <c r="E22" s="353"/>
      <c r="F22" s="353"/>
      <c r="G22" s="353"/>
      <c r="H22" s="354">
        <f t="shared" si="3"/>
        <v>0</v>
      </c>
      <c r="I22" s="404">
        <f t="shared" si="3"/>
        <v>0</v>
      </c>
      <c r="J22" s="397">
        <v>1650</v>
      </c>
      <c r="K22" s="354">
        <v>1650</v>
      </c>
      <c r="L22" s="383">
        <f t="shared" si="2"/>
        <v>3300</v>
      </c>
    </row>
    <row r="23" spans="1:12" x14ac:dyDescent="0.25">
      <c r="A23" s="521">
        <v>15</v>
      </c>
      <c r="B23" s="527" t="s">
        <v>117</v>
      </c>
      <c r="C23" s="413" t="s">
        <v>2249</v>
      </c>
      <c r="D23" s="403">
        <v>1083</v>
      </c>
      <c r="E23" s="355">
        <v>172</v>
      </c>
      <c r="F23" s="355">
        <v>1083</v>
      </c>
      <c r="G23" s="355">
        <v>172</v>
      </c>
      <c r="H23" s="354">
        <f t="shared" si="3"/>
        <v>2166</v>
      </c>
      <c r="I23" s="404">
        <f t="shared" si="3"/>
        <v>344</v>
      </c>
      <c r="J23" s="397">
        <v>1815</v>
      </c>
      <c r="K23" s="354">
        <v>1815</v>
      </c>
      <c r="L23" s="383">
        <f t="shared" si="2"/>
        <v>3630</v>
      </c>
    </row>
    <row r="24" spans="1:12" x14ac:dyDescent="0.25">
      <c r="A24" s="521">
        <v>16</v>
      </c>
      <c r="B24" s="527" t="s">
        <v>76</v>
      </c>
      <c r="C24" s="413" t="s">
        <v>2250</v>
      </c>
      <c r="D24" s="403">
        <v>2310</v>
      </c>
      <c r="E24" s="355">
        <v>467</v>
      </c>
      <c r="F24" s="355">
        <v>2310</v>
      </c>
      <c r="G24" s="355">
        <v>467</v>
      </c>
      <c r="H24" s="354">
        <f t="shared" si="3"/>
        <v>4620</v>
      </c>
      <c r="I24" s="404">
        <f t="shared" si="3"/>
        <v>934</v>
      </c>
      <c r="J24" s="397">
        <v>3465</v>
      </c>
      <c r="K24" s="354">
        <v>2640</v>
      </c>
      <c r="L24" s="383">
        <f t="shared" si="2"/>
        <v>6105</v>
      </c>
    </row>
    <row r="25" spans="1:12" x14ac:dyDescent="0.25">
      <c r="A25" s="521">
        <v>17</v>
      </c>
      <c r="B25" s="525" t="s">
        <v>118</v>
      </c>
      <c r="C25" s="413" t="s">
        <v>36</v>
      </c>
      <c r="D25" s="403">
        <v>701</v>
      </c>
      <c r="E25" s="355">
        <v>51</v>
      </c>
      <c r="F25" s="355">
        <v>701</v>
      </c>
      <c r="G25" s="355">
        <v>51</v>
      </c>
      <c r="H25" s="354">
        <f t="shared" si="3"/>
        <v>1402</v>
      </c>
      <c r="I25" s="404">
        <f t="shared" si="3"/>
        <v>102</v>
      </c>
      <c r="J25" s="397">
        <v>825</v>
      </c>
      <c r="K25" s="354">
        <v>825</v>
      </c>
      <c r="L25" s="383">
        <f t="shared" si="2"/>
        <v>1650</v>
      </c>
    </row>
    <row r="26" spans="1:12" x14ac:dyDescent="0.25">
      <c r="A26" s="521">
        <v>18</v>
      </c>
      <c r="B26" s="525" t="s">
        <v>119</v>
      </c>
      <c r="C26" s="413" t="s">
        <v>41</v>
      </c>
      <c r="D26" s="403">
        <v>680</v>
      </c>
      <c r="E26" s="355">
        <v>133</v>
      </c>
      <c r="F26" s="355">
        <v>679</v>
      </c>
      <c r="G26" s="355">
        <v>132</v>
      </c>
      <c r="H26" s="354">
        <f t="shared" si="3"/>
        <v>1359</v>
      </c>
      <c r="I26" s="404">
        <f t="shared" si="3"/>
        <v>265</v>
      </c>
      <c r="J26" s="397">
        <v>1650</v>
      </c>
      <c r="K26" s="354">
        <v>1650</v>
      </c>
      <c r="L26" s="383">
        <f t="shared" si="2"/>
        <v>3300</v>
      </c>
    </row>
    <row r="27" spans="1:12" x14ac:dyDescent="0.25">
      <c r="A27" s="521">
        <v>19</v>
      </c>
      <c r="B27" s="525" t="s">
        <v>120</v>
      </c>
      <c r="C27" s="413" t="s">
        <v>8</v>
      </c>
      <c r="D27" s="403">
        <v>1986</v>
      </c>
      <c r="E27" s="355">
        <v>214</v>
      </c>
      <c r="F27" s="355">
        <v>1985</v>
      </c>
      <c r="G27" s="355">
        <v>214</v>
      </c>
      <c r="H27" s="354">
        <f t="shared" si="3"/>
        <v>3971</v>
      </c>
      <c r="I27" s="404">
        <f t="shared" si="3"/>
        <v>428</v>
      </c>
      <c r="J27" s="397">
        <v>1650</v>
      </c>
      <c r="K27" s="354">
        <v>1650</v>
      </c>
      <c r="L27" s="383">
        <f t="shared" si="2"/>
        <v>3300</v>
      </c>
    </row>
    <row r="28" spans="1:12" ht="12" customHeight="1" x14ac:dyDescent="0.25">
      <c r="A28" s="521">
        <v>20</v>
      </c>
      <c r="B28" s="525" t="s">
        <v>77</v>
      </c>
      <c r="C28" s="413" t="s">
        <v>2251</v>
      </c>
      <c r="D28" s="403">
        <v>1771</v>
      </c>
      <c r="E28" s="355">
        <v>185</v>
      </c>
      <c r="F28" s="355">
        <v>1770</v>
      </c>
      <c r="G28" s="355">
        <v>185</v>
      </c>
      <c r="H28" s="354">
        <f t="shared" si="3"/>
        <v>3541</v>
      </c>
      <c r="I28" s="404">
        <f t="shared" si="3"/>
        <v>370</v>
      </c>
      <c r="J28" s="397">
        <v>2640</v>
      </c>
      <c r="K28" s="354">
        <v>2640</v>
      </c>
      <c r="L28" s="383">
        <f t="shared" si="2"/>
        <v>5280</v>
      </c>
    </row>
    <row r="29" spans="1:12" ht="12" customHeight="1" x14ac:dyDescent="0.25">
      <c r="A29" s="521">
        <v>21</v>
      </c>
      <c r="B29" s="525" t="s">
        <v>123</v>
      </c>
      <c r="C29" s="414" t="s">
        <v>478</v>
      </c>
      <c r="D29" s="401"/>
      <c r="E29" s="353"/>
      <c r="F29" s="353"/>
      <c r="G29" s="353"/>
      <c r="H29" s="354">
        <f t="shared" si="3"/>
        <v>0</v>
      </c>
      <c r="I29" s="404">
        <f t="shared" si="3"/>
        <v>0</v>
      </c>
      <c r="J29" s="397">
        <v>4950</v>
      </c>
      <c r="K29" s="354">
        <v>4125</v>
      </c>
      <c r="L29" s="383">
        <f t="shared" si="2"/>
        <v>9075</v>
      </c>
    </row>
    <row r="30" spans="1:12" ht="13.5" customHeight="1" x14ac:dyDescent="0.25">
      <c r="A30" s="521">
        <v>22</v>
      </c>
      <c r="B30" s="527" t="s">
        <v>121</v>
      </c>
      <c r="C30" s="413" t="s">
        <v>2252</v>
      </c>
      <c r="D30" s="403">
        <v>3748</v>
      </c>
      <c r="E30" s="355">
        <v>848</v>
      </c>
      <c r="F30" s="355">
        <v>3747</v>
      </c>
      <c r="G30" s="355">
        <v>847</v>
      </c>
      <c r="H30" s="354">
        <f t="shared" si="3"/>
        <v>7495</v>
      </c>
      <c r="I30" s="404">
        <f t="shared" si="3"/>
        <v>1695</v>
      </c>
      <c r="J30" s="397">
        <v>1650</v>
      </c>
      <c r="K30" s="354">
        <v>1650</v>
      </c>
      <c r="L30" s="383">
        <f t="shared" si="2"/>
        <v>3300</v>
      </c>
    </row>
    <row r="31" spans="1:12" ht="13.5" customHeight="1" x14ac:dyDescent="0.25">
      <c r="A31" s="521">
        <v>23</v>
      </c>
      <c r="B31" s="527" t="s">
        <v>182</v>
      </c>
      <c r="C31" s="414" t="s">
        <v>406</v>
      </c>
      <c r="D31" s="401"/>
      <c r="E31" s="353"/>
      <c r="F31" s="353"/>
      <c r="G31" s="353"/>
      <c r="H31" s="354">
        <f t="shared" si="3"/>
        <v>0</v>
      </c>
      <c r="I31" s="404">
        <f t="shared" si="3"/>
        <v>0</v>
      </c>
      <c r="J31" s="397">
        <v>495</v>
      </c>
      <c r="K31" s="354">
        <v>495</v>
      </c>
      <c r="L31" s="383">
        <f t="shared" si="2"/>
        <v>990</v>
      </c>
    </row>
    <row r="32" spans="1:12" x14ac:dyDescent="0.25">
      <c r="A32" s="521">
        <v>24</v>
      </c>
      <c r="B32" s="526" t="s">
        <v>82</v>
      </c>
      <c r="C32" s="413" t="s">
        <v>2253</v>
      </c>
      <c r="D32" s="403">
        <v>1876</v>
      </c>
      <c r="E32" s="355">
        <v>342</v>
      </c>
      <c r="F32" s="355">
        <v>1876</v>
      </c>
      <c r="G32" s="355">
        <v>342</v>
      </c>
      <c r="H32" s="354">
        <f t="shared" si="3"/>
        <v>3752</v>
      </c>
      <c r="I32" s="404">
        <f t="shared" si="3"/>
        <v>684</v>
      </c>
      <c r="J32" s="397">
        <v>2640</v>
      </c>
      <c r="K32" s="354">
        <v>2640</v>
      </c>
      <c r="L32" s="383">
        <f t="shared" si="2"/>
        <v>5280</v>
      </c>
    </row>
    <row r="33" spans="1:12" x14ac:dyDescent="0.25">
      <c r="A33" s="521">
        <v>25</v>
      </c>
      <c r="B33" s="525" t="s">
        <v>83</v>
      </c>
      <c r="C33" s="413" t="s">
        <v>502</v>
      </c>
      <c r="D33" s="403">
        <v>1307</v>
      </c>
      <c r="E33" s="355">
        <v>422</v>
      </c>
      <c r="F33" s="355">
        <v>1307</v>
      </c>
      <c r="G33" s="355">
        <v>421</v>
      </c>
      <c r="H33" s="354">
        <f t="shared" si="3"/>
        <v>2614</v>
      </c>
      <c r="I33" s="404">
        <f t="shared" si="3"/>
        <v>843</v>
      </c>
      <c r="J33" s="397">
        <v>3465</v>
      </c>
      <c r="K33" s="354">
        <v>3465</v>
      </c>
      <c r="L33" s="383">
        <f t="shared" si="2"/>
        <v>6930</v>
      </c>
    </row>
    <row r="34" spans="1:12" x14ac:dyDescent="0.25">
      <c r="A34" s="521">
        <v>26</v>
      </c>
      <c r="B34" s="526" t="s">
        <v>125</v>
      </c>
      <c r="C34" s="413" t="s">
        <v>43</v>
      </c>
      <c r="D34" s="403">
        <v>823</v>
      </c>
      <c r="E34" s="355">
        <v>78</v>
      </c>
      <c r="F34" s="355">
        <v>823</v>
      </c>
      <c r="G34" s="355">
        <v>77</v>
      </c>
      <c r="H34" s="354">
        <f t="shared" si="3"/>
        <v>1646</v>
      </c>
      <c r="I34" s="404">
        <f t="shared" si="3"/>
        <v>155</v>
      </c>
      <c r="J34" s="397">
        <v>1650</v>
      </c>
      <c r="K34" s="354">
        <v>1650</v>
      </c>
      <c r="L34" s="383">
        <f t="shared" si="2"/>
        <v>3300</v>
      </c>
    </row>
    <row r="35" spans="1:12" x14ac:dyDescent="0.25">
      <c r="A35" s="521">
        <v>27</v>
      </c>
      <c r="B35" s="527" t="s">
        <v>84</v>
      </c>
      <c r="C35" s="413" t="s">
        <v>12</v>
      </c>
      <c r="D35" s="403">
        <v>1379</v>
      </c>
      <c r="E35" s="355">
        <v>256</v>
      </c>
      <c r="F35" s="355">
        <v>1379</v>
      </c>
      <c r="G35" s="355">
        <v>256</v>
      </c>
      <c r="H35" s="354">
        <f t="shared" si="3"/>
        <v>2758</v>
      </c>
      <c r="I35" s="404">
        <f t="shared" si="3"/>
        <v>512</v>
      </c>
      <c r="J35" s="397">
        <v>2475</v>
      </c>
      <c r="K35" s="354">
        <v>2475</v>
      </c>
      <c r="L35" s="383">
        <f t="shared" si="2"/>
        <v>4950</v>
      </c>
    </row>
    <row r="36" spans="1:12" x14ac:dyDescent="0.25">
      <c r="A36" s="521">
        <v>28</v>
      </c>
      <c r="B36" s="526" t="s">
        <v>85</v>
      </c>
      <c r="C36" s="414" t="s">
        <v>49</v>
      </c>
      <c r="D36" s="401"/>
      <c r="E36" s="353"/>
      <c r="F36" s="353"/>
      <c r="G36" s="353"/>
      <c r="H36" s="354">
        <f t="shared" si="3"/>
        <v>0</v>
      </c>
      <c r="I36" s="404">
        <f t="shared" si="3"/>
        <v>0</v>
      </c>
      <c r="J36" s="397">
        <v>1650</v>
      </c>
      <c r="K36" s="354">
        <v>1650</v>
      </c>
      <c r="L36" s="383">
        <f t="shared" si="2"/>
        <v>3300</v>
      </c>
    </row>
    <row r="37" spans="1:12" x14ac:dyDescent="0.25">
      <c r="A37" s="521">
        <v>29</v>
      </c>
      <c r="B37" s="525" t="s">
        <v>126</v>
      </c>
      <c r="C37" s="413" t="s">
        <v>25</v>
      </c>
      <c r="D37" s="403">
        <v>1617</v>
      </c>
      <c r="E37" s="355">
        <v>296</v>
      </c>
      <c r="F37" s="355">
        <v>1617</v>
      </c>
      <c r="G37" s="355">
        <v>295</v>
      </c>
      <c r="H37" s="354">
        <f t="shared" si="3"/>
        <v>3234</v>
      </c>
      <c r="I37" s="404">
        <f t="shared" si="3"/>
        <v>591</v>
      </c>
      <c r="J37" s="397">
        <v>2475</v>
      </c>
      <c r="K37" s="354">
        <v>2475</v>
      </c>
      <c r="L37" s="383">
        <f t="shared" si="2"/>
        <v>4950</v>
      </c>
    </row>
    <row r="38" spans="1:12" x14ac:dyDescent="0.25">
      <c r="A38" s="521">
        <v>30</v>
      </c>
      <c r="B38" s="528" t="s">
        <v>127</v>
      </c>
      <c r="C38" s="414" t="s">
        <v>54</v>
      </c>
      <c r="D38" s="401"/>
      <c r="E38" s="353"/>
      <c r="F38" s="353"/>
      <c r="G38" s="353"/>
      <c r="H38" s="354">
        <f t="shared" si="3"/>
        <v>0</v>
      </c>
      <c r="I38" s="404">
        <f t="shared" si="3"/>
        <v>0</v>
      </c>
      <c r="J38" s="397">
        <v>1650</v>
      </c>
      <c r="K38" s="354">
        <v>1650</v>
      </c>
      <c r="L38" s="383">
        <f t="shared" si="2"/>
        <v>3300</v>
      </c>
    </row>
    <row r="39" spans="1:12" x14ac:dyDescent="0.25">
      <c r="A39" s="521">
        <v>31</v>
      </c>
      <c r="B39" s="525" t="s">
        <v>86</v>
      </c>
      <c r="C39" s="413" t="s">
        <v>57</v>
      </c>
      <c r="D39" s="403">
        <v>727</v>
      </c>
      <c r="E39" s="355">
        <v>45</v>
      </c>
      <c r="F39" s="355">
        <v>726</v>
      </c>
      <c r="G39" s="355">
        <v>45</v>
      </c>
      <c r="H39" s="354">
        <f t="shared" si="3"/>
        <v>1453</v>
      </c>
      <c r="I39" s="404">
        <f t="shared" si="3"/>
        <v>90</v>
      </c>
      <c r="J39" s="397">
        <v>1650</v>
      </c>
      <c r="K39" s="354">
        <v>1650</v>
      </c>
      <c r="L39" s="383">
        <f t="shared" si="2"/>
        <v>3300</v>
      </c>
    </row>
    <row r="40" spans="1:12" x14ac:dyDescent="0.25">
      <c r="A40" s="521">
        <v>32</v>
      </c>
      <c r="B40" s="525" t="s">
        <v>87</v>
      </c>
      <c r="C40" s="414" t="s">
        <v>58</v>
      </c>
      <c r="D40" s="401"/>
      <c r="E40" s="353"/>
      <c r="F40" s="353"/>
      <c r="G40" s="353"/>
      <c r="H40" s="354">
        <f t="shared" si="3"/>
        <v>0</v>
      </c>
      <c r="I40" s="404">
        <f t="shared" si="3"/>
        <v>0</v>
      </c>
      <c r="J40" s="397">
        <v>1650</v>
      </c>
      <c r="K40" s="354">
        <v>1650</v>
      </c>
      <c r="L40" s="383">
        <f t="shared" si="2"/>
        <v>3300</v>
      </c>
    </row>
    <row r="41" spans="1:12" x14ac:dyDescent="0.25">
      <c r="A41" s="521">
        <v>33</v>
      </c>
      <c r="B41" s="527" t="s">
        <v>128</v>
      </c>
      <c r="C41" s="414" t="s">
        <v>2254</v>
      </c>
      <c r="D41" s="401"/>
      <c r="E41" s="353"/>
      <c r="F41" s="353"/>
      <c r="G41" s="353"/>
      <c r="H41" s="354">
        <f t="shared" si="3"/>
        <v>0</v>
      </c>
      <c r="I41" s="404">
        <f t="shared" si="3"/>
        <v>0</v>
      </c>
      <c r="J41" s="397">
        <v>1650</v>
      </c>
      <c r="K41" s="354">
        <v>1650</v>
      </c>
      <c r="L41" s="383">
        <f t="shared" si="2"/>
        <v>3300</v>
      </c>
    </row>
    <row r="42" spans="1:12" x14ac:dyDescent="0.25">
      <c r="A42" s="521">
        <v>34</v>
      </c>
      <c r="B42" s="527" t="s">
        <v>88</v>
      </c>
      <c r="C42" s="413" t="s">
        <v>501</v>
      </c>
      <c r="D42" s="403">
        <v>2118</v>
      </c>
      <c r="E42" s="355">
        <v>353</v>
      </c>
      <c r="F42" s="355">
        <v>2117</v>
      </c>
      <c r="G42" s="355">
        <v>352</v>
      </c>
      <c r="H42" s="354">
        <f t="shared" si="3"/>
        <v>4235</v>
      </c>
      <c r="I42" s="404">
        <f t="shared" si="3"/>
        <v>705</v>
      </c>
      <c r="J42" s="397">
        <v>2640</v>
      </c>
      <c r="K42" s="354">
        <v>2640</v>
      </c>
      <c r="L42" s="383">
        <f t="shared" si="2"/>
        <v>5280</v>
      </c>
    </row>
    <row r="43" spans="1:12" x14ac:dyDescent="0.25">
      <c r="A43" s="521">
        <v>35</v>
      </c>
      <c r="B43" s="525" t="s">
        <v>132</v>
      </c>
      <c r="C43" s="413" t="s">
        <v>30</v>
      </c>
      <c r="D43" s="403">
        <v>874</v>
      </c>
      <c r="E43" s="355">
        <v>144</v>
      </c>
      <c r="F43" s="355">
        <v>873</v>
      </c>
      <c r="G43" s="355">
        <v>144</v>
      </c>
      <c r="H43" s="354">
        <f t="shared" si="3"/>
        <v>1747</v>
      </c>
      <c r="I43" s="404">
        <f t="shared" si="3"/>
        <v>288</v>
      </c>
      <c r="J43" s="397">
        <v>1650</v>
      </c>
      <c r="K43" s="354">
        <v>1650</v>
      </c>
      <c r="L43" s="383">
        <f t="shared" si="2"/>
        <v>3300</v>
      </c>
    </row>
    <row r="44" spans="1:12" x14ac:dyDescent="0.25">
      <c r="A44" s="521">
        <v>36</v>
      </c>
      <c r="B44" s="525" t="s">
        <v>133</v>
      </c>
      <c r="C44" s="413" t="s">
        <v>14</v>
      </c>
      <c r="D44" s="403">
        <v>2385</v>
      </c>
      <c r="E44" s="355">
        <v>339</v>
      </c>
      <c r="F44" s="355">
        <v>2384</v>
      </c>
      <c r="G44" s="355">
        <v>339</v>
      </c>
      <c r="H44" s="354">
        <f t="shared" si="3"/>
        <v>4769</v>
      </c>
      <c r="I44" s="404">
        <f t="shared" si="3"/>
        <v>678</v>
      </c>
      <c r="J44" s="397">
        <v>3300</v>
      </c>
      <c r="K44" s="354">
        <v>3300</v>
      </c>
      <c r="L44" s="383">
        <f t="shared" si="2"/>
        <v>6600</v>
      </c>
    </row>
    <row r="45" spans="1:12" x14ac:dyDescent="0.25">
      <c r="A45" s="521">
        <v>37</v>
      </c>
      <c r="B45" s="529" t="s">
        <v>134</v>
      </c>
      <c r="C45" s="414" t="s">
        <v>33</v>
      </c>
      <c r="D45" s="401"/>
      <c r="E45" s="353"/>
      <c r="F45" s="353"/>
      <c r="G45" s="353"/>
      <c r="H45" s="354">
        <f t="shared" si="3"/>
        <v>0</v>
      </c>
      <c r="I45" s="404">
        <f t="shared" si="3"/>
        <v>0</v>
      </c>
      <c r="J45" s="397">
        <v>1650</v>
      </c>
      <c r="K45" s="354">
        <v>1650</v>
      </c>
      <c r="L45" s="383">
        <f t="shared" si="2"/>
        <v>3300</v>
      </c>
    </row>
    <row r="46" spans="1:12" x14ac:dyDescent="0.25">
      <c r="A46" s="521">
        <v>38</v>
      </c>
      <c r="B46" s="527" t="s">
        <v>89</v>
      </c>
      <c r="C46" s="414" t="s">
        <v>38</v>
      </c>
      <c r="D46" s="401"/>
      <c r="E46" s="353"/>
      <c r="F46" s="353"/>
      <c r="G46" s="353"/>
      <c r="H46" s="354">
        <f t="shared" si="3"/>
        <v>0</v>
      </c>
      <c r="I46" s="404">
        <f t="shared" si="3"/>
        <v>0</v>
      </c>
      <c r="J46" s="397">
        <v>1650</v>
      </c>
      <c r="K46" s="354">
        <v>1650</v>
      </c>
      <c r="L46" s="383">
        <f t="shared" si="2"/>
        <v>3300</v>
      </c>
    </row>
    <row r="47" spans="1:12" x14ac:dyDescent="0.25">
      <c r="A47" s="521">
        <v>39</v>
      </c>
      <c r="B47" s="526" t="s">
        <v>90</v>
      </c>
      <c r="C47" s="413" t="s">
        <v>39</v>
      </c>
      <c r="D47" s="403">
        <v>930</v>
      </c>
      <c r="E47" s="355">
        <v>236</v>
      </c>
      <c r="F47" s="355">
        <v>929</v>
      </c>
      <c r="G47" s="355">
        <v>236</v>
      </c>
      <c r="H47" s="354">
        <f t="shared" si="3"/>
        <v>1859</v>
      </c>
      <c r="I47" s="404">
        <f t="shared" si="3"/>
        <v>472</v>
      </c>
      <c r="J47" s="397">
        <v>1650</v>
      </c>
      <c r="K47" s="354">
        <v>1650</v>
      </c>
      <c r="L47" s="383">
        <f t="shared" si="2"/>
        <v>3300</v>
      </c>
    </row>
    <row r="48" spans="1:12" x14ac:dyDescent="0.25">
      <c r="A48" s="521">
        <v>40</v>
      </c>
      <c r="B48" s="527" t="s">
        <v>135</v>
      </c>
      <c r="C48" s="413" t="s">
        <v>40</v>
      </c>
      <c r="D48" s="403">
        <v>574</v>
      </c>
      <c r="E48" s="355">
        <v>0</v>
      </c>
      <c r="F48" s="355">
        <v>573</v>
      </c>
      <c r="G48" s="355">
        <v>0</v>
      </c>
      <c r="H48" s="354">
        <f t="shared" si="3"/>
        <v>1147</v>
      </c>
      <c r="I48" s="404">
        <f t="shared" si="3"/>
        <v>0</v>
      </c>
      <c r="J48" s="397">
        <v>1650</v>
      </c>
      <c r="K48" s="354">
        <v>1650</v>
      </c>
      <c r="L48" s="383">
        <f t="shared" si="2"/>
        <v>3300</v>
      </c>
    </row>
    <row r="49" spans="1:12" x14ac:dyDescent="0.25">
      <c r="A49" s="521">
        <v>41</v>
      </c>
      <c r="B49" s="526" t="s">
        <v>91</v>
      </c>
      <c r="C49" s="413" t="s">
        <v>53</v>
      </c>
      <c r="D49" s="403">
        <v>910</v>
      </c>
      <c r="E49" s="355">
        <v>61</v>
      </c>
      <c r="F49" s="355">
        <v>909</v>
      </c>
      <c r="G49" s="355">
        <v>60</v>
      </c>
      <c r="H49" s="354">
        <f t="shared" si="3"/>
        <v>1819</v>
      </c>
      <c r="I49" s="404">
        <f t="shared" si="3"/>
        <v>121</v>
      </c>
      <c r="J49" s="397">
        <v>1650</v>
      </c>
      <c r="K49" s="354">
        <v>1650</v>
      </c>
      <c r="L49" s="383">
        <f t="shared" si="2"/>
        <v>3300</v>
      </c>
    </row>
    <row r="50" spans="1:12" x14ac:dyDescent="0.25">
      <c r="A50" s="521">
        <v>42</v>
      </c>
      <c r="B50" s="527" t="s">
        <v>92</v>
      </c>
      <c r="C50" s="413" t="s">
        <v>56</v>
      </c>
      <c r="D50" s="403">
        <v>975</v>
      </c>
      <c r="E50" s="355">
        <v>0</v>
      </c>
      <c r="F50" s="355">
        <v>975</v>
      </c>
      <c r="G50" s="355">
        <v>0</v>
      </c>
      <c r="H50" s="354">
        <f t="shared" si="3"/>
        <v>1950</v>
      </c>
      <c r="I50" s="404">
        <f t="shared" si="3"/>
        <v>0</v>
      </c>
      <c r="J50" s="397">
        <v>1650</v>
      </c>
      <c r="K50" s="354">
        <v>1650</v>
      </c>
      <c r="L50" s="383">
        <f t="shared" si="2"/>
        <v>3300</v>
      </c>
    </row>
    <row r="51" spans="1:12" x14ac:dyDescent="0.25">
      <c r="A51" s="521">
        <v>43</v>
      </c>
      <c r="B51" s="527" t="s">
        <v>136</v>
      </c>
      <c r="C51" s="413" t="s">
        <v>15</v>
      </c>
      <c r="D51" s="403">
        <v>1687</v>
      </c>
      <c r="E51" s="355">
        <v>450</v>
      </c>
      <c r="F51" s="355">
        <v>1686</v>
      </c>
      <c r="G51" s="355">
        <v>450</v>
      </c>
      <c r="H51" s="354">
        <f t="shared" si="3"/>
        <v>3373</v>
      </c>
      <c r="I51" s="404">
        <f t="shared" si="3"/>
        <v>900</v>
      </c>
      <c r="J51" s="397">
        <v>3300</v>
      </c>
      <c r="K51" s="354">
        <v>2475</v>
      </c>
      <c r="L51" s="383">
        <f t="shared" si="2"/>
        <v>5775</v>
      </c>
    </row>
    <row r="52" spans="1:12" x14ac:dyDescent="0.25">
      <c r="A52" s="521">
        <v>44</v>
      </c>
      <c r="B52" s="527" t="s">
        <v>137</v>
      </c>
      <c r="C52" s="413" t="s">
        <v>61</v>
      </c>
      <c r="D52" s="403">
        <v>765</v>
      </c>
      <c r="E52" s="355">
        <v>0</v>
      </c>
      <c r="F52" s="355">
        <v>764</v>
      </c>
      <c r="G52" s="355">
        <v>0</v>
      </c>
      <c r="H52" s="354">
        <f t="shared" si="3"/>
        <v>1529</v>
      </c>
      <c r="I52" s="404">
        <f t="shared" si="3"/>
        <v>0</v>
      </c>
      <c r="J52" s="397">
        <v>1650</v>
      </c>
      <c r="K52" s="354">
        <v>1650</v>
      </c>
      <c r="L52" s="383">
        <f t="shared" si="2"/>
        <v>3300</v>
      </c>
    </row>
    <row r="53" spans="1:12" ht="21.75" customHeight="1" x14ac:dyDescent="0.25">
      <c r="A53" s="521">
        <v>45</v>
      </c>
      <c r="B53" s="526" t="s">
        <v>196</v>
      </c>
      <c r="C53" s="413" t="s">
        <v>2255</v>
      </c>
      <c r="D53" s="403">
        <v>0</v>
      </c>
      <c r="E53" s="355">
        <v>288</v>
      </c>
      <c r="F53" s="355">
        <v>0</v>
      </c>
      <c r="G53" s="355">
        <v>287</v>
      </c>
      <c r="H53" s="354">
        <f t="shared" si="3"/>
        <v>0</v>
      </c>
      <c r="I53" s="404">
        <f t="shared" si="3"/>
        <v>575</v>
      </c>
      <c r="J53" s="397"/>
      <c r="K53" s="354"/>
      <c r="L53" s="383">
        <f t="shared" si="2"/>
        <v>0</v>
      </c>
    </row>
    <row r="54" spans="1:12" x14ac:dyDescent="0.25">
      <c r="A54" s="521">
        <v>46</v>
      </c>
      <c r="B54" s="526" t="s">
        <v>151</v>
      </c>
      <c r="C54" s="413" t="s">
        <v>2256</v>
      </c>
      <c r="D54" s="403">
        <v>2783</v>
      </c>
      <c r="E54" s="355">
        <v>552</v>
      </c>
      <c r="F54" s="355">
        <v>2783</v>
      </c>
      <c r="G54" s="355">
        <v>0</v>
      </c>
      <c r="H54" s="354">
        <f t="shared" si="3"/>
        <v>5566</v>
      </c>
      <c r="I54" s="404">
        <f t="shared" si="3"/>
        <v>552</v>
      </c>
      <c r="J54" s="397"/>
      <c r="K54" s="354"/>
      <c r="L54" s="383">
        <f t="shared" si="2"/>
        <v>0</v>
      </c>
    </row>
    <row r="55" spans="1:12" x14ac:dyDescent="0.25">
      <c r="A55" s="521">
        <v>47</v>
      </c>
      <c r="B55" s="526" t="s">
        <v>152</v>
      </c>
      <c r="C55" s="413" t="s">
        <v>2257</v>
      </c>
      <c r="D55" s="403">
        <v>2191</v>
      </c>
      <c r="E55" s="355">
        <v>545</v>
      </c>
      <c r="F55" s="355">
        <v>2191</v>
      </c>
      <c r="G55" s="355">
        <v>0</v>
      </c>
      <c r="H55" s="354">
        <f t="shared" si="3"/>
        <v>4382</v>
      </c>
      <c r="I55" s="404">
        <f t="shared" si="3"/>
        <v>545</v>
      </c>
      <c r="J55" s="397"/>
      <c r="K55" s="354"/>
      <c r="L55" s="383">
        <f t="shared" si="2"/>
        <v>0</v>
      </c>
    </row>
    <row r="56" spans="1:12" x14ac:dyDescent="0.25">
      <c r="A56" s="521">
        <v>48</v>
      </c>
      <c r="B56" s="526" t="s">
        <v>154</v>
      </c>
      <c r="C56" s="413" t="s">
        <v>2258</v>
      </c>
      <c r="D56" s="403">
        <v>3429</v>
      </c>
      <c r="E56" s="355">
        <v>0</v>
      </c>
      <c r="F56" s="355">
        <v>3427</v>
      </c>
      <c r="G56" s="355">
        <v>0</v>
      </c>
      <c r="H56" s="354">
        <f t="shared" si="3"/>
        <v>6856</v>
      </c>
      <c r="I56" s="404">
        <f t="shared" si="3"/>
        <v>0</v>
      </c>
      <c r="J56" s="397"/>
      <c r="K56" s="354"/>
      <c r="L56" s="383">
        <f t="shared" si="2"/>
        <v>0</v>
      </c>
    </row>
    <row r="57" spans="1:12" ht="26.25" customHeight="1" x14ac:dyDescent="0.25">
      <c r="A57" s="521">
        <v>49</v>
      </c>
      <c r="B57" s="527" t="s">
        <v>148</v>
      </c>
      <c r="C57" s="413" t="s">
        <v>2259</v>
      </c>
      <c r="D57" s="403">
        <v>1143</v>
      </c>
      <c r="E57" s="355">
        <v>0</v>
      </c>
      <c r="F57" s="355">
        <v>1142</v>
      </c>
      <c r="G57" s="355">
        <v>0</v>
      </c>
      <c r="H57" s="354">
        <f t="shared" si="3"/>
        <v>2285</v>
      </c>
      <c r="I57" s="404">
        <f t="shared" si="3"/>
        <v>0</v>
      </c>
      <c r="J57" s="397"/>
      <c r="K57" s="354"/>
      <c r="L57" s="383">
        <f t="shared" si="2"/>
        <v>0</v>
      </c>
    </row>
    <row r="58" spans="1:12" x14ac:dyDescent="0.25">
      <c r="A58" s="521">
        <v>50</v>
      </c>
      <c r="B58" s="525" t="s">
        <v>145</v>
      </c>
      <c r="C58" s="413" t="s">
        <v>2260</v>
      </c>
      <c r="D58" s="403">
        <v>4113</v>
      </c>
      <c r="E58" s="355">
        <v>543</v>
      </c>
      <c r="F58" s="355">
        <v>4112</v>
      </c>
      <c r="G58" s="355">
        <v>0</v>
      </c>
      <c r="H58" s="354">
        <f t="shared" si="3"/>
        <v>8225</v>
      </c>
      <c r="I58" s="404">
        <f t="shared" si="3"/>
        <v>543</v>
      </c>
      <c r="J58" s="397">
        <v>4950</v>
      </c>
      <c r="K58" s="354">
        <v>4950</v>
      </c>
      <c r="L58" s="383">
        <f t="shared" si="2"/>
        <v>9900</v>
      </c>
    </row>
    <row r="59" spans="1:12" x14ac:dyDescent="0.25">
      <c r="A59" s="521">
        <v>51</v>
      </c>
      <c r="B59" s="527" t="s">
        <v>146</v>
      </c>
      <c r="C59" s="415" t="s">
        <v>147</v>
      </c>
      <c r="D59" s="405">
        <v>2243</v>
      </c>
      <c r="E59" s="356">
        <v>323</v>
      </c>
      <c r="F59" s="356">
        <v>2242</v>
      </c>
      <c r="G59" s="356">
        <v>323</v>
      </c>
      <c r="H59" s="354">
        <f t="shared" si="3"/>
        <v>4485</v>
      </c>
      <c r="I59" s="404">
        <f t="shared" si="3"/>
        <v>646</v>
      </c>
      <c r="J59" s="397">
        <v>5775</v>
      </c>
      <c r="K59" s="354">
        <v>4125</v>
      </c>
      <c r="L59" s="383">
        <f t="shared" si="2"/>
        <v>9900</v>
      </c>
    </row>
    <row r="60" spans="1:12" x14ac:dyDescent="0.25">
      <c r="A60" s="521">
        <v>52</v>
      </c>
      <c r="B60" s="525" t="s">
        <v>140</v>
      </c>
      <c r="C60" s="413" t="s">
        <v>2261</v>
      </c>
      <c r="D60" s="403">
        <v>483</v>
      </c>
      <c r="E60" s="355">
        <v>383</v>
      </c>
      <c r="F60" s="355">
        <v>482</v>
      </c>
      <c r="G60" s="355">
        <v>0</v>
      </c>
      <c r="H60" s="354">
        <f t="shared" si="3"/>
        <v>965</v>
      </c>
      <c r="I60" s="404">
        <f t="shared" si="3"/>
        <v>383</v>
      </c>
      <c r="J60" s="397">
        <v>2475</v>
      </c>
      <c r="K60" s="354">
        <v>2475</v>
      </c>
      <c r="L60" s="383">
        <f t="shared" si="2"/>
        <v>4950</v>
      </c>
    </row>
    <row r="61" spans="1:12" x14ac:dyDescent="0.25">
      <c r="A61" s="521">
        <v>53</v>
      </c>
      <c r="B61" s="525" t="s">
        <v>142</v>
      </c>
      <c r="C61" s="413" t="s">
        <v>2262</v>
      </c>
      <c r="D61" s="403">
        <v>840</v>
      </c>
      <c r="E61" s="355">
        <v>500</v>
      </c>
      <c r="F61" s="355">
        <v>840</v>
      </c>
      <c r="G61" s="355">
        <v>0</v>
      </c>
      <c r="H61" s="354">
        <f t="shared" si="3"/>
        <v>1680</v>
      </c>
      <c r="I61" s="404">
        <f t="shared" si="3"/>
        <v>500</v>
      </c>
      <c r="J61" s="397">
        <v>2475</v>
      </c>
      <c r="K61" s="354">
        <v>2475</v>
      </c>
      <c r="L61" s="383">
        <f t="shared" si="2"/>
        <v>4950</v>
      </c>
    </row>
    <row r="62" spans="1:12" x14ac:dyDescent="0.25">
      <c r="A62" s="521">
        <v>54</v>
      </c>
      <c r="B62" s="525" t="s">
        <v>221</v>
      </c>
      <c r="C62" s="413" t="s">
        <v>2263</v>
      </c>
      <c r="D62" s="403">
        <v>0</v>
      </c>
      <c r="E62" s="355">
        <v>263</v>
      </c>
      <c r="F62" s="355">
        <v>0</v>
      </c>
      <c r="G62" s="355">
        <v>263</v>
      </c>
      <c r="H62" s="354">
        <f t="shared" si="3"/>
        <v>0</v>
      </c>
      <c r="I62" s="404">
        <f t="shared" si="3"/>
        <v>526</v>
      </c>
      <c r="J62" s="397">
        <v>1650</v>
      </c>
      <c r="K62" s="354">
        <v>1650</v>
      </c>
      <c r="L62" s="383">
        <f t="shared" si="2"/>
        <v>3300</v>
      </c>
    </row>
    <row r="63" spans="1:12" x14ac:dyDescent="0.25">
      <c r="A63" s="521">
        <v>55</v>
      </c>
      <c r="B63" s="525" t="s">
        <v>144</v>
      </c>
      <c r="C63" s="415" t="s">
        <v>334</v>
      </c>
      <c r="D63" s="405">
        <v>2667</v>
      </c>
      <c r="E63" s="356">
        <v>0</v>
      </c>
      <c r="F63" s="356">
        <v>2665</v>
      </c>
      <c r="G63" s="356">
        <v>0</v>
      </c>
      <c r="H63" s="354">
        <f t="shared" si="3"/>
        <v>5332</v>
      </c>
      <c r="I63" s="404">
        <f t="shared" si="3"/>
        <v>0</v>
      </c>
      <c r="J63" s="397">
        <v>5445</v>
      </c>
      <c r="K63" s="354">
        <v>2475</v>
      </c>
      <c r="L63" s="383">
        <f t="shared" si="2"/>
        <v>7920</v>
      </c>
    </row>
    <row r="64" spans="1:12" x14ac:dyDescent="0.25">
      <c r="A64" s="521">
        <v>56</v>
      </c>
      <c r="B64" s="526" t="s">
        <v>95</v>
      </c>
      <c r="C64" s="414" t="s">
        <v>27</v>
      </c>
      <c r="D64" s="401"/>
      <c r="E64" s="353"/>
      <c r="F64" s="353"/>
      <c r="G64" s="353"/>
      <c r="H64" s="354">
        <f t="shared" si="3"/>
        <v>0</v>
      </c>
      <c r="I64" s="404">
        <f t="shared" si="3"/>
        <v>0</v>
      </c>
      <c r="J64" s="397">
        <v>1650</v>
      </c>
      <c r="K64" s="354">
        <v>1650</v>
      </c>
      <c r="L64" s="383">
        <f t="shared" si="2"/>
        <v>3300</v>
      </c>
    </row>
    <row r="65" spans="1:12" x14ac:dyDescent="0.25">
      <c r="A65" s="521">
        <v>57</v>
      </c>
      <c r="B65" s="527" t="s">
        <v>138</v>
      </c>
      <c r="C65" s="414" t="s">
        <v>32</v>
      </c>
      <c r="D65" s="401"/>
      <c r="E65" s="353"/>
      <c r="F65" s="353"/>
      <c r="G65" s="353"/>
      <c r="H65" s="354">
        <f t="shared" si="3"/>
        <v>0</v>
      </c>
      <c r="I65" s="404">
        <f t="shared" si="3"/>
        <v>0</v>
      </c>
      <c r="J65" s="397">
        <v>1650</v>
      </c>
      <c r="K65" s="354">
        <v>1650</v>
      </c>
      <c r="L65" s="383">
        <f t="shared" si="2"/>
        <v>3300</v>
      </c>
    </row>
    <row r="66" spans="1:12" x14ac:dyDescent="0.25">
      <c r="A66" s="521">
        <v>58</v>
      </c>
      <c r="B66" s="527" t="s">
        <v>96</v>
      </c>
      <c r="C66" s="413" t="s">
        <v>18</v>
      </c>
      <c r="D66" s="403">
        <v>942</v>
      </c>
      <c r="E66" s="355">
        <v>115</v>
      </c>
      <c r="F66" s="355">
        <v>942</v>
      </c>
      <c r="G66" s="355">
        <v>114</v>
      </c>
      <c r="H66" s="354">
        <f t="shared" si="3"/>
        <v>1884</v>
      </c>
      <c r="I66" s="404">
        <f t="shared" si="3"/>
        <v>229</v>
      </c>
      <c r="J66" s="397">
        <v>1650</v>
      </c>
      <c r="K66" s="354">
        <v>1650</v>
      </c>
      <c r="L66" s="383">
        <f t="shared" si="2"/>
        <v>3300</v>
      </c>
    </row>
    <row r="67" spans="1:12" ht="14.25" customHeight="1" x14ac:dyDescent="0.25">
      <c r="A67" s="521">
        <v>59</v>
      </c>
      <c r="B67" s="526" t="s">
        <v>139</v>
      </c>
      <c r="C67" s="413" t="s">
        <v>19</v>
      </c>
      <c r="D67" s="403">
        <v>620</v>
      </c>
      <c r="E67" s="355">
        <v>65</v>
      </c>
      <c r="F67" s="355">
        <v>620</v>
      </c>
      <c r="G67" s="355">
        <v>65</v>
      </c>
      <c r="H67" s="354">
        <f t="shared" si="3"/>
        <v>1240</v>
      </c>
      <c r="I67" s="404">
        <f t="shared" si="3"/>
        <v>130</v>
      </c>
      <c r="J67" s="397">
        <v>825</v>
      </c>
      <c r="K67" s="354">
        <v>825</v>
      </c>
      <c r="L67" s="383">
        <f t="shared" si="2"/>
        <v>1650</v>
      </c>
    </row>
    <row r="68" spans="1:12" x14ac:dyDescent="0.25">
      <c r="A68" s="521">
        <v>60</v>
      </c>
      <c r="B68" s="526" t="s">
        <v>97</v>
      </c>
      <c r="C68" s="413" t="s">
        <v>34</v>
      </c>
      <c r="D68" s="403">
        <v>574</v>
      </c>
      <c r="E68" s="355">
        <v>0</v>
      </c>
      <c r="F68" s="355">
        <v>573</v>
      </c>
      <c r="G68" s="355">
        <v>0</v>
      </c>
      <c r="H68" s="354">
        <f t="shared" si="3"/>
        <v>1147</v>
      </c>
      <c r="I68" s="404">
        <f t="shared" si="3"/>
        <v>0</v>
      </c>
      <c r="J68" s="397">
        <v>1650</v>
      </c>
      <c r="K68" s="354">
        <v>1650</v>
      </c>
      <c r="L68" s="383">
        <f t="shared" si="2"/>
        <v>3300</v>
      </c>
    </row>
    <row r="69" spans="1:12" x14ac:dyDescent="0.25">
      <c r="A69" s="521">
        <v>61</v>
      </c>
      <c r="B69" s="525" t="s">
        <v>98</v>
      </c>
      <c r="C69" s="413" t="s">
        <v>42</v>
      </c>
      <c r="D69" s="403">
        <v>774</v>
      </c>
      <c r="E69" s="355">
        <v>153</v>
      </c>
      <c r="F69" s="355">
        <v>773</v>
      </c>
      <c r="G69" s="355">
        <v>153</v>
      </c>
      <c r="H69" s="354">
        <f t="shared" si="3"/>
        <v>1547</v>
      </c>
      <c r="I69" s="404">
        <f t="shared" si="3"/>
        <v>306</v>
      </c>
      <c r="J69" s="397">
        <v>1650</v>
      </c>
      <c r="K69" s="354">
        <v>1650</v>
      </c>
      <c r="L69" s="383">
        <f t="shared" si="2"/>
        <v>3300</v>
      </c>
    </row>
    <row r="70" spans="1:12" x14ac:dyDescent="0.25">
      <c r="A70" s="521">
        <v>62</v>
      </c>
      <c r="B70" s="525" t="s">
        <v>99</v>
      </c>
      <c r="C70" s="413" t="s">
        <v>2264</v>
      </c>
      <c r="D70" s="403">
        <v>946</v>
      </c>
      <c r="E70" s="355">
        <v>188</v>
      </c>
      <c r="F70" s="355">
        <v>946</v>
      </c>
      <c r="G70" s="355">
        <v>187</v>
      </c>
      <c r="H70" s="354">
        <f t="shared" si="3"/>
        <v>1892</v>
      </c>
      <c r="I70" s="404">
        <f t="shared" si="3"/>
        <v>375</v>
      </c>
      <c r="J70" s="397">
        <v>1650</v>
      </c>
      <c r="K70" s="354">
        <v>1650</v>
      </c>
      <c r="L70" s="383">
        <f t="shared" si="2"/>
        <v>3300</v>
      </c>
    </row>
    <row r="71" spans="1:12" x14ac:dyDescent="0.25">
      <c r="A71" s="521">
        <v>63</v>
      </c>
      <c r="B71" s="527" t="s">
        <v>149</v>
      </c>
      <c r="C71" s="414" t="s">
        <v>47</v>
      </c>
      <c r="D71" s="401"/>
      <c r="E71" s="353"/>
      <c r="F71" s="353"/>
      <c r="G71" s="353">
        <v>0</v>
      </c>
      <c r="H71" s="354">
        <f t="shared" si="3"/>
        <v>0</v>
      </c>
      <c r="I71" s="404">
        <f t="shared" si="3"/>
        <v>0</v>
      </c>
      <c r="J71" s="397">
        <v>825</v>
      </c>
      <c r="K71" s="354">
        <v>825</v>
      </c>
      <c r="L71" s="383">
        <f t="shared" si="2"/>
        <v>1650</v>
      </c>
    </row>
    <row r="72" spans="1:12" x14ac:dyDescent="0.25">
      <c r="A72" s="521">
        <v>64</v>
      </c>
      <c r="B72" s="525" t="s">
        <v>100</v>
      </c>
      <c r="C72" s="413" t="s">
        <v>50</v>
      </c>
      <c r="D72" s="403">
        <v>881</v>
      </c>
      <c r="E72" s="355">
        <v>0</v>
      </c>
      <c r="F72" s="355">
        <v>880</v>
      </c>
      <c r="G72" s="355"/>
      <c r="H72" s="354">
        <f t="shared" si="3"/>
        <v>1761</v>
      </c>
      <c r="I72" s="404">
        <f t="shared" si="3"/>
        <v>0</v>
      </c>
      <c r="J72" s="397">
        <v>1650</v>
      </c>
      <c r="K72" s="354">
        <v>1650</v>
      </c>
      <c r="L72" s="383">
        <f t="shared" si="2"/>
        <v>3300</v>
      </c>
    </row>
    <row r="73" spans="1:12" x14ac:dyDescent="0.25">
      <c r="A73" s="521">
        <v>65</v>
      </c>
      <c r="B73" s="525" t="s">
        <v>150</v>
      </c>
      <c r="C73" s="414" t="s">
        <v>51</v>
      </c>
      <c r="D73" s="401"/>
      <c r="E73" s="353"/>
      <c r="F73" s="353"/>
      <c r="G73" s="353"/>
      <c r="H73" s="354">
        <f t="shared" si="3"/>
        <v>0</v>
      </c>
      <c r="I73" s="404">
        <f t="shared" si="3"/>
        <v>0</v>
      </c>
      <c r="J73" s="397">
        <v>1650</v>
      </c>
      <c r="K73" s="354">
        <v>1650</v>
      </c>
      <c r="L73" s="383">
        <f t="shared" si="2"/>
        <v>3300</v>
      </c>
    </row>
    <row r="74" spans="1:12" x14ac:dyDescent="0.25">
      <c r="A74" s="521">
        <v>66</v>
      </c>
      <c r="B74" s="526" t="s">
        <v>101</v>
      </c>
      <c r="C74" s="413" t="s">
        <v>20</v>
      </c>
      <c r="D74" s="403">
        <v>1930</v>
      </c>
      <c r="E74" s="355">
        <v>265</v>
      </c>
      <c r="F74" s="355">
        <v>1929</v>
      </c>
      <c r="G74" s="355">
        <v>265</v>
      </c>
      <c r="H74" s="354">
        <f t="shared" si="3"/>
        <v>3859</v>
      </c>
      <c r="I74" s="404">
        <f t="shared" si="3"/>
        <v>530</v>
      </c>
      <c r="J74" s="397">
        <v>1815</v>
      </c>
      <c r="K74" s="354">
        <v>1815</v>
      </c>
      <c r="L74" s="383">
        <f t="shared" ref="L74:L83" si="4">SUM(J74:K74)</f>
        <v>3630</v>
      </c>
    </row>
    <row r="75" spans="1:12" x14ac:dyDescent="0.25">
      <c r="A75" s="521">
        <v>67</v>
      </c>
      <c r="B75" s="527" t="s">
        <v>102</v>
      </c>
      <c r="C75" s="413" t="s">
        <v>55</v>
      </c>
      <c r="D75" s="403">
        <v>478</v>
      </c>
      <c r="E75" s="355">
        <v>0</v>
      </c>
      <c r="F75" s="355">
        <v>478</v>
      </c>
      <c r="G75" s="355">
        <v>0</v>
      </c>
      <c r="H75" s="354">
        <f t="shared" ref="H75:I83" si="5">D75+F75</f>
        <v>956</v>
      </c>
      <c r="I75" s="404">
        <f t="shared" si="5"/>
        <v>0</v>
      </c>
      <c r="J75" s="397">
        <v>1650</v>
      </c>
      <c r="K75" s="354">
        <v>1650</v>
      </c>
      <c r="L75" s="383">
        <f t="shared" si="4"/>
        <v>3300</v>
      </c>
    </row>
    <row r="76" spans="1:12" x14ac:dyDescent="0.25">
      <c r="A76" s="521">
        <v>68</v>
      </c>
      <c r="B76" s="527" t="s">
        <v>103</v>
      </c>
      <c r="C76" s="413" t="s">
        <v>60</v>
      </c>
      <c r="D76" s="403">
        <v>1353</v>
      </c>
      <c r="E76" s="355">
        <v>198</v>
      </c>
      <c r="F76" s="355">
        <v>1353</v>
      </c>
      <c r="G76" s="355">
        <v>197</v>
      </c>
      <c r="H76" s="354">
        <f t="shared" si="5"/>
        <v>2706</v>
      </c>
      <c r="I76" s="404">
        <f t="shared" si="5"/>
        <v>395</v>
      </c>
      <c r="J76" s="397">
        <v>1650</v>
      </c>
      <c r="K76" s="354">
        <v>1650</v>
      </c>
      <c r="L76" s="383">
        <f t="shared" si="4"/>
        <v>3300</v>
      </c>
    </row>
    <row r="77" spans="1:12" x14ac:dyDescent="0.25">
      <c r="A77" s="521">
        <v>69</v>
      </c>
      <c r="B77" s="525" t="s">
        <v>104</v>
      </c>
      <c r="C77" s="413" t="s">
        <v>21</v>
      </c>
      <c r="D77" s="403">
        <v>1213</v>
      </c>
      <c r="E77" s="355">
        <v>208</v>
      </c>
      <c r="F77" s="355">
        <v>1213</v>
      </c>
      <c r="G77" s="355">
        <v>208</v>
      </c>
      <c r="H77" s="354">
        <f t="shared" si="5"/>
        <v>2426</v>
      </c>
      <c r="I77" s="404">
        <f t="shared" si="5"/>
        <v>416</v>
      </c>
      <c r="J77" s="397">
        <v>1650</v>
      </c>
      <c r="K77" s="354">
        <v>1650</v>
      </c>
      <c r="L77" s="383">
        <f t="shared" si="4"/>
        <v>3300</v>
      </c>
    </row>
    <row r="78" spans="1:12" x14ac:dyDescent="0.25">
      <c r="A78" s="521">
        <v>70</v>
      </c>
      <c r="B78" s="526" t="s">
        <v>105</v>
      </c>
      <c r="C78" s="414" t="s">
        <v>62</v>
      </c>
      <c r="D78" s="401"/>
      <c r="E78" s="353"/>
      <c r="F78" s="353"/>
      <c r="G78" s="353"/>
      <c r="H78" s="354">
        <f t="shared" si="5"/>
        <v>0</v>
      </c>
      <c r="I78" s="404">
        <f t="shared" si="5"/>
        <v>0</v>
      </c>
      <c r="J78" s="397">
        <v>1650</v>
      </c>
      <c r="K78" s="354">
        <v>1650</v>
      </c>
      <c r="L78" s="383">
        <f t="shared" si="4"/>
        <v>3300</v>
      </c>
    </row>
    <row r="79" spans="1:12" x14ac:dyDescent="0.25">
      <c r="A79" s="521">
        <v>71</v>
      </c>
      <c r="B79" s="527" t="s">
        <v>161</v>
      </c>
      <c r="C79" s="414" t="s">
        <v>2265</v>
      </c>
      <c r="D79" s="401"/>
      <c r="E79" s="353"/>
      <c r="F79" s="353"/>
      <c r="G79" s="353"/>
      <c r="H79" s="354">
        <f t="shared" si="5"/>
        <v>0</v>
      </c>
      <c r="I79" s="404">
        <f t="shared" si="5"/>
        <v>0</v>
      </c>
      <c r="J79" s="397">
        <v>3300</v>
      </c>
      <c r="K79" s="354">
        <v>3300</v>
      </c>
      <c r="L79" s="383">
        <f t="shared" si="4"/>
        <v>6600</v>
      </c>
    </row>
    <row r="80" spans="1:12" x14ac:dyDescent="0.25">
      <c r="A80" s="521">
        <v>72</v>
      </c>
      <c r="B80" s="525" t="s">
        <v>277</v>
      </c>
      <c r="C80" s="415" t="s">
        <v>2</v>
      </c>
      <c r="D80" s="406">
        <v>0</v>
      </c>
      <c r="E80" s="347">
        <v>173</v>
      </c>
      <c r="F80" s="347">
        <v>0</v>
      </c>
      <c r="G80" s="347">
        <v>172</v>
      </c>
      <c r="H80" s="354">
        <f t="shared" si="5"/>
        <v>0</v>
      </c>
      <c r="I80" s="404">
        <f t="shared" si="5"/>
        <v>345</v>
      </c>
      <c r="J80" s="397">
        <v>495</v>
      </c>
      <c r="K80" s="354">
        <v>495</v>
      </c>
      <c r="L80" s="383">
        <f t="shared" si="4"/>
        <v>990</v>
      </c>
    </row>
    <row r="81" spans="1:12" x14ac:dyDescent="0.25">
      <c r="A81" s="521">
        <v>73</v>
      </c>
      <c r="B81" s="527" t="s">
        <v>285</v>
      </c>
      <c r="C81" s="416" t="s">
        <v>2266</v>
      </c>
      <c r="D81" s="407">
        <v>1336</v>
      </c>
      <c r="E81" s="357">
        <v>0</v>
      </c>
      <c r="F81" s="357">
        <v>1335</v>
      </c>
      <c r="G81" s="357"/>
      <c r="H81" s="354">
        <f t="shared" si="5"/>
        <v>2671</v>
      </c>
      <c r="I81" s="404">
        <f t="shared" si="5"/>
        <v>0</v>
      </c>
      <c r="J81" s="397">
        <v>11550</v>
      </c>
      <c r="K81" s="354">
        <v>9570</v>
      </c>
      <c r="L81" s="383">
        <f t="shared" si="4"/>
        <v>21120</v>
      </c>
    </row>
    <row r="82" spans="1:12" x14ac:dyDescent="0.25">
      <c r="A82" s="521">
        <v>74</v>
      </c>
      <c r="B82" s="525" t="s">
        <v>159</v>
      </c>
      <c r="C82" s="415" t="s">
        <v>390</v>
      </c>
      <c r="D82" s="405">
        <v>1524</v>
      </c>
      <c r="E82" s="356">
        <v>0</v>
      </c>
      <c r="F82" s="356">
        <v>1523</v>
      </c>
      <c r="G82" s="356"/>
      <c r="H82" s="354">
        <f t="shared" si="5"/>
        <v>3047</v>
      </c>
      <c r="I82" s="404">
        <f t="shared" si="5"/>
        <v>0</v>
      </c>
      <c r="J82" s="397"/>
      <c r="K82" s="354"/>
      <c r="L82" s="383">
        <f t="shared" si="4"/>
        <v>0</v>
      </c>
    </row>
    <row r="83" spans="1:12" ht="13.5" thickBot="1" x14ac:dyDescent="0.3">
      <c r="A83" s="522">
        <v>75</v>
      </c>
      <c r="B83" s="530" t="s">
        <v>113</v>
      </c>
      <c r="C83" s="417" t="s">
        <v>2267</v>
      </c>
      <c r="D83" s="408">
        <v>1793</v>
      </c>
      <c r="E83" s="386">
        <v>355</v>
      </c>
      <c r="F83" s="386">
        <v>1792</v>
      </c>
      <c r="G83" s="386"/>
      <c r="H83" s="387">
        <f t="shared" si="5"/>
        <v>3585</v>
      </c>
      <c r="I83" s="409">
        <f t="shared" si="5"/>
        <v>355</v>
      </c>
      <c r="J83" s="398">
        <v>1650</v>
      </c>
      <c r="K83" s="387">
        <v>1650</v>
      </c>
      <c r="L83" s="388">
        <f t="shared" si="4"/>
        <v>3300</v>
      </c>
    </row>
  </sheetData>
  <mergeCells count="9">
    <mergeCell ref="A1:L1"/>
    <mergeCell ref="A3:A5"/>
    <mergeCell ref="B3:B5"/>
    <mergeCell ref="C3:C5"/>
    <mergeCell ref="D3:I3"/>
    <mergeCell ref="J3:L3"/>
    <mergeCell ref="D4:E4"/>
    <mergeCell ref="F4:G4"/>
    <mergeCell ref="H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3"/>
  <sheetViews>
    <sheetView workbookViewId="0">
      <selection activeCell="C16" sqref="C16"/>
    </sheetView>
  </sheetViews>
  <sheetFormatPr defaultRowHeight="12.75" x14ac:dyDescent="0.25"/>
  <cols>
    <col min="1" max="1" width="6.140625" style="343" customWidth="1"/>
    <col min="2" max="2" width="11.140625" style="343" customWidth="1"/>
    <col min="3" max="3" width="36.42578125" style="343" customWidth="1"/>
    <col min="4" max="4" width="18" style="343" customWidth="1"/>
    <col min="5" max="5" width="17" style="343" customWidth="1"/>
    <col min="6" max="16384" width="9.140625" style="343"/>
  </cols>
  <sheetData>
    <row r="1" spans="1:7" ht="33" customHeight="1" x14ac:dyDescent="0.25">
      <c r="A1" s="1142" t="s">
        <v>2269</v>
      </c>
      <c r="B1" s="1143"/>
      <c r="C1" s="1143"/>
      <c r="D1" s="1143"/>
      <c r="E1" s="1143"/>
      <c r="F1" s="342"/>
      <c r="G1" s="342"/>
    </row>
    <row r="2" spans="1:7" ht="13.5" thickBot="1" x14ac:dyDescent="0.3"/>
    <row r="3" spans="1:7" ht="35.25" customHeight="1" thickBot="1" x14ac:dyDescent="0.3">
      <c r="A3" s="447" t="s">
        <v>0</v>
      </c>
      <c r="B3" s="448" t="s">
        <v>296</v>
      </c>
      <c r="C3" s="451" t="s">
        <v>297</v>
      </c>
      <c r="D3" s="462" t="s">
        <v>2224</v>
      </c>
      <c r="E3" s="456" t="s">
        <v>2225</v>
      </c>
    </row>
    <row r="4" spans="1:7" s="345" customFormat="1" x14ac:dyDescent="0.25">
      <c r="A4" s="467"/>
      <c r="B4" s="468"/>
      <c r="C4" s="469" t="s">
        <v>1</v>
      </c>
      <c r="D4" s="472">
        <f>D5+D6</f>
        <v>5635</v>
      </c>
      <c r="E4" s="472">
        <f>E5+E6</f>
        <v>363</v>
      </c>
    </row>
    <row r="5" spans="1:7" s="345" customFormat="1" ht="16.5" customHeight="1" x14ac:dyDescent="0.25">
      <c r="A5" s="449"/>
      <c r="B5" s="344"/>
      <c r="C5" s="391" t="s">
        <v>3</v>
      </c>
      <c r="D5" s="473">
        <v>0</v>
      </c>
      <c r="E5" s="474">
        <v>0</v>
      </c>
    </row>
    <row r="6" spans="1:7" s="345" customFormat="1" ht="15" customHeight="1" x14ac:dyDescent="0.25">
      <c r="A6" s="449"/>
      <c r="B6" s="344"/>
      <c r="C6" s="391" t="s">
        <v>4</v>
      </c>
      <c r="D6" s="475">
        <f>D7+D10</f>
        <v>5635</v>
      </c>
      <c r="E6" s="475">
        <f>E7+E10</f>
        <v>363</v>
      </c>
    </row>
    <row r="7" spans="1:7" ht="33.75" customHeight="1" x14ac:dyDescent="0.25">
      <c r="A7" s="1144" t="s">
        <v>2226</v>
      </c>
      <c r="B7" s="1145"/>
      <c r="C7" s="1146"/>
      <c r="D7" s="471">
        <f>D8+D9</f>
        <v>5635</v>
      </c>
      <c r="E7" s="470"/>
    </row>
    <row r="8" spans="1:7" x14ac:dyDescent="0.25">
      <c r="A8" s="450">
        <v>1</v>
      </c>
      <c r="B8" s="346" t="s">
        <v>260</v>
      </c>
      <c r="C8" s="452" t="s">
        <v>261</v>
      </c>
      <c r="D8" s="463">
        <v>3543</v>
      </c>
      <c r="E8" s="457"/>
    </row>
    <row r="9" spans="1:7" x14ac:dyDescent="0.25">
      <c r="A9" s="450">
        <v>2</v>
      </c>
      <c r="B9" s="359" t="s">
        <v>262</v>
      </c>
      <c r="C9" s="453" t="s">
        <v>263</v>
      </c>
      <c r="D9" s="463">
        <v>2092</v>
      </c>
      <c r="E9" s="457"/>
    </row>
    <row r="10" spans="1:7" ht="17.25" customHeight="1" x14ac:dyDescent="0.25">
      <c r="A10" s="1144" t="s">
        <v>2227</v>
      </c>
      <c r="B10" s="1145"/>
      <c r="C10" s="1146"/>
      <c r="D10" s="464"/>
      <c r="E10" s="458">
        <f>SUM(E12:E13)</f>
        <v>363</v>
      </c>
    </row>
    <row r="11" spans="1:7" x14ac:dyDescent="0.25">
      <c r="A11" s="1147">
        <v>1</v>
      </c>
      <c r="B11" s="1149" t="s">
        <v>290</v>
      </c>
      <c r="C11" s="453" t="s">
        <v>291</v>
      </c>
      <c r="D11" s="465"/>
      <c r="E11" s="459"/>
    </row>
    <row r="12" spans="1:7" x14ac:dyDescent="0.25">
      <c r="A12" s="1147"/>
      <c r="B12" s="1149"/>
      <c r="C12" s="454" t="s">
        <v>2228</v>
      </c>
      <c r="D12" s="463"/>
      <c r="E12" s="460">
        <v>57</v>
      </c>
    </row>
    <row r="13" spans="1:7" ht="13.5" thickBot="1" x14ac:dyDescent="0.3">
      <c r="A13" s="1148"/>
      <c r="B13" s="1150"/>
      <c r="C13" s="455" t="s">
        <v>2229</v>
      </c>
      <c r="D13" s="466"/>
      <c r="E13" s="461">
        <v>306</v>
      </c>
    </row>
  </sheetData>
  <mergeCells count="5">
    <mergeCell ref="A1:E1"/>
    <mergeCell ref="A7:C7"/>
    <mergeCell ref="A10:C10"/>
    <mergeCell ref="A11:A13"/>
    <mergeCell ref="B11:B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759"/>
  <sheetViews>
    <sheetView tabSelected="1" zoomScale="90" zoomScaleNormal="90" workbookViewId="0">
      <pane xSplit="2" ySplit="6" topLeftCell="C1725" activePane="bottomRight" state="frozen"/>
      <selection pane="topRight" activeCell="C1" sqref="C1"/>
      <selection pane="bottomLeft" activeCell="A7" sqref="A7"/>
      <selection pane="bottomRight" activeCell="G1744" sqref="G1744"/>
    </sheetView>
  </sheetViews>
  <sheetFormatPr defaultRowHeight="12.75" x14ac:dyDescent="0.25"/>
  <cols>
    <col min="1" max="1" width="33.5703125" style="596" customWidth="1"/>
    <col min="2" max="2" width="8.5703125" style="626" customWidth="1"/>
    <col min="3" max="3" width="32.5703125" style="627" customWidth="1"/>
    <col min="4" max="4" width="10.85546875" style="595" customWidth="1"/>
    <col min="5" max="67" width="9.140625" style="595"/>
    <col min="68" max="68" width="21.140625" style="595" customWidth="1"/>
    <col min="69" max="69" width="7.28515625" style="595" customWidth="1"/>
    <col min="70" max="70" width="15" style="595" customWidth="1"/>
    <col min="71" max="71" width="23.28515625" style="595" customWidth="1"/>
    <col min="72" max="72" width="25.5703125" style="595" customWidth="1"/>
    <col min="73" max="73" width="7" style="595" bestFit="1" customWidth="1"/>
    <col min="74" max="74" width="6.42578125" style="595" bestFit="1" customWidth="1"/>
    <col min="75" max="75" width="7.85546875" style="595" customWidth="1"/>
    <col min="76" max="76" width="8.7109375" style="595" customWidth="1"/>
    <col min="77" max="77" width="7" style="595" bestFit="1" customWidth="1"/>
    <col min="78" max="78" width="6.42578125" style="595" bestFit="1" customWidth="1"/>
    <col min="79" max="79" width="6.85546875" style="595" customWidth="1"/>
    <col min="80" max="80" width="7.140625" style="595" customWidth="1"/>
    <col min="81" max="81" width="7" style="595" bestFit="1" customWidth="1"/>
    <col min="82" max="82" width="6.42578125" style="595" bestFit="1" customWidth="1"/>
    <col min="83" max="83" width="6" style="595" customWidth="1"/>
    <col min="84" max="84" width="9.7109375" style="595" customWidth="1"/>
    <col min="85" max="85" width="7" style="595" bestFit="1" customWidth="1"/>
    <col min="86" max="86" width="6.42578125" style="595" bestFit="1" customWidth="1"/>
    <col min="87" max="87" width="7.7109375" style="595" customWidth="1"/>
    <col min="88" max="92" width="7.28515625" style="595" customWidth="1"/>
    <col min="93" max="93" width="7" style="595" customWidth="1"/>
    <col min="94" max="95" width="5.140625" style="595" bestFit="1" customWidth="1"/>
    <col min="96" max="96" width="20.5703125" style="595" customWidth="1"/>
    <col min="97" max="97" width="8.85546875" style="595" customWidth="1"/>
    <col min="98" max="98" width="18.7109375" style="595" customWidth="1"/>
    <col min="99" max="99" width="9.7109375" style="595" customWidth="1"/>
    <col min="100" max="100" width="8.85546875" style="595" customWidth="1"/>
    <col min="101" max="101" width="10.7109375" style="595" customWidth="1"/>
    <col min="102" max="102" width="35.85546875" style="595" customWidth="1"/>
    <col min="103" max="103" width="18.7109375" style="595" customWidth="1"/>
    <col min="104" max="104" width="9.140625" style="595"/>
    <col min="105" max="105" width="9.28515625" style="595" bestFit="1" customWidth="1"/>
    <col min="106" max="106" width="9.140625" style="595"/>
    <col min="107" max="107" width="9" style="595" customWidth="1"/>
    <col min="108" max="108" width="9.5703125" style="595" customWidth="1"/>
    <col min="109" max="109" width="11.28515625" style="595" customWidth="1"/>
    <col min="110" max="110" width="9.140625" style="595"/>
    <col min="111" max="111" width="12.7109375" style="595" customWidth="1"/>
    <col min="112" max="112" width="9.140625" style="595"/>
    <col min="113" max="113" width="20.5703125" style="595" customWidth="1"/>
    <col min="114" max="114" width="15.7109375" style="595" customWidth="1"/>
    <col min="115" max="115" width="20.7109375" style="595" customWidth="1"/>
    <col min="116" max="116" width="18.28515625" style="595" customWidth="1"/>
    <col min="117" max="119" width="9.140625" style="595"/>
    <col min="120" max="120" width="13.5703125" style="595" customWidth="1"/>
    <col min="121" max="121" width="14.7109375" style="595" customWidth="1"/>
    <col min="122" max="122" width="7.28515625" style="595" customWidth="1"/>
    <col min="123" max="123" width="17.7109375" style="595" customWidth="1"/>
    <col min="124" max="124" width="13.5703125" style="595" customWidth="1"/>
    <col min="125" max="125" width="15.5703125" style="595" customWidth="1"/>
    <col min="126" max="126" width="16.28515625" style="595" customWidth="1"/>
    <col min="127" max="127" width="15.140625" style="595" customWidth="1"/>
    <col min="128" max="128" width="9.140625" style="595"/>
    <col min="129" max="129" width="14.140625" style="595" customWidth="1"/>
    <col min="130" max="130" width="6.5703125" style="595" customWidth="1"/>
    <col min="131" max="131" width="14.5703125" style="595" customWidth="1"/>
    <col min="132" max="132" width="6.42578125" style="595" customWidth="1"/>
    <col min="133" max="133" width="12.85546875" style="595" customWidth="1"/>
    <col min="134" max="134" width="7.85546875" style="595" customWidth="1"/>
    <col min="135" max="135" width="10.7109375" style="595" customWidth="1"/>
    <col min="136" max="136" width="7.140625" style="595" customWidth="1"/>
    <col min="137" max="137" width="11.85546875" style="595" customWidth="1"/>
    <col min="138" max="138" width="7.42578125" style="595" customWidth="1"/>
    <col min="139" max="139" width="12.140625" style="595" customWidth="1"/>
    <col min="140" max="140" width="8.42578125" style="595" customWidth="1"/>
    <col min="141" max="141" width="11.85546875" style="595" customWidth="1"/>
    <col min="142" max="142" width="6.85546875" style="595" customWidth="1"/>
    <col min="143" max="143" width="11.42578125" style="595" customWidth="1"/>
    <col min="144" max="144" width="9" style="595" customWidth="1"/>
    <col min="145" max="145" width="12.42578125" style="595" customWidth="1"/>
    <col min="146" max="146" width="5.85546875" style="595" customWidth="1"/>
    <col min="147" max="147" width="13.28515625" style="595" customWidth="1"/>
    <col min="148" max="148" width="8.85546875" style="595" customWidth="1"/>
    <col min="149" max="149" width="12" style="595" customWidth="1"/>
    <col min="150" max="150" width="7.5703125" style="595" customWidth="1"/>
    <col min="151" max="151" width="11.28515625" style="595" customWidth="1"/>
    <col min="152" max="152" width="6.5703125" style="595" customWidth="1"/>
    <col min="153" max="153" width="12.140625" style="595" customWidth="1"/>
    <col min="154" max="154" width="7.42578125" style="595" customWidth="1"/>
    <col min="155" max="155" width="12.42578125" style="595" customWidth="1"/>
    <col min="156" max="156" width="7.5703125" style="595" customWidth="1"/>
    <col min="157" max="157" width="11.28515625" style="595" customWidth="1"/>
    <col min="158" max="158" width="7.140625" style="595" customWidth="1"/>
    <col min="159" max="159" width="10.85546875" style="595" customWidth="1"/>
    <col min="160" max="160" width="6.140625" style="595" customWidth="1"/>
    <col min="161" max="161" width="10.7109375" style="595" customWidth="1"/>
    <col min="162" max="162" width="6.85546875" style="595" customWidth="1"/>
    <col min="163" max="163" width="10.7109375" style="595" customWidth="1"/>
    <col min="164" max="164" width="7" style="595" customWidth="1"/>
    <col min="165" max="165" width="11.85546875" style="595" customWidth="1"/>
    <col min="166" max="166" width="7.42578125" style="595" customWidth="1"/>
    <col min="167" max="167" width="10.7109375" style="595" customWidth="1"/>
    <col min="168" max="168" width="8.42578125" style="595" customWidth="1"/>
    <col min="169" max="169" width="11.140625" style="595" customWidth="1"/>
    <col min="170" max="170" width="8" style="595" customWidth="1"/>
    <col min="171" max="171" width="10.85546875" style="595" customWidth="1"/>
    <col min="172" max="172" width="7.5703125" style="595" customWidth="1"/>
    <col min="173" max="173" width="14.28515625" style="595" customWidth="1"/>
    <col min="174" max="174" width="6.5703125" style="595" customWidth="1"/>
    <col min="175" max="175" width="14.140625" style="595" customWidth="1"/>
    <col min="176" max="176" width="6.5703125" style="595" customWidth="1"/>
    <col min="177" max="177" width="14.28515625" style="595" customWidth="1"/>
    <col min="178" max="178" width="7.85546875" style="595" customWidth="1"/>
    <col min="179" max="179" width="14.140625" style="595" customWidth="1"/>
    <col min="180" max="180" width="6.85546875" style="595" customWidth="1"/>
    <col min="181" max="181" width="14.140625" style="595" customWidth="1"/>
    <col min="182" max="182" width="6.28515625" style="595" customWidth="1"/>
    <col min="183" max="183" width="14.140625" style="595" customWidth="1"/>
    <col min="184" max="184" width="5.85546875" style="595" customWidth="1"/>
    <col min="185" max="185" width="14.85546875" style="595" customWidth="1"/>
    <col min="186" max="186" width="6.85546875" style="595" customWidth="1"/>
    <col min="187" max="187" width="14.28515625" style="595" customWidth="1"/>
    <col min="188" max="188" width="7.28515625" style="595" customWidth="1"/>
    <col min="189" max="189" width="14.28515625" style="595" customWidth="1"/>
    <col min="190" max="190" width="6.42578125" style="595" customWidth="1"/>
    <col min="191" max="191" width="14" style="595" customWidth="1"/>
    <col min="192" max="192" width="7" style="595" customWidth="1"/>
    <col min="193" max="193" width="14" style="595" customWidth="1"/>
    <col min="194" max="194" width="6.42578125" style="595" customWidth="1"/>
    <col min="195" max="195" width="14.140625" style="595" customWidth="1"/>
    <col min="196" max="196" width="6.28515625" style="595" customWidth="1"/>
    <col min="197" max="197" width="14.140625" style="595" customWidth="1"/>
    <col min="198" max="198" width="7" style="595" customWidth="1"/>
    <col min="199" max="199" width="14.140625" style="595" customWidth="1"/>
    <col min="200" max="200" width="7.42578125" style="595" customWidth="1"/>
    <col min="201" max="201" width="14.5703125" style="595" customWidth="1"/>
    <col min="202" max="202" width="6.7109375" style="595" customWidth="1"/>
    <col min="203" max="203" width="14.140625" style="595" customWidth="1"/>
    <col min="204" max="204" width="7" style="595" customWidth="1"/>
    <col min="205" max="205" width="14.5703125" style="595" customWidth="1"/>
    <col min="206" max="206" width="7.42578125" style="595" customWidth="1"/>
    <col min="207" max="207" width="14.5703125" style="595" customWidth="1"/>
    <col min="208" max="208" width="6.42578125" style="595" customWidth="1"/>
    <col min="209" max="209" width="14.7109375" style="595" customWidth="1"/>
    <col min="210" max="210" width="6.85546875" style="595" customWidth="1"/>
    <col min="211" max="211" width="14.5703125" style="595" customWidth="1"/>
    <col min="212" max="212" width="7.140625" style="595" customWidth="1"/>
    <col min="213" max="213" width="14.5703125" style="595" customWidth="1"/>
    <col min="214" max="214" width="6.7109375" style="595" customWidth="1"/>
    <col min="215" max="215" width="14.140625" style="595" customWidth="1"/>
    <col min="216" max="216" width="5.85546875" style="595" customWidth="1"/>
    <col min="217" max="217" width="14" style="595" customWidth="1"/>
    <col min="218" max="218" width="8.28515625" style="595" customWidth="1"/>
    <col min="219" max="219" width="14.7109375" style="595" customWidth="1"/>
    <col min="220" max="220" width="7.140625" style="595" customWidth="1"/>
    <col min="221" max="221" width="14.7109375" style="595" customWidth="1"/>
    <col min="222" max="222" width="7.140625" style="595" customWidth="1"/>
    <col min="223" max="223" width="14" style="595" customWidth="1"/>
    <col min="224" max="224" width="6.42578125" style="595" customWidth="1"/>
    <col min="225" max="225" width="14" style="595" customWidth="1"/>
    <col min="226" max="226" width="6.28515625" style="595" customWidth="1"/>
    <col min="227" max="227" width="14.42578125" style="595" customWidth="1"/>
    <col min="228" max="228" width="6.28515625" style="595" customWidth="1"/>
    <col min="229" max="229" width="14.85546875" style="595" customWidth="1"/>
    <col min="230" max="230" width="7.28515625" style="595" customWidth="1"/>
    <col min="231" max="231" width="14.42578125" style="595" customWidth="1"/>
    <col min="232" max="232" width="7.28515625" style="595" customWidth="1"/>
    <col min="233" max="233" width="14.7109375" style="595" customWidth="1"/>
    <col min="234" max="234" width="6" style="595" customWidth="1"/>
    <col min="235" max="235" width="14.5703125" style="595" customWidth="1"/>
    <col min="236" max="236" width="6.42578125" style="595" customWidth="1"/>
    <col min="237" max="237" width="14.140625" style="595" customWidth="1"/>
    <col min="238" max="238" width="7.5703125" style="595" customWidth="1"/>
    <col min="239" max="239" width="14.5703125" style="595" customWidth="1"/>
    <col min="240" max="240" width="6.7109375" style="595" customWidth="1"/>
    <col min="241" max="241" width="15" style="595" customWidth="1"/>
    <col min="242" max="242" width="9.140625" style="595"/>
    <col min="243" max="243" width="14" style="595" customWidth="1"/>
    <col min="244" max="244" width="9.140625" style="595"/>
    <col min="245" max="245" width="14" style="595" customWidth="1"/>
    <col min="246" max="250" width="9.140625" style="595"/>
    <col min="251" max="251" width="41.28515625" style="595" customWidth="1"/>
    <col min="252" max="323" width="9.140625" style="595"/>
    <col min="324" max="324" width="21.140625" style="595" customWidth="1"/>
    <col min="325" max="325" width="7.28515625" style="595" customWidth="1"/>
    <col min="326" max="326" width="15" style="595" customWidth="1"/>
    <col min="327" max="327" width="23.28515625" style="595" customWidth="1"/>
    <col min="328" max="328" width="25.5703125" style="595" customWidth="1"/>
    <col min="329" max="329" width="7" style="595" bestFit="1" customWidth="1"/>
    <col min="330" max="330" width="6.42578125" style="595" bestFit="1" customWidth="1"/>
    <col min="331" max="331" width="7.85546875" style="595" customWidth="1"/>
    <col min="332" max="332" width="8.7109375" style="595" customWidth="1"/>
    <col min="333" max="333" width="7" style="595" bestFit="1" customWidth="1"/>
    <col min="334" max="334" width="6.42578125" style="595" bestFit="1" customWidth="1"/>
    <col min="335" max="335" width="6.85546875" style="595" customWidth="1"/>
    <col min="336" max="336" width="7.140625" style="595" customWidth="1"/>
    <col min="337" max="337" width="7" style="595" bestFit="1" customWidth="1"/>
    <col min="338" max="338" width="6.42578125" style="595" bestFit="1" customWidth="1"/>
    <col min="339" max="339" width="6" style="595" customWidth="1"/>
    <col min="340" max="340" width="9.7109375" style="595" customWidth="1"/>
    <col min="341" max="341" width="7" style="595" bestFit="1" customWidth="1"/>
    <col min="342" max="342" width="6.42578125" style="595" bestFit="1" customWidth="1"/>
    <col min="343" max="343" width="7.7109375" style="595" customWidth="1"/>
    <col min="344" max="348" width="7.28515625" style="595" customWidth="1"/>
    <col min="349" max="349" width="7" style="595" customWidth="1"/>
    <col min="350" max="351" width="5.140625" style="595" bestFit="1" customWidth="1"/>
    <col min="352" max="352" width="20.5703125" style="595" customWidth="1"/>
    <col min="353" max="353" width="8.85546875" style="595" customWidth="1"/>
    <col min="354" max="354" width="18.7109375" style="595" customWidth="1"/>
    <col min="355" max="355" width="9.7109375" style="595" customWidth="1"/>
    <col min="356" max="356" width="8.85546875" style="595" customWidth="1"/>
    <col min="357" max="357" width="10.7109375" style="595" customWidth="1"/>
    <col min="358" max="358" width="35.85546875" style="595" customWidth="1"/>
    <col min="359" max="359" width="18.7109375" style="595" customWidth="1"/>
    <col min="360" max="360" width="9.140625" style="595"/>
    <col min="361" max="361" width="9.28515625" style="595" bestFit="1" customWidth="1"/>
    <col min="362" max="362" width="9.140625" style="595"/>
    <col min="363" max="363" width="9" style="595" customWidth="1"/>
    <col min="364" max="364" width="9.5703125" style="595" customWidth="1"/>
    <col min="365" max="365" width="11.28515625" style="595" customWidth="1"/>
    <col min="366" max="366" width="9.140625" style="595"/>
    <col min="367" max="367" width="12.7109375" style="595" customWidth="1"/>
    <col min="368" max="368" width="9.140625" style="595"/>
    <col min="369" max="369" width="20.5703125" style="595" customWidth="1"/>
    <col min="370" max="370" width="15.7109375" style="595" customWidth="1"/>
    <col min="371" max="371" width="20.7109375" style="595" customWidth="1"/>
    <col min="372" max="372" width="18.28515625" style="595" customWidth="1"/>
    <col min="373" max="375" width="9.140625" style="595"/>
    <col min="376" max="376" width="13.5703125" style="595" customWidth="1"/>
    <col min="377" max="377" width="14.7109375" style="595" customWidth="1"/>
    <col min="378" max="378" width="7.28515625" style="595" customWidth="1"/>
    <col min="379" max="379" width="17.7109375" style="595" customWidth="1"/>
    <col min="380" max="380" width="13.5703125" style="595" customWidth="1"/>
    <col min="381" max="381" width="15.5703125" style="595" customWidth="1"/>
    <col min="382" max="382" width="16.28515625" style="595" customWidth="1"/>
    <col min="383" max="383" width="15.140625" style="595" customWidth="1"/>
    <col min="384" max="384" width="9.140625" style="595"/>
    <col min="385" max="385" width="14.140625" style="595" customWidth="1"/>
    <col min="386" max="386" width="6.5703125" style="595" customWidth="1"/>
    <col min="387" max="387" width="14.5703125" style="595" customWidth="1"/>
    <col min="388" max="388" width="6.42578125" style="595" customWidth="1"/>
    <col min="389" max="389" width="12.85546875" style="595" customWidth="1"/>
    <col min="390" max="390" width="7.85546875" style="595" customWidth="1"/>
    <col min="391" max="391" width="10.7109375" style="595" customWidth="1"/>
    <col min="392" max="392" width="7.140625" style="595" customWidth="1"/>
    <col min="393" max="393" width="11.85546875" style="595" customWidth="1"/>
    <col min="394" max="394" width="7.42578125" style="595" customWidth="1"/>
    <col min="395" max="395" width="12.140625" style="595" customWidth="1"/>
    <col min="396" max="396" width="8.42578125" style="595" customWidth="1"/>
    <col min="397" max="397" width="11.85546875" style="595" customWidth="1"/>
    <col min="398" max="398" width="6.85546875" style="595" customWidth="1"/>
    <col min="399" max="399" width="11.42578125" style="595" customWidth="1"/>
    <col min="400" max="400" width="9" style="595" customWidth="1"/>
    <col min="401" max="401" width="12.42578125" style="595" customWidth="1"/>
    <col min="402" max="402" width="5.85546875" style="595" customWidth="1"/>
    <col min="403" max="403" width="13.28515625" style="595" customWidth="1"/>
    <col min="404" max="404" width="8.85546875" style="595" customWidth="1"/>
    <col min="405" max="405" width="12" style="595" customWidth="1"/>
    <col min="406" max="406" width="7.5703125" style="595" customWidth="1"/>
    <col min="407" max="407" width="11.28515625" style="595" customWidth="1"/>
    <col min="408" max="408" width="6.5703125" style="595" customWidth="1"/>
    <col min="409" max="409" width="12.140625" style="595" customWidth="1"/>
    <col min="410" max="410" width="7.42578125" style="595" customWidth="1"/>
    <col min="411" max="411" width="12.42578125" style="595" customWidth="1"/>
    <col min="412" max="412" width="7.5703125" style="595" customWidth="1"/>
    <col min="413" max="413" width="11.28515625" style="595" customWidth="1"/>
    <col min="414" max="414" width="7.140625" style="595" customWidth="1"/>
    <col min="415" max="415" width="10.85546875" style="595" customWidth="1"/>
    <col min="416" max="416" width="6.140625" style="595" customWidth="1"/>
    <col min="417" max="417" width="10.7109375" style="595" customWidth="1"/>
    <col min="418" max="418" width="6.85546875" style="595" customWidth="1"/>
    <col min="419" max="419" width="10.7109375" style="595" customWidth="1"/>
    <col min="420" max="420" width="7" style="595" customWidth="1"/>
    <col min="421" max="421" width="11.85546875" style="595" customWidth="1"/>
    <col min="422" max="422" width="7.42578125" style="595" customWidth="1"/>
    <col min="423" max="423" width="10.7109375" style="595" customWidth="1"/>
    <col min="424" max="424" width="8.42578125" style="595" customWidth="1"/>
    <col min="425" max="425" width="11.140625" style="595" customWidth="1"/>
    <col min="426" max="426" width="8" style="595" customWidth="1"/>
    <col min="427" max="427" width="10.85546875" style="595" customWidth="1"/>
    <col min="428" max="428" width="7.5703125" style="595" customWidth="1"/>
    <col min="429" max="429" width="14.28515625" style="595" customWidth="1"/>
    <col min="430" max="430" width="6.5703125" style="595" customWidth="1"/>
    <col min="431" max="431" width="14.140625" style="595" customWidth="1"/>
    <col min="432" max="432" width="6.5703125" style="595" customWidth="1"/>
    <col min="433" max="433" width="14.28515625" style="595" customWidth="1"/>
    <col min="434" max="434" width="7.85546875" style="595" customWidth="1"/>
    <col min="435" max="435" width="14.140625" style="595" customWidth="1"/>
    <col min="436" max="436" width="6.85546875" style="595" customWidth="1"/>
    <col min="437" max="437" width="14.140625" style="595" customWidth="1"/>
    <col min="438" max="438" width="6.28515625" style="595" customWidth="1"/>
    <col min="439" max="439" width="14.140625" style="595" customWidth="1"/>
    <col min="440" max="440" width="5.85546875" style="595" customWidth="1"/>
    <col min="441" max="441" width="14.85546875" style="595" customWidth="1"/>
    <col min="442" max="442" width="6.85546875" style="595" customWidth="1"/>
    <col min="443" max="443" width="14.28515625" style="595" customWidth="1"/>
    <col min="444" max="444" width="7.28515625" style="595" customWidth="1"/>
    <col min="445" max="445" width="14.28515625" style="595" customWidth="1"/>
    <col min="446" max="446" width="6.42578125" style="595" customWidth="1"/>
    <col min="447" max="447" width="14" style="595" customWidth="1"/>
    <col min="448" max="448" width="7" style="595" customWidth="1"/>
    <col min="449" max="449" width="14" style="595" customWidth="1"/>
    <col min="450" max="450" width="6.42578125" style="595" customWidth="1"/>
    <col min="451" max="451" width="14.140625" style="595" customWidth="1"/>
    <col min="452" max="452" width="6.28515625" style="595" customWidth="1"/>
    <col min="453" max="453" width="14.140625" style="595" customWidth="1"/>
    <col min="454" max="454" width="7" style="595" customWidth="1"/>
    <col min="455" max="455" width="14.140625" style="595" customWidth="1"/>
    <col min="456" max="456" width="7.42578125" style="595" customWidth="1"/>
    <col min="457" max="457" width="14.5703125" style="595" customWidth="1"/>
    <col min="458" max="458" width="6.7109375" style="595" customWidth="1"/>
    <col min="459" max="459" width="14.140625" style="595" customWidth="1"/>
    <col min="460" max="460" width="7" style="595" customWidth="1"/>
    <col min="461" max="461" width="14.5703125" style="595" customWidth="1"/>
    <col min="462" max="462" width="7.42578125" style="595" customWidth="1"/>
    <col min="463" max="463" width="14.5703125" style="595" customWidth="1"/>
    <col min="464" max="464" width="6.42578125" style="595" customWidth="1"/>
    <col min="465" max="465" width="14.7109375" style="595" customWidth="1"/>
    <col min="466" max="466" width="6.85546875" style="595" customWidth="1"/>
    <col min="467" max="467" width="14.5703125" style="595" customWidth="1"/>
    <col min="468" max="468" width="7.140625" style="595" customWidth="1"/>
    <col min="469" max="469" width="14.5703125" style="595" customWidth="1"/>
    <col min="470" max="470" width="6.7109375" style="595" customWidth="1"/>
    <col min="471" max="471" width="14.140625" style="595" customWidth="1"/>
    <col min="472" max="472" width="5.85546875" style="595" customWidth="1"/>
    <col min="473" max="473" width="14" style="595" customWidth="1"/>
    <col min="474" max="474" width="8.28515625" style="595" customWidth="1"/>
    <col min="475" max="475" width="14.7109375" style="595" customWidth="1"/>
    <col min="476" max="476" width="7.140625" style="595" customWidth="1"/>
    <col min="477" max="477" width="14.7109375" style="595" customWidth="1"/>
    <col min="478" max="478" width="7.140625" style="595" customWidth="1"/>
    <col min="479" max="479" width="14" style="595" customWidth="1"/>
    <col min="480" max="480" width="6.42578125" style="595" customWidth="1"/>
    <col min="481" max="481" width="14" style="595" customWidth="1"/>
    <col min="482" max="482" width="6.28515625" style="595" customWidth="1"/>
    <col min="483" max="483" width="14.42578125" style="595" customWidth="1"/>
    <col min="484" max="484" width="6.28515625" style="595" customWidth="1"/>
    <col min="485" max="485" width="14.85546875" style="595" customWidth="1"/>
    <col min="486" max="486" width="7.28515625" style="595" customWidth="1"/>
    <col min="487" max="487" width="14.42578125" style="595" customWidth="1"/>
    <col min="488" max="488" width="7.28515625" style="595" customWidth="1"/>
    <col min="489" max="489" width="14.7109375" style="595" customWidth="1"/>
    <col min="490" max="490" width="6" style="595" customWidth="1"/>
    <col min="491" max="491" width="14.5703125" style="595" customWidth="1"/>
    <col min="492" max="492" width="6.42578125" style="595" customWidth="1"/>
    <col min="493" max="493" width="14.140625" style="595" customWidth="1"/>
    <col min="494" max="494" width="7.5703125" style="595" customWidth="1"/>
    <col min="495" max="495" width="14.5703125" style="595" customWidth="1"/>
    <col min="496" max="496" width="6.7109375" style="595" customWidth="1"/>
    <col min="497" max="497" width="15" style="595" customWidth="1"/>
    <col min="498" max="498" width="9.140625" style="595"/>
    <col min="499" max="499" width="14" style="595" customWidth="1"/>
    <col min="500" max="500" width="9.140625" style="595"/>
    <col min="501" max="501" width="14" style="595" customWidth="1"/>
    <col min="502" max="506" width="9.140625" style="595"/>
    <col min="507" max="507" width="41.28515625" style="595" customWidth="1"/>
    <col min="508" max="579" width="9.140625" style="595"/>
    <col min="580" max="580" width="21.140625" style="595" customWidth="1"/>
    <col min="581" max="581" width="7.28515625" style="595" customWidth="1"/>
    <col min="582" max="582" width="15" style="595" customWidth="1"/>
    <col min="583" max="583" width="23.28515625" style="595" customWidth="1"/>
    <col min="584" max="584" width="25.5703125" style="595" customWidth="1"/>
    <col min="585" max="585" width="7" style="595" bestFit="1" customWidth="1"/>
    <col min="586" max="586" width="6.42578125" style="595" bestFit="1" customWidth="1"/>
    <col min="587" max="587" width="7.85546875" style="595" customWidth="1"/>
    <col min="588" max="588" width="8.7109375" style="595" customWidth="1"/>
    <col min="589" max="589" width="7" style="595" bestFit="1" customWidth="1"/>
    <col min="590" max="590" width="6.42578125" style="595" bestFit="1" customWidth="1"/>
    <col min="591" max="591" width="6.85546875" style="595" customWidth="1"/>
    <col min="592" max="592" width="7.140625" style="595" customWidth="1"/>
    <col min="593" max="593" width="7" style="595" bestFit="1" customWidth="1"/>
    <col min="594" max="594" width="6.42578125" style="595" bestFit="1" customWidth="1"/>
    <col min="595" max="595" width="6" style="595" customWidth="1"/>
    <col min="596" max="596" width="9.7109375" style="595" customWidth="1"/>
    <col min="597" max="597" width="7" style="595" bestFit="1" customWidth="1"/>
    <col min="598" max="598" width="6.42578125" style="595" bestFit="1" customWidth="1"/>
    <col min="599" max="599" width="7.7109375" style="595" customWidth="1"/>
    <col min="600" max="604" width="7.28515625" style="595" customWidth="1"/>
    <col min="605" max="605" width="7" style="595" customWidth="1"/>
    <col min="606" max="607" width="5.140625" style="595" bestFit="1" customWidth="1"/>
    <col min="608" max="608" width="20.5703125" style="595" customWidth="1"/>
    <col min="609" max="609" width="8.85546875" style="595" customWidth="1"/>
    <col min="610" max="610" width="18.7109375" style="595" customWidth="1"/>
    <col min="611" max="611" width="9.7109375" style="595" customWidth="1"/>
    <col min="612" max="612" width="8.85546875" style="595" customWidth="1"/>
    <col min="613" max="613" width="10.7109375" style="595" customWidth="1"/>
    <col min="614" max="614" width="35.85546875" style="595" customWidth="1"/>
    <col min="615" max="615" width="18.7109375" style="595" customWidth="1"/>
    <col min="616" max="616" width="9.140625" style="595"/>
    <col min="617" max="617" width="9.28515625" style="595" bestFit="1" customWidth="1"/>
    <col min="618" max="618" width="9.140625" style="595"/>
    <col min="619" max="619" width="9" style="595" customWidth="1"/>
    <col min="620" max="620" width="9.5703125" style="595" customWidth="1"/>
    <col min="621" max="621" width="11.28515625" style="595" customWidth="1"/>
    <col min="622" max="622" width="9.140625" style="595"/>
    <col min="623" max="623" width="12.7109375" style="595" customWidth="1"/>
    <col min="624" max="624" width="9.140625" style="595"/>
    <col min="625" max="625" width="20.5703125" style="595" customWidth="1"/>
    <col min="626" max="626" width="15.7109375" style="595" customWidth="1"/>
    <col min="627" max="627" width="20.7109375" style="595" customWidth="1"/>
    <col min="628" max="628" width="18.28515625" style="595" customWidth="1"/>
    <col min="629" max="631" width="9.140625" style="595"/>
    <col min="632" max="632" width="13.5703125" style="595" customWidth="1"/>
    <col min="633" max="633" width="14.7109375" style="595" customWidth="1"/>
    <col min="634" max="634" width="7.28515625" style="595" customWidth="1"/>
    <col min="635" max="635" width="17.7109375" style="595" customWidth="1"/>
    <col min="636" max="636" width="13.5703125" style="595" customWidth="1"/>
    <col min="637" max="637" width="15.5703125" style="595" customWidth="1"/>
    <col min="638" max="638" width="16.28515625" style="595" customWidth="1"/>
    <col min="639" max="639" width="15.140625" style="595" customWidth="1"/>
    <col min="640" max="640" width="9.140625" style="595"/>
    <col min="641" max="641" width="14.140625" style="595" customWidth="1"/>
    <col min="642" max="642" width="6.5703125" style="595" customWidth="1"/>
    <col min="643" max="643" width="14.5703125" style="595" customWidth="1"/>
    <col min="644" max="644" width="6.42578125" style="595" customWidth="1"/>
    <col min="645" max="645" width="12.85546875" style="595" customWidth="1"/>
    <col min="646" max="646" width="7.85546875" style="595" customWidth="1"/>
    <col min="647" max="647" width="10.7109375" style="595" customWidth="1"/>
    <col min="648" max="648" width="7.140625" style="595" customWidth="1"/>
    <col min="649" max="649" width="11.85546875" style="595" customWidth="1"/>
    <col min="650" max="650" width="7.42578125" style="595" customWidth="1"/>
    <col min="651" max="651" width="12.140625" style="595" customWidth="1"/>
    <col min="652" max="652" width="8.42578125" style="595" customWidth="1"/>
    <col min="653" max="653" width="11.85546875" style="595" customWidth="1"/>
    <col min="654" max="654" width="6.85546875" style="595" customWidth="1"/>
    <col min="655" max="655" width="11.42578125" style="595" customWidth="1"/>
    <col min="656" max="656" width="9" style="595" customWidth="1"/>
    <col min="657" max="657" width="12.42578125" style="595" customWidth="1"/>
    <col min="658" max="658" width="5.85546875" style="595" customWidth="1"/>
    <col min="659" max="659" width="13.28515625" style="595" customWidth="1"/>
    <col min="660" max="660" width="8.85546875" style="595" customWidth="1"/>
    <col min="661" max="661" width="12" style="595" customWidth="1"/>
    <col min="662" max="662" width="7.5703125" style="595" customWidth="1"/>
    <col min="663" max="663" width="11.28515625" style="595" customWidth="1"/>
    <col min="664" max="664" width="6.5703125" style="595" customWidth="1"/>
    <col min="665" max="665" width="12.140625" style="595" customWidth="1"/>
    <col min="666" max="666" width="7.42578125" style="595" customWidth="1"/>
    <col min="667" max="667" width="12.42578125" style="595" customWidth="1"/>
    <col min="668" max="668" width="7.5703125" style="595" customWidth="1"/>
    <col min="669" max="669" width="11.28515625" style="595" customWidth="1"/>
    <col min="670" max="670" width="7.140625" style="595" customWidth="1"/>
    <col min="671" max="671" width="10.85546875" style="595" customWidth="1"/>
    <col min="672" max="672" width="6.140625" style="595" customWidth="1"/>
    <col min="673" max="673" width="10.7109375" style="595" customWidth="1"/>
    <col min="674" max="674" width="6.85546875" style="595" customWidth="1"/>
    <col min="675" max="675" width="10.7109375" style="595" customWidth="1"/>
    <col min="676" max="676" width="7" style="595" customWidth="1"/>
    <col min="677" max="677" width="11.85546875" style="595" customWidth="1"/>
    <col min="678" max="678" width="7.42578125" style="595" customWidth="1"/>
    <col min="679" max="679" width="10.7109375" style="595" customWidth="1"/>
    <col min="680" max="680" width="8.42578125" style="595" customWidth="1"/>
    <col min="681" max="681" width="11.140625" style="595" customWidth="1"/>
    <col min="682" max="682" width="8" style="595" customWidth="1"/>
    <col min="683" max="683" width="10.85546875" style="595" customWidth="1"/>
    <col min="684" max="684" width="7.5703125" style="595" customWidth="1"/>
    <col min="685" max="685" width="14.28515625" style="595" customWidth="1"/>
    <col min="686" max="686" width="6.5703125" style="595" customWidth="1"/>
    <col min="687" max="687" width="14.140625" style="595" customWidth="1"/>
    <col min="688" max="688" width="6.5703125" style="595" customWidth="1"/>
    <col min="689" max="689" width="14.28515625" style="595" customWidth="1"/>
    <col min="690" max="690" width="7.85546875" style="595" customWidth="1"/>
    <col min="691" max="691" width="14.140625" style="595" customWidth="1"/>
    <col min="692" max="692" width="6.85546875" style="595" customWidth="1"/>
    <col min="693" max="693" width="14.140625" style="595" customWidth="1"/>
    <col min="694" max="694" width="6.28515625" style="595" customWidth="1"/>
    <col min="695" max="695" width="14.140625" style="595" customWidth="1"/>
    <col min="696" max="696" width="5.85546875" style="595" customWidth="1"/>
    <col min="697" max="697" width="14.85546875" style="595" customWidth="1"/>
    <col min="698" max="698" width="6.85546875" style="595" customWidth="1"/>
    <col min="699" max="699" width="14.28515625" style="595" customWidth="1"/>
    <col min="700" max="700" width="7.28515625" style="595" customWidth="1"/>
    <col min="701" max="701" width="14.28515625" style="595" customWidth="1"/>
    <col min="702" max="702" width="6.42578125" style="595" customWidth="1"/>
    <col min="703" max="703" width="14" style="595" customWidth="1"/>
    <col min="704" max="704" width="7" style="595" customWidth="1"/>
    <col min="705" max="705" width="14" style="595" customWidth="1"/>
    <col min="706" max="706" width="6.42578125" style="595" customWidth="1"/>
    <col min="707" max="707" width="14.140625" style="595" customWidth="1"/>
    <col min="708" max="708" width="6.28515625" style="595" customWidth="1"/>
    <col min="709" max="709" width="14.140625" style="595" customWidth="1"/>
    <col min="710" max="710" width="7" style="595" customWidth="1"/>
    <col min="711" max="711" width="14.140625" style="595" customWidth="1"/>
    <col min="712" max="712" width="7.42578125" style="595" customWidth="1"/>
    <col min="713" max="713" width="14.5703125" style="595" customWidth="1"/>
    <col min="714" max="714" width="6.7109375" style="595" customWidth="1"/>
    <col min="715" max="715" width="14.140625" style="595" customWidth="1"/>
    <col min="716" max="716" width="7" style="595" customWidth="1"/>
    <col min="717" max="717" width="14.5703125" style="595" customWidth="1"/>
    <col min="718" max="718" width="7.42578125" style="595" customWidth="1"/>
    <col min="719" max="719" width="14.5703125" style="595" customWidth="1"/>
    <col min="720" max="720" width="6.42578125" style="595" customWidth="1"/>
    <col min="721" max="721" width="14.7109375" style="595" customWidth="1"/>
    <col min="722" max="722" width="6.85546875" style="595" customWidth="1"/>
    <col min="723" max="723" width="14.5703125" style="595" customWidth="1"/>
    <col min="724" max="724" width="7.140625" style="595" customWidth="1"/>
    <col min="725" max="725" width="14.5703125" style="595" customWidth="1"/>
    <col min="726" max="726" width="6.7109375" style="595" customWidth="1"/>
    <col min="727" max="727" width="14.140625" style="595" customWidth="1"/>
    <col min="728" max="728" width="5.85546875" style="595" customWidth="1"/>
    <col min="729" max="729" width="14" style="595" customWidth="1"/>
    <col min="730" max="730" width="8.28515625" style="595" customWidth="1"/>
    <col min="731" max="731" width="14.7109375" style="595" customWidth="1"/>
    <col min="732" max="732" width="7.140625" style="595" customWidth="1"/>
    <col min="733" max="733" width="14.7109375" style="595" customWidth="1"/>
    <col min="734" max="734" width="7.140625" style="595" customWidth="1"/>
    <col min="735" max="735" width="14" style="595" customWidth="1"/>
    <col min="736" max="736" width="6.42578125" style="595" customWidth="1"/>
    <col min="737" max="737" width="14" style="595" customWidth="1"/>
    <col min="738" max="738" width="6.28515625" style="595" customWidth="1"/>
    <col min="739" max="739" width="14.42578125" style="595" customWidth="1"/>
    <col min="740" max="740" width="6.28515625" style="595" customWidth="1"/>
    <col min="741" max="741" width="14.85546875" style="595" customWidth="1"/>
    <col min="742" max="742" width="7.28515625" style="595" customWidth="1"/>
    <col min="743" max="743" width="14.42578125" style="595" customWidth="1"/>
    <col min="744" max="744" width="7.28515625" style="595" customWidth="1"/>
    <col min="745" max="745" width="14.7109375" style="595" customWidth="1"/>
    <col min="746" max="746" width="6" style="595" customWidth="1"/>
    <col min="747" max="747" width="14.5703125" style="595" customWidth="1"/>
    <col min="748" max="748" width="6.42578125" style="595" customWidth="1"/>
    <col min="749" max="749" width="14.140625" style="595" customWidth="1"/>
    <col min="750" max="750" width="7.5703125" style="595" customWidth="1"/>
    <col min="751" max="751" width="14.5703125" style="595" customWidth="1"/>
    <col min="752" max="752" width="6.7109375" style="595" customWidth="1"/>
    <col min="753" max="753" width="15" style="595" customWidth="1"/>
    <col min="754" max="754" width="9.140625" style="595"/>
    <col min="755" max="755" width="14" style="595" customWidth="1"/>
    <col min="756" max="756" width="9.140625" style="595"/>
    <col min="757" max="757" width="14" style="595" customWidth="1"/>
    <col min="758" max="762" width="9.140625" style="595"/>
    <col min="763" max="763" width="41.28515625" style="595" customWidth="1"/>
    <col min="764" max="835" width="9.140625" style="595"/>
    <col min="836" max="836" width="21.140625" style="595" customWidth="1"/>
    <col min="837" max="837" width="7.28515625" style="595" customWidth="1"/>
    <col min="838" max="838" width="15" style="595" customWidth="1"/>
    <col min="839" max="839" width="23.28515625" style="595" customWidth="1"/>
    <col min="840" max="840" width="25.5703125" style="595" customWidth="1"/>
    <col min="841" max="841" width="7" style="595" bestFit="1" customWidth="1"/>
    <col min="842" max="842" width="6.42578125" style="595" bestFit="1" customWidth="1"/>
    <col min="843" max="843" width="7.85546875" style="595" customWidth="1"/>
    <col min="844" max="844" width="8.7109375" style="595" customWidth="1"/>
    <col min="845" max="845" width="7" style="595" bestFit="1" customWidth="1"/>
    <col min="846" max="846" width="6.42578125" style="595" bestFit="1" customWidth="1"/>
    <col min="847" max="847" width="6.85546875" style="595" customWidth="1"/>
    <col min="848" max="848" width="7.140625" style="595" customWidth="1"/>
    <col min="849" max="849" width="7" style="595" bestFit="1" customWidth="1"/>
    <col min="850" max="850" width="6.42578125" style="595" bestFit="1" customWidth="1"/>
    <col min="851" max="851" width="6" style="595" customWidth="1"/>
    <col min="852" max="852" width="9.7109375" style="595" customWidth="1"/>
    <col min="853" max="853" width="7" style="595" bestFit="1" customWidth="1"/>
    <col min="854" max="854" width="6.42578125" style="595" bestFit="1" customWidth="1"/>
    <col min="855" max="855" width="7.7109375" style="595" customWidth="1"/>
    <col min="856" max="860" width="7.28515625" style="595" customWidth="1"/>
    <col min="861" max="861" width="7" style="595" customWidth="1"/>
    <col min="862" max="863" width="5.140625" style="595" bestFit="1" customWidth="1"/>
    <col min="864" max="864" width="20.5703125" style="595" customWidth="1"/>
    <col min="865" max="865" width="8.85546875" style="595" customWidth="1"/>
    <col min="866" max="866" width="18.7109375" style="595" customWidth="1"/>
    <col min="867" max="867" width="9.7109375" style="595" customWidth="1"/>
    <col min="868" max="868" width="8.85546875" style="595" customWidth="1"/>
    <col min="869" max="869" width="10.7109375" style="595" customWidth="1"/>
    <col min="870" max="870" width="35.85546875" style="595" customWidth="1"/>
    <col min="871" max="871" width="18.7109375" style="595" customWidth="1"/>
    <col min="872" max="872" width="9.140625" style="595"/>
    <col min="873" max="873" width="9.28515625" style="595" bestFit="1" customWidth="1"/>
    <col min="874" max="874" width="9.140625" style="595"/>
    <col min="875" max="875" width="9" style="595" customWidth="1"/>
    <col min="876" max="876" width="9.5703125" style="595" customWidth="1"/>
    <col min="877" max="877" width="11.28515625" style="595" customWidth="1"/>
    <col min="878" max="878" width="9.140625" style="595"/>
    <col min="879" max="879" width="12.7109375" style="595" customWidth="1"/>
    <col min="880" max="880" width="9.140625" style="595"/>
    <col min="881" max="881" width="20.5703125" style="595" customWidth="1"/>
    <col min="882" max="882" width="15.7109375" style="595" customWidth="1"/>
    <col min="883" max="883" width="20.7109375" style="595" customWidth="1"/>
    <col min="884" max="884" width="18.28515625" style="595" customWidth="1"/>
    <col min="885" max="887" width="9.140625" style="595"/>
    <col min="888" max="888" width="13.5703125" style="595" customWidth="1"/>
    <col min="889" max="889" width="14.7109375" style="595" customWidth="1"/>
    <col min="890" max="890" width="7.28515625" style="595" customWidth="1"/>
    <col min="891" max="891" width="17.7109375" style="595" customWidth="1"/>
    <col min="892" max="892" width="13.5703125" style="595" customWidth="1"/>
    <col min="893" max="893" width="15.5703125" style="595" customWidth="1"/>
    <col min="894" max="894" width="16.28515625" style="595" customWidth="1"/>
    <col min="895" max="895" width="15.140625" style="595" customWidth="1"/>
    <col min="896" max="896" width="9.140625" style="595"/>
    <col min="897" max="897" width="14.140625" style="595" customWidth="1"/>
    <col min="898" max="898" width="6.5703125" style="595" customWidth="1"/>
    <col min="899" max="899" width="14.5703125" style="595" customWidth="1"/>
    <col min="900" max="900" width="6.42578125" style="595" customWidth="1"/>
    <col min="901" max="901" width="12.85546875" style="595" customWidth="1"/>
    <col min="902" max="902" width="7.85546875" style="595" customWidth="1"/>
    <col min="903" max="903" width="10.7109375" style="595" customWidth="1"/>
    <col min="904" max="904" width="7.140625" style="595" customWidth="1"/>
    <col min="905" max="905" width="11.85546875" style="595" customWidth="1"/>
    <col min="906" max="906" width="7.42578125" style="595" customWidth="1"/>
    <col min="907" max="907" width="12.140625" style="595" customWidth="1"/>
    <col min="908" max="908" width="8.42578125" style="595" customWidth="1"/>
    <col min="909" max="909" width="11.85546875" style="595" customWidth="1"/>
    <col min="910" max="910" width="6.85546875" style="595" customWidth="1"/>
    <col min="911" max="911" width="11.42578125" style="595" customWidth="1"/>
    <col min="912" max="912" width="9" style="595" customWidth="1"/>
    <col min="913" max="913" width="12.42578125" style="595" customWidth="1"/>
    <col min="914" max="914" width="5.85546875" style="595" customWidth="1"/>
    <col min="915" max="915" width="13.28515625" style="595" customWidth="1"/>
    <col min="916" max="916" width="8.85546875" style="595" customWidth="1"/>
    <col min="917" max="917" width="12" style="595" customWidth="1"/>
    <col min="918" max="918" width="7.5703125" style="595" customWidth="1"/>
    <col min="919" max="919" width="11.28515625" style="595" customWidth="1"/>
    <col min="920" max="920" width="6.5703125" style="595" customWidth="1"/>
    <col min="921" max="921" width="12.140625" style="595" customWidth="1"/>
    <col min="922" max="922" width="7.42578125" style="595" customWidth="1"/>
    <col min="923" max="923" width="12.42578125" style="595" customWidth="1"/>
    <col min="924" max="924" width="7.5703125" style="595" customWidth="1"/>
    <col min="925" max="925" width="11.28515625" style="595" customWidth="1"/>
    <col min="926" max="926" width="7.140625" style="595" customWidth="1"/>
    <col min="927" max="927" width="10.85546875" style="595" customWidth="1"/>
    <col min="928" max="928" width="6.140625" style="595" customWidth="1"/>
    <col min="929" max="929" width="10.7109375" style="595" customWidth="1"/>
    <col min="930" max="930" width="6.85546875" style="595" customWidth="1"/>
    <col min="931" max="931" width="10.7109375" style="595" customWidth="1"/>
    <col min="932" max="932" width="7" style="595" customWidth="1"/>
    <col min="933" max="933" width="11.85546875" style="595" customWidth="1"/>
    <col min="934" max="934" width="7.42578125" style="595" customWidth="1"/>
    <col min="935" max="935" width="10.7109375" style="595" customWidth="1"/>
    <col min="936" max="936" width="8.42578125" style="595" customWidth="1"/>
    <col min="937" max="937" width="11.140625" style="595" customWidth="1"/>
    <col min="938" max="938" width="8" style="595" customWidth="1"/>
    <col min="939" max="939" width="10.85546875" style="595" customWidth="1"/>
    <col min="940" max="940" width="7.5703125" style="595" customWidth="1"/>
    <col min="941" max="941" width="14.28515625" style="595" customWidth="1"/>
    <col min="942" max="942" width="6.5703125" style="595" customWidth="1"/>
    <col min="943" max="943" width="14.140625" style="595" customWidth="1"/>
    <col min="944" max="944" width="6.5703125" style="595" customWidth="1"/>
    <col min="945" max="945" width="14.28515625" style="595" customWidth="1"/>
    <col min="946" max="946" width="7.85546875" style="595" customWidth="1"/>
    <col min="947" max="947" width="14.140625" style="595" customWidth="1"/>
    <col min="948" max="948" width="6.85546875" style="595" customWidth="1"/>
    <col min="949" max="949" width="14.140625" style="595" customWidth="1"/>
    <col min="950" max="950" width="6.28515625" style="595" customWidth="1"/>
    <col min="951" max="951" width="14.140625" style="595" customWidth="1"/>
    <col min="952" max="952" width="5.85546875" style="595" customWidth="1"/>
    <col min="953" max="953" width="14.85546875" style="595" customWidth="1"/>
    <col min="954" max="954" width="6.85546875" style="595" customWidth="1"/>
    <col min="955" max="955" width="14.28515625" style="595" customWidth="1"/>
    <col min="956" max="956" width="7.28515625" style="595" customWidth="1"/>
    <col min="957" max="957" width="14.28515625" style="595" customWidth="1"/>
    <col min="958" max="958" width="6.42578125" style="595" customWidth="1"/>
    <col min="959" max="959" width="14" style="595" customWidth="1"/>
    <col min="960" max="960" width="7" style="595" customWidth="1"/>
    <col min="961" max="961" width="14" style="595" customWidth="1"/>
    <col min="962" max="962" width="6.42578125" style="595" customWidth="1"/>
    <col min="963" max="963" width="14.140625" style="595" customWidth="1"/>
    <col min="964" max="964" width="6.28515625" style="595" customWidth="1"/>
    <col min="965" max="965" width="14.140625" style="595" customWidth="1"/>
    <col min="966" max="966" width="7" style="595" customWidth="1"/>
    <col min="967" max="967" width="14.140625" style="595" customWidth="1"/>
    <col min="968" max="968" width="7.42578125" style="595" customWidth="1"/>
    <col min="969" max="969" width="14.5703125" style="595" customWidth="1"/>
    <col min="970" max="970" width="6.7109375" style="595" customWidth="1"/>
    <col min="971" max="971" width="14.140625" style="595" customWidth="1"/>
    <col min="972" max="972" width="7" style="595" customWidth="1"/>
    <col min="973" max="973" width="14.5703125" style="595" customWidth="1"/>
    <col min="974" max="974" width="7.42578125" style="595" customWidth="1"/>
    <col min="975" max="975" width="14.5703125" style="595" customWidth="1"/>
    <col min="976" max="976" width="6.42578125" style="595" customWidth="1"/>
    <col min="977" max="977" width="14.7109375" style="595" customWidth="1"/>
    <col min="978" max="978" width="6.85546875" style="595" customWidth="1"/>
    <col min="979" max="979" width="14.5703125" style="595" customWidth="1"/>
    <col min="980" max="980" width="7.140625" style="595" customWidth="1"/>
    <col min="981" max="981" width="14.5703125" style="595" customWidth="1"/>
    <col min="982" max="982" width="6.7109375" style="595" customWidth="1"/>
    <col min="983" max="983" width="14.140625" style="595" customWidth="1"/>
    <col min="984" max="984" width="5.85546875" style="595" customWidth="1"/>
    <col min="985" max="985" width="14" style="595" customWidth="1"/>
    <col min="986" max="986" width="8.28515625" style="595" customWidth="1"/>
    <col min="987" max="987" width="14.7109375" style="595" customWidth="1"/>
    <col min="988" max="988" width="7.140625" style="595" customWidth="1"/>
    <col min="989" max="989" width="14.7109375" style="595" customWidth="1"/>
    <col min="990" max="990" width="7.140625" style="595" customWidth="1"/>
    <col min="991" max="991" width="14" style="595" customWidth="1"/>
    <col min="992" max="992" width="6.42578125" style="595" customWidth="1"/>
    <col min="993" max="993" width="14" style="595" customWidth="1"/>
    <col min="994" max="994" width="6.28515625" style="595" customWidth="1"/>
    <col min="995" max="995" width="14.42578125" style="595" customWidth="1"/>
    <col min="996" max="996" width="6.28515625" style="595" customWidth="1"/>
    <col min="997" max="997" width="14.85546875" style="595" customWidth="1"/>
    <col min="998" max="998" width="7.28515625" style="595" customWidth="1"/>
    <col min="999" max="999" width="14.42578125" style="595" customWidth="1"/>
    <col min="1000" max="1000" width="7.28515625" style="595" customWidth="1"/>
    <col min="1001" max="1001" width="14.7109375" style="595" customWidth="1"/>
    <col min="1002" max="1002" width="6" style="595" customWidth="1"/>
    <col min="1003" max="1003" width="14.5703125" style="595" customWidth="1"/>
    <col min="1004" max="1004" width="6.42578125" style="595" customWidth="1"/>
    <col min="1005" max="1005" width="14.140625" style="595" customWidth="1"/>
    <col min="1006" max="1006" width="7.5703125" style="595" customWidth="1"/>
    <col min="1007" max="1007" width="14.5703125" style="595" customWidth="1"/>
    <col min="1008" max="1008" width="6.7109375" style="595" customWidth="1"/>
    <col min="1009" max="1009" width="15" style="595" customWidth="1"/>
    <col min="1010" max="1010" width="9.140625" style="595"/>
    <col min="1011" max="1011" width="14" style="595" customWidth="1"/>
    <col min="1012" max="1012" width="9.140625" style="595"/>
    <col min="1013" max="1013" width="14" style="595" customWidth="1"/>
    <col min="1014" max="1018" width="9.140625" style="595"/>
    <col min="1019" max="1019" width="41.28515625" style="595" customWidth="1"/>
    <col min="1020" max="1091" width="9.140625" style="595"/>
    <col min="1092" max="1092" width="21.140625" style="595" customWidth="1"/>
    <col min="1093" max="1093" width="7.28515625" style="595" customWidth="1"/>
    <col min="1094" max="1094" width="15" style="595" customWidth="1"/>
    <col min="1095" max="1095" width="23.28515625" style="595" customWidth="1"/>
    <col min="1096" max="1096" width="25.5703125" style="595" customWidth="1"/>
    <col min="1097" max="1097" width="7" style="595" bestFit="1" customWidth="1"/>
    <col min="1098" max="1098" width="6.42578125" style="595" bestFit="1" customWidth="1"/>
    <col min="1099" max="1099" width="7.85546875" style="595" customWidth="1"/>
    <col min="1100" max="1100" width="8.7109375" style="595" customWidth="1"/>
    <col min="1101" max="1101" width="7" style="595" bestFit="1" customWidth="1"/>
    <col min="1102" max="1102" width="6.42578125" style="595" bestFit="1" customWidth="1"/>
    <col min="1103" max="1103" width="6.85546875" style="595" customWidth="1"/>
    <col min="1104" max="1104" width="7.140625" style="595" customWidth="1"/>
    <col min="1105" max="1105" width="7" style="595" bestFit="1" customWidth="1"/>
    <col min="1106" max="1106" width="6.42578125" style="595" bestFit="1" customWidth="1"/>
    <col min="1107" max="1107" width="6" style="595" customWidth="1"/>
    <col min="1108" max="1108" width="9.7109375" style="595" customWidth="1"/>
    <col min="1109" max="1109" width="7" style="595" bestFit="1" customWidth="1"/>
    <col min="1110" max="1110" width="6.42578125" style="595" bestFit="1" customWidth="1"/>
    <col min="1111" max="1111" width="7.7109375" style="595" customWidth="1"/>
    <col min="1112" max="1116" width="7.28515625" style="595" customWidth="1"/>
    <col min="1117" max="1117" width="7" style="595" customWidth="1"/>
    <col min="1118" max="1119" width="5.140625" style="595" bestFit="1" customWidth="1"/>
    <col min="1120" max="1120" width="20.5703125" style="595" customWidth="1"/>
    <col min="1121" max="1121" width="8.85546875" style="595" customWidth="1"/>
    <col min="1122" max="1122" width="18.7109375" style="595" customWidth="1"/>
    <col min="1123" max="1123" width="9.7109375" style="595" customWidth="1"/>
    <col min="1124" max="1124" width="8.85546875" style="595" customWidth="1"/>
    <col min="1125" max="1125" width="10.7109375" style="595" customWidth="1"/>
    <col min="1126" max="1126" width="35.85546875" style="595" customWidth="1"/>
    <col min="1127" max="1127" width="18.7109375" style="595" customWidth="1"/>
    <col min="1128" max="1128" width="9.140625" style="595"/>
    <col min="1129" max="1129" width="9.28515625" style="595" bestFit="1" customWidth="1"/>
    <col min="1130" max="1130" width="9.140625" style="595"/>
    <col min="1131" max="1131" width="9" style="595" customWidth="1"/>
    <col min="1132" max="1132" width="9.5703125" style="595" customWidth="1"/>
    <col min="1133" max="1133" width="11.28515625" style="595" customWidth="1"/>
    <col min="1134" max="1134" width="9.140625" style="595"/>
    <col min="1135" max="1135" width="12.7109375" style="595" customWidth="1"/>
    <col min="1136" max="1136" width="9.140625" style="595"/>
    <col min="1137" max="1137" width="20.5703125" style="595" customWidth="1"/>
    <col min="1138" max="1138" width="15.7109375" style="595" customWidth="1"/>
    <col min="1139" max="1139" width="20.7109375" style="595" customWidth="1"/>
    <col min="1140" max="1140" width="18.28515625" style="595" customWidth="1"/>
    <col min="1141" max="1143" width="9.140625" style="595"/>
    <col min="1144" max="1144" width="13.5703125" style="595" customWidth="1"/>
    <col min="1145" max="1145" width="14.7109375" style="595" customWidth="1"/>
    <col min="1146" max="1146" width="7.28515625" style="595" customWidth="1"/>
    <col min="1147" max="1147" width="17.7109375" style="595" customWidth="1"/>
    <col min="1148" max="1148" width="13.5703125" style="595" customWidth="1"/>
    <col min="1149" max="1149" width="15.5703125" style="595" customWidth="1"/>
    <col min="1150" max="1150" width="16.28515625" style="595" customWidth="1"/>
    <col min="1151" max="1151" width="15.140625" style="595" customWidth="1"/>
    <col min="1152" max="1152" width="9.140625" style="595"/>
    <col min="1153" max="1153" width="14.140625" style="595" customWidth="1"/>
    <col min="1154" max="1154" width="6.5703125" style="595" customWidth="1"/>
    <col min="1155" max="1155" width="14.5703125" style="595" customWidth="1"/>
    <col min="1156" max="1156" width="6.42578125" style="595" customWidth="1"/>
    <col min="1157" max="1157" width="12.85546875" style="595" customWidth="1"/>
    <col min="1158" max="1158" width="7.85546875" style="595" customWidth="1"/>
    <col min="1159" max="1159" width="10.7109375" style="595" customWidth="1"/>
    <col min="1160" max="1160" width="7.140625" style="595" customWidth="1"/>
    <col min="1161" max="1161" width="11.85546875" style="595" customWidth="1"/>
    <col min="1162" max="1162" width="7.42578125" style="595" customWidth="1"/>
    <col min="1163" max="1163" width="12.140625" style="595" customWidth="1"/>
    <col min="1164" max="1164" width="8.42578125" style="595" customWidth="1"/>
    <col min="1165" max="1165" width="11.85546875" style="595" customWidth="1"/>
    <col min="1166" max="1166" width="6.85546875" style="595" customWidth="1"/>
    <col min="1167" max="1167" width="11.42578125" style="595" customWidth="1"/>
    <col min="1168" max="1168" width="9" style="595" customWidth="1"/>
    <col min="1169" max="1169" width="12.42578125" style="595" customWidth="1"/>
    <col min="1170" max="1170" width="5.85546875" style="595" customWidth="1"/>
    <col min="1171" max="1171" width="13.28515625" style="595" customWidth="1"/>
    <col min="1172" max="1172" width="8.85546875" style="595" customWidth="1"/>
    <col min="1173" max="1173" width="12" style="595" customWidth="1"/>
    <col min="1174" max="1174" width="7.5703125" style="595" customWidth="1"/>
    <col min="1175" max="1175" width="11.28515625" style="595" customWidth="1"/>
    <col min="1176" max="1176" width="6.5703125" style="595" customWidth="1"/>
    <col min="1177" max="1177" width="12.140625" style="595" customWidth="1"/>
    <col min="1178" max="1178" width="7.42578125" style="595" customWidth="1"/>
    <col min="1179" max="1179" width="12.42578125" style="595" customWidth="1"/>
    <col min="1180" max="1180" width="7.5703125" style="595" customWidth="1"/>
    <col min="1181" max="1181" width="11.28515625" style="595" customWidth="1"/>
    <col min="1182" max="1182" width="7.140625" style="595" customWidth="1"/>
    <col min="1183" max="1183" width="10.85546875" style="595" customWidth="1"/>
    <col min="1184" max="1184" width="6.140625" style="595" customWidth="1"/>
    <col min="1185" max="1185" width="10.7109375" style="595" customWidth="1"/>
    <col min="1186" max="1186" width="6.85546875" style="595" customWidth="1"/>
    <col min="1187" max="1187" width="10.7109375" style="595" customWidth="1"/>
    <col min="1188" max="1188" width="7" style="595" customWidth="1"/>
    <col min="1189" max="1189" width="11.85546875" style="595" customWidth="1"/>
    <col min="1190" max="1190" width="7.42578125" style="595" customWidth="1"/>
    <col min="1191" max="1191" width="10.7109375" style="595" customWidth="1"/>
    <col min="1192" max="1192" width="8.42578125" style="595" customWidth="1"/>
    <col min="1193" max="1193" width="11.140625" style="595" customWidth="1"/>
    <col min="1194" max="1194" width="8" style="595" customWidth="1"/>
    <col min="1195" max="1195" width="10.85546875" style="595" customWidth="1"/>
    <col min="1196" max="1196" width="7.5703125" style="595" customWidth="1"/>
    <col min="1197" max="1197" width="14.28515625" style="595" customWidth="1"/>
    <col min="1198" max="1198" width="6.5703125" style="595" customWidth="1"/>
    <col min="1199" max="1199" width="14.140625" style="595" customWidth="1"/>
    <col min="1200" max="1200" width="6.5703125" style="595" customWidth="1"/>
    <col min="1201" max="1201" width="14.28515625" style="595" customWidth="1"/>
    <col min="1202" max="1202" width="7.85546875" style="595" customWidth="1"/>
    <col min="1203" max="1203" width="14.140625" style="595" customWidth="1"/>
    <col min="1204" max="1204" width="6.85546875" style="595" customWidth="1"/>
    <col min="1205" max="1205" width="14.140625" style="595" customWidth="1"/>
    <col min="1206" max="1206" width="6.28515625" style="595" customWidth="1"/>
    <col min="1207" max="1207" width="14.140625" style="595" customWidth="1"/>
    <col min="1208" max="1208" width="5.85546875" style="595" customWidth="1"/>
    <col min="1209" max="1209" width="14.85546875" style="595" customWidth="1"/>
    <col min="1210" max="1210" width="6.85546875" style="595" customWidth="1"/>
    <col min="1211" max="1211" width="14.28515625" style="595" customWidth="1"/>
    <col min="1212" max="1212" width="7.28515625" style="595" customWidth="1"/>
    <col min="1213" max="1213" width="14.28515625" style="595" customWidth="1"/>
    <col min="1214" max="1214" width="6.42578125" style="595" customWidth="1"/>
    <col min="1215" max="1215" width="14" style="595" customWidth="1"/>
    <col min="1216" max="1216" width="7" style="595" customWidth="1"/>
    <col min="1217" max="1217" width="14" style="595" customWidth="1"/>
    <col min="1218" max="1218" width="6.42578125" style="595" customWidth="1"/>
    <col min="1219" max="1219" width="14.140625" style="595" customWidth="1"/>
    <col min="1220" max="1220" width="6.28515625" style="595" customWidth="1"/>
    <col min="1221" max="1221" width="14.140625" style="595" customWidth="1"/>
    <col min="1222" max="1222" width="7" style="595" customWidth="1"/>
    <col min="1223" max="1223" width="14.140625" style="595" customWidth="1"/>
    <col min="1224" max="1224" width="7.42578125" style="595" customWidth="1"/>
    <col min="1225" max="1225" width="14.5703125" style="595" customWidth="1"/>
    <col min="1226" max="1226" width="6.7109375" style="595" customWidth="1"/>
    <col min="1227" max="1227" width="14.140625" style="595" customWidth="1"/>
    <col min="1228" max="1228" width="7" style="595" customWidth="1"/>
    <col min="1229" max="1229" width="14.5703125" style="595" customWidth="1"/>
    <col min="1230" max="1230" width="7.42578125" style="595" customWidth="1"/>
    <col min="1231" max="1231" width="14.5703125" style="595" customWidth="1"/>
    <col min="1232" max="1232" width="6.42578125" style="595" customWidth="1"/>
    <col min="1233" max="1233" width="14.7109375" style="595" customWidth="1"/>
    <col min="1234" max="1234" width="6.85546875" style="595" customWidth="1"/>
    <col min="1235" max="1235" width="14.5703125" style="595" customWidth="1"/>
    <col min="1236" max="1236" width="7.140625" style="595" customWidth="1"/>
    <col min="1237" max="1237" width="14.5703125" style="595" customWidth="1"/>
    <col min="1238" max="1238" width="6.7109375" style="595" customWidth="1"/>
    <col min="1239" max="1239" width="14.140625" style="595" customWidth="1"/>
    <col min="1240" max="1240" width="5.85546875" style="595" customWidth="1"/>
    <col min="1241" max="1241" width="14" style="595" customWidth="1"/>
    <col min="1242" max="1242" width="8.28515625" style="595" customWidth="1"/>
    <col min="1243" max="1243" width="14.7109375" style="595" customWidth="1"/>
    <col min="1244" max="1244" width="7.140625" style="595" customWidth="1"/>
    <col min="1245" max="1245" width="14.7109375" style="595" customWidth="1"/>
    <col min="1246" max="1246" width="7.140625" style="595" customWidth="1"/>
    <col min="1247" max="1247" width="14" style="595" customWidth="1"/>
    <col min="1248" max="1248" width="6.42578125" style="595" customWidth="1"/>
    <col min="1249" max="1249" width="14" style="595" customWidth="1"/>
    <col min="1250" max="1250" width="6.28515625" style="595" customWidth="1"/>
    <col min="1251" max="1251" width="14.42578125" style="595" customWidth="1"/>
    <col min="1252" max="1252" width="6.28515625" style="595" customWidth="1"/>
    <col min="1253" max="1253" width="14.85546875" style="595" customWidth="1"/>
    <col min="1254" max="1254" width="7.28515625" style="595" customWidth="1"/>
    <col min="1255" max="1255" width="14.42578125" style="595" customWidth="1"/>
    <col min="1256" max="1256" width="7.28515625" style="595" customWidth="1"/>
    <col min="1257" max="1257" width="14.7109375" style="595" customWidth="1"/>
    <col min="1258" max="1258" width="6" style="595" customWidth="1"/>
    <col min="1259" max="1259" width="14.5703125" style="595" customWidth="1"/>
    <col min="1260" max="1260" width="6.42578125" style="595" customWidth="1"/>
    <col min="1261" max="1261" width="14.140625" style="595" customWidth="1"/>
    <col min="1262" max="1262" width="7.5703125" style="595" customWidth="1"/>
    <col min="1263" max="1263" width="14.5703125" style="595" customWidth="1"/>
    <col min="1264" max="1264" width="6.7109375" style="595" customWidth="1"/>
    <col min="1265" max="1265" width="15" style="595" customWidth="1"/>
    <col min="1266" max="1266" width="9.140625" style="595"/>
    <col min="1267" max="1267" width="14" style="595" customWidth="1"/>
    <col min="1268" max="1268" width="9.140625" style="595"/>
    <col min="1269" max="1269" width="14" style="595" customWidth="1"/>
    <col min="1270" max="1274" width="9.140625" style="595"/>
    <col min="1275" max="1275" width="41.28515625" style="595" customWidth="1"/>
    <col min="1276" max="1347" width="9.140625" style="595"/>
    <col min="1348" max="1348" width="21.140625" style="595" customWidth="1"/>
    <col min="1349" max="1349" width="7.28515625" style="595" customWidth="1"/>
    <col min="1350" max="1350" width="15" style="595" customWidth="1"/>
    <col min="1351" max="1351" width="23.28515625" style="595" customWidth="1"/>
    <col min="1352" max="1352" width="25.5703125" style="595" customWidth="1"/>
    <col min="1353" max="1353" width="7" style="595" bestFit="1" customWidth="1"/>
    <col min="1354" max="1354" width="6.42578125" style="595" bestFit="1" customWidth="1"/>
    <col min="1355" max="1355" width="7.85546875" style="595" customWidth="1"/>
    <col min="1356" max="1356" width="8.7109375" style="595" customWidth="1"/>
    <col min="1357" max="1357" width="7" style="595" bestFit="1" customWidth="1"/>
    <col min="1358" max="1358" width="6.42578125" style="595" bestFit="1" customWidth="1"/>
    <col min="1359" max="1359" width="6.85546875" style="595" customWidth="1"/>
    <col min="1360" max="1360" width="7.140625" style="595" customWidth="1"/>
    <col min="1361" max="1361" width="7" style="595" bestFit="1" customWidth="1"/>
    <col min="1362" max="1362" width="6.42578125" style="595" bestFit="1" customWidth="1"/>
    <col min="1363" max="1363" width="6" style="595" customWidth="1"/>
    <col min="1364" max="1364" width="9.7109375" style="595" customWidth="1"/>
    <col min="1365" max="1365" width="7" style="595" bestFit="1" customWidth="1"/>
    <col min="1366" max="1366" width="6.42578125" style="595" bestFit="1" customWidth="1"/>
    <col min="1367" max="1367" width="7.7109375" style="595" customWidth="1"/>
    <col min="1368" max="1372" width="7.28515625" style="595" customWidth="1"/>
    <col min="1373" max="1373" width="7" style="595" customWidth="1"/>
    <col min="1374" max="1375" width="5.140625" style="595" bestFit="1" customWidth="1"/>
    <col min="1376" max="1376" width="20.5703125" style="595" customWidth="1"/>
    <col min="1377" max="1377" width="8.85546875" style="595" customWidth="1"/>
    <col min="1378" max="1378" width="18.7109375" style="595" customWidth="1"/>
    <col min="1379" max="1379" width="9.7109375" style="595" customWidth="1"/>
    <col min="1380" max="1380" width="8.85546875" style="595" customWidth="1"/>
    <col min="1381" max="1381" width="10.7109375" style="595" customWidth="1"/>
    <col min="1382" max="1382" width="35.85546875" style="595" customWidth="1"/>
    <col min="1383" max="1383" width="18.7109375" style="595" customWidth="1"/>
    <col min="1384" max="1384" width="9.140625" style="595"/>
    <col min="1385" max="1385" width="9.28515625" style="595" bestFit="1" customWidth="1"/>
    <col min="1386" max="1386" width="9.140625" style="595"/>
    <col min="1387" max="1387" width="9" style="595" customWidth="1"/>
    <col min="1388" max="1388" width="9.5703125" style="595" customWidth="1"/>
    <col min="1389" max="1389" width="11.28515625" style="595" customWidth="1"/>
    <col min="1390" max="1390" width="9.140625" style="595"/>
    <col min="1391" max="1391" width="12.7109375" style="595" customWidth="1"/>
    <col min="1392" max="1392" width="9.140625" style="595"/>
    <col min="1393" max="1393" width="20.5703125" style="595" customWidth="1"/>
    <col min="1394" max="1394" width="15.7109375" style="595" customWidth="1"/>
    <col min="1395" max="1395" width="20.7109375" style="595" customWidth="1"/>
    <col min="1396" max="1396" width="18.28515625" style="595" customWidth="1"/>
    <col min="1397" max="1399" width="9.140625" style="595"/>
    <col min="1400" max="1400" width="13.5703125" style="595" customWidth="1"/>
    <col min="1401" max="1401" width="14.7109375" style="595" customWidth="1"/>
    <col min="1402" max="1402" width="7.28515625" style="595" customWidth="1"/>
    <col min="1403" max="1403" width="17.7109375" style="595" customWidth="1"/>
    <col min="1404" max="1404" width="13.5703125" style="595" customWidth="1"/>
    <col min="1405" max="1405" width="15.5703125" style="595" customWidth="1"/>
    <col min="1406" max="1406" width="16.28515625" style="595" customWidth="1"/>
    <col min="1407" max="1407" width="15.140625" style="595" customWidth="1"/>
    <col min="1408" max="1408" width="9.140625" style="595"/>
    <col min="1409" max="1409" width="14.140625" style="595" customWidth="1"/>
    <col min="1410" max="1410" width="6.5703125" style="595" customWidth="1"/>
    <col min="1411" max="1411" width="14.5703125" style="595" customWidth="1"/>
    <col min="1412" max="1412" width="6.42578125" style="595" customWidth="1"/>
    <col min="1413" max="1413" width="12.85546875" style="595" customWidth="1"/>
    <col min="1414" max="1414" width="7.85546875" style="595" customWidth="1"/>
    <col min="1415" max="1415" width="10.7109375" style="595" customWidth="1"/>
    <col min="1416" max="1416" width="7.140625" style="595" customWidth="1"/>
    <col min="1417" max="1417" width="11.85546875" style="595" customWidth="1"/>
    <col min="1418" max="1418" width="7.42578125" style="595" customWidth="1"/>
    <col min="1419" max="1419" width="12.140625" style="595" customWidth="1"/>
    <col min="1420" max="1420" width="8.42578125" style="595" customWidth="1"/>
    <col min="1421" max="1421" width="11.85546875" style="595" customWidth="1"/>
    <col min="1422" max="1422" width="6.85546875" style="595" customWidth="1"/>
    <col min="1423" max="1423" width="11.42578125" style="595" customWidth="1"/>
    <col min="1424" max="1424" width="9" style="595" customWidth="1"/>
    <col min="1425" max="1425" width="12.42578125" style="595" customWidth="1"/>
    <col min="1426" max="1426" width="5.85546875" style="595" customWidth="1"/>
    <col min="1427" max="1427" width="13.28515625" style="595" customWidth="1"/>
    <col min="1428" max="1428" width="8.85546875" style="595" customWidth="1"/>
    <col min="1429" max="1429" width="12" style="595" customWidth="1"/>
    <col min="1430" max="1430" width="7.5703125" style="595" customWidth="1"/>
    <col min="1431" max="1431" width="11.28515625" style="595" customWidth="1"/>
    <col min="1432" max="1432" width="6.5703125" style="595" customWidth="1"/>
    <col min="1433" max="1433" width="12.140625" style="595" customWidth="1"/>
    <col min="1434" max="1434" width="7.42578125" style="595" customWidth="1"/>
    <col min="1435" max="1435" width="12.42578125" style="595" customWidth="1"/>
    <col min="1436" max="1436" width="7.5703125" style="595" customWidth="1"/>
    <col min="1437" max="1437" width="11.28515625" style="595" customWidth="1"/>
    <col min="1438" max="1438" width="7.140625" style="595" customWidth="1"/>
    <col min="1439" max="1439" width="10.85546875" style="595" customWidth="1"/>
    <col min="1440" max="1440" width="6.140625" style="595" customWidth="1"/>
    <col min="1441" max="1441" width="10.7109375" style="595" customWidth="1"/>
    <col min="1442" max="1442" width="6.85546875" style="595" customWidth="1"/>
    <col min="1443" max="1443" width="10.7109375" style="595" customWidth="1"/>
    <col min="1444" max="1444" width="7" style="595" customWidth="1"/>
    <col min="1445" max="1445" width="11.85546875" style="595" customWidth="1"/>
    <col min="1446" max="1446" width="7.42578125" style="595" customWidth="1"/>
    <col min="1447" max="1447" width="10.7109375" style="595" customWidth="1"/>
    <col min="1448" max="1448" width="8.42578125" style="595" customWidth="1"/>
    <col min="1449" max="1449" width="11.140625" style="595" customWidth="1"/>
    <col min="1450" max="1450" width="8" style="595" customWidth="1"/>
    <col min="1451" max="1451" width="10.85546875" style="595" customWidth="1"/>
    <col min="1452" max="1452" width="7.5703125" style="595" customWidth="1"/>
    <col min="1453" max="1453" width="14.28515625" style="595" customWidth="1"/>
    <col min="1454" max="1454" width="6.5703125" style="595" customWidth="1"/>
    <col min="1455" max="1455" width="14.140625" style="595" customWidth="1"/>
    <col min="1456" max="1456" width="6.5703125" style="595" customWidth="1"/>
    <col min="1457" max="1457" width="14.28515625" style="595" customWidth="1"/>
    <col min="1458" max="1458" width="7.85546875" style="595" customWidth="1"/>
    <col min="1459" max="1459" width="14.140625" style="595" customWidth="1"/>
    <col min="1460" max="1460" width="6.85546875" style="595" customWidth="1"/>
    <col min="1461" max="1461" width="14.140625" style="595" customWidth="1"/>
    <col min="1462" max="1462" width="6.28515625" style="595" customWidth="1"/>
    <col min="1463" max="1463" width="14.140625" style="595" customWidth="1"/>
    <col min="1464" max="1464" width="5.85546875" style="595" customWidth="1"/>
    <col min="1465" max="1465" width="14.85546875" style="595" customWidth="1"/>
    <col min="1466" max="1466" width="6.85546875" style="595" customWidth="1"/>
    <col min="1467" max="1467" width="14.28515625" style="595" customWidth="1"/>
    <col min="1468" max="1468" width="7.28515625" style="595" customWidth="1"/>
    <col min="1469" max="1469" width="14.28515625" style="595" customWidth="1"/>
    <col min="1470" max="1470" width="6.42578125" style="595" customWidth="1"/>
    <col min="1471" max="1471" width="14" style="595" customWidth="1"/>
    <col min="1472" max="1472" width="7" style="595" customWidth="1"/>
    <col min="1473" max="1473" width="14" style="595" customWidth="1"/>
    <col min="1474" max="1474" width="6.42578125" style="595" customWidth="1"/>
    <col min="1475" max="1475" width="14.140625" style="595" customWidth="1"/>
    <col min="1476" max="1476" width="6.28515625" style="595" customWidth="1"/>
    <col min="1477" max="1477" width="14.140625" style="595" customWidth="1"/>
    <col min="1478" max="1478" width="7" style="595" customWidth="1"/>
    <col min="1479" max="1479" width="14.140625" style="595" customWidth="1"/>
    <col min="1480" max="1480" width="7.42578125" style="595" customWidth="1"/>
    <col min="1481" max="1481" width="14.5703125" style="595" customWidth="1"/>
    <col min="1482" max="1482" width="6.7109375" style="595" customWidth="1"/>
    <col min="1483" max="1483" width="14.140625" style="595" customWidth="1"/>
    <col min="1484" max="1484" width="7" style="595" customWidth="1"/>
    <col min="1485" max="1485" width="14.5703125" style="595" customWidth="1"/>
    <col min="1486" max="1486" width="7.42578125" style="595" customWidth="1"/>
    <col min="1487" max="1487" width="14.5703125" style="595" customWidth="1"/>
    <col min="1488" max="1488" width="6.42578125" style="595" customWidth="1"/>
    <col min="1489" max="1489" width="14.7109375" style="595" customWidth="1"/>
    <col min="1490" max="1490" width="6.85546875" style="595" customWidth="1"/>
    <col min="1491" max="1491" width="14.5703125" style="595" customWidth="1"/>
    <col min="1492" max="1492" width="7.140625" style="595" customWidth="1"/>
    <col min="1493" max="1493" width="14.5703125" style="595" customWidth="1"/>
    <col min="1494" max="1494" width="6.7109375" style="595" customWidth="1"/>
    <col min="1495" max="1495" width="14.140625" style="595" customWidth="1"/>
    <col min="1496" max="1496" width="5.85546875" style="595" customWidth="1"/>
    <col min="1497" max="1497" width="14" style="595" customWidth="1"/>
    <col min="1498" max="1498" width="8.28515625" style="595" customWidth="1"/>
    <col min="1499" max="1499" width="14.7109375" style="595" customWidth="1"/>
    <col min="1500" max="1500" width="7.140625" style="595" customWidth="1"/>
    <col min="1501" max="1501" width="14.7109375" style="595" customWidth="1"/>
    <col min="1502" max="1502" width="7.140625" style="595" customWidth="1"/>
    <col min="1503" max="1503" width="14" style="595" customWidth="1"/>
    <col min="1504" max="1504" width="6.42578125" style="595" customWidth="1"/>
    <col min="1505" max="1505" width="14" style="595" customWidth="1"/>
    <col min="1506" max="1506" width="6.28515625" style="595" customWidth="1"/>
    <col min="1507" max="1507" width="14.42578125" style="595" customWidth="1"/>
    <col min="1508" max="1508" width="6.28515625" style="595" customWidth="1"/>
    <col min="1509" max="1509" width="14.85546875" style="595" customWidth="1"/>
    <col min="1510" max="1510" width="7.28515625" style="595" customWidth="1"/>
    <col min="1511" max="1511" width="14.42578125" style="595" customWidth="1"/>
    <col min="1512" max="1512" width="7.28515625" style="595" customWidth="1"/>
    <col min="1513" max="1513" width="14.7109375" style="595" customWidth="1"/>
    <col min="1514" max="1514" width="6" style="595" customWidth="1"/>
    <col min="1515" max="1515" width="14.5703125" style="595" customWidth="1"/>
    <col min="1516" max="1516" width="6.42578125" style="595" customWidth="1"/>
    <col min="1517" max="1517" width="14.140625" style="595" customWidth="1"/>
    <col min="1518" max="1518" width="7.5703125" style="595" customWidth="1"/>
    <col min="1519" max="1519" width="14.5703125" style="595" customWidth="1"/>
    <col min="1520" max="1520" width="6.7109375" style="595" customWidth="1"/>
    <col min="1521" max="1521" width="15" style="595" customWidth="1"/>
    <col min="1522" max="1522" width="9.140625" style="595"/>
    <col min="1523" max="1523" width="14" style="595" customWidth="1"/>
    <col min="1524" max="1524" width="9.140625" style="595"/>
    <col min="1525" max="1525" width="14" style="595" customWidth="1"/>
    <col min="1526" max="1530" width="9.140625" style="595"/>
    <col min="1531" max="1531" width="41.28515625" style="595" customWidth="1"/>
    <col min="1532" max="1603" width="9.140625" style="595"/>
    <col min="1604" max="1604" width="21.140625" style="595" customWidth="1"/>
    <col min="1605" max="1605" width="7.28515625" style="595" customWidth="1"/>
    <col min="1606" max="1606" width="15" style="595" customWidth="1"/>
    <col min="1607" max="1607" width="23.28515625" style="595" customWidth="1"/>
    <col min="1608" max="1608" width="25.5703125" style="595" customWidth="1"/>
    <col min="1609" max="1609" width="7" style="595" bestFit="1" customWidth="1"/>
    <col min="1610" max="1610" width="6.42578125" style="595" bestFit="1" customWidth="1"/>
    <col min="1611" max="1611" width="7.85546875" style="595" customWidth="1"/>
    <col min="1612" max="1612" width="8.7109375" style="595" customWidth="1"/>
    <col min="1613" max="1613" width="7" style="595" bestFit="1" customWidth="1"/>
    <col min="1614" max="1614" width="6.42578125" style="595" bestFit="1" customWidth="1"/>
    <col min="1615" max="1615" width="6.85546875" style="595" customWidth="1"/>
    <col min="1616" max="1616" width="7.140625" style="595" customWidth="1"/>
    <col min="1617" max="1617" width="7" style="595" bestFit="1" customWidth="1"/>
    <col min="1618" max="1618" width="6.42578125" style="595" bestFit="1" customWidth="1"/>
    <col min="1619" max="1619" width="6" style="595" customWidth="1"/>
    <col min="1620" max="1620" width="9.7109375" style="595" customWidth="1"/>
    <col min="1621" max="1621" width="7" style="595" bestFit="1" customWidth="1"/>
    <col min="1622" max="1622" width="6.42578125" style="595" bestFit="1" customWidth="1"/>
    <col min="1623" max="1623" width="7.7109375" style="595" customWidth="1"/>
    <col min="1624" max="1628" width="7.28515625" style="595" customWidth="1"/>
    <col min="1629" max="1629" width="7" style="595" customWidth="1"/>
    <col min="1630" max="1631" width="5.140625" style="595" bestFit="1" customWidth="1"/>
    <col min="1632" max="1632" width="20.5703125" style="595" customWidth="1"/>
    <col min="1633" max="1633" width="8.85546875" style="595" customWidth="1"/>
    <col min="1634" max="1634" width="18.7109375" style="595" customWidth="1"/>
    <col min="1635" max="1635" width="9.7109375" style="595" customWidth="1"/>
    <col min="1636" max="1636" width="8.85546875" style="595" customWidth="1"/>
    <col min="1637" max="1637" width="10.7109375" style="595" customWidth="1"/>
    <col min="1638" max="1638" width="35.85546875" style="595" customWidth="1"/>
    <col min="1639" max="1639" width="18.7109375" style="595" customWidth="1"/>
    <col min="1640" max="1640" width="9.140625" style="595"/>
    <col min="1641" max="1641" width="9.28515625" style="595" bestFit="1" customWidth="1"/>
    <col min="1642" max="1642" width="9.140625" style="595"/>
    <col min="1643" max="1643" width="9" style="595" customWidth="1"/>
    <col min="1644" max="1644" width="9.5703125" style="595" customWidth="1"/>
    <col min="1645" max="1645" width="11.28515625" style="595" customWidth="1"/>
    <col min="1646" max="1646" width="9.140625" style="595"/>
    <col min="1647" max="1647" width="12.7109375" style="595" customWidth="1"/>
    <col min="1648" max="1648" width="9.140625" style="595"/>
    <col min="1649" max="1649" width="20.5703125" style="595" customWidth="1"/>
    <col min="1650" max="1650" width="15.7109375" style="595" customWidth="1"/>
    <col min="1651" max="1651" width="20.7109375" style="595" customWidth="1"/>
    <col min="1652" max="1652" width="18.28515625" style="595" customWidth="1"/>
    <col min="1653" max="1655" width="9.140625" style="595"/>
    <col min="1656" max="1656" width="13.5703125" style="595" customWidth="1"/>
    <col min="1657" max="1657" width="14.7109375" style="595" customWidth="1"/>
    <col min="1658" max="1658" width="7.28515625" style="595" customWidth="1"/>
    <col min="1659" max="1659" width="17.7109375" style="595" customWidth="1"/>
    <col min="1660" max="1660" width="13.5703125" style="595" customWidth="1"/>
    <col min="1661" max="1661" width="15.5703125" style="595" customWidth="1"/>
    <col min="1662" max="1662" width="16.28515625" style="595" customWidth="1"/>
    <col min="1663" max="1663" width="15.140625" style="595" customWidth="1"/>
    <col min="1664" max="1664" width="9.140625" style="595"/>
    <col min="1665" max="1665" width="14.140625" style="595" customWidth="1"/>
    <col min="1666" max="1666" width="6.5703125" style="595" customWidth="1"/>
    <col min="1667" max="1667" width="14.5703125" style="595" customWidth="1"/>
    <col min="1668" max="1668" width="6.42578125" style="595" customWidth="1"/>
    <col min="1669" max="1669" width="12.85546875" style="595" customWidth="1"/>
    <col min="1670" max="1670" width="7.85546875" style="595" customWidth="1"/>
    <col min="1671" max="1671" width="10.7109375" style="595" customWidth="1"/>
    <col min="1672" max="1672" width="7.140625" style="595" customWidth="1"/>
    <col min="1673" max="1673" width="11.85546875" style="595" customWidth="1"/>
    <col min="1674" max="1674" width="7.42578125" style="595" customWidth="1"/>
    <col min="1675" max="1675" width="12.140625" style="595" customWidth="1"/>
    <col min="1676" max="1676" width="8.42578125" style="595" customWidth="1"/>
    <col min="1677" max="1677" width="11.85546875" style="595" customWidth="1"/>
    <col min="1678" max="1678" width="6.85546875" style="595" customWidth="1"/>
    <col min="1679" max="1679" width="11.42578125" style="595" customWidth="1"/>
    <col min="1680" max="1680" width="9" style="595" customWidth="1"/>
    <col min="1681" max="1681" width="12.42578125" style="595" customWidth="1"/>
    <col min="1682" max="1682" width="5.85546875" style="595" customWidth="1"/>
    <col min="1683" max="1683" width="13.28515625" style="595" customWidth="1"/>
    <col min="1684" max="1684" width="8.85546875" style="595" customWidth="1"/>
    <col min="1685" max="1685" width="12" style="595" customWidth="1"/>
    <col min="1686" max="1686" width="7.5703125" style="595" customWidth="1"/>
    <col min="1687" max="1687" width="11.28515625" style="595" customWidth="1"/>
    <col min="1688" max="1688" width="6.5703125" style="595" customWidth="1"/>
    <col min="1689" max="1689" width="12.140625" style="595" customWidth="1"/>
    <col min="1690" max="1690" width="7.42578125" style="595" customWidth="1"/>
    <col min="1691" max="1691" width="12.42578125" style="595" customWidth="1"/>
    <col min="1692" max="1692" width="7.5703125" style="595" customWidth="1"/>
    <col min="1693" max="1693" width="11.28515625" style="595" customWidth="1"/>
    <col min="1694" max="1694" width="7.140625" style="595" customWidth="1"/>
    <col min="1695" max="1695" width="10.85546875" style="595" customWidth="1"/>
    <col min="1696" max="1696" width="6.140625" style="595" customWidth="1"/>
    <col min="1697" max="1697" width="10.7109375" style="595" customWidth="1"/>
    <col min="1698" max="1698" width="6.85546875" style="595" customWidth="1"/>
    <col min="1699" max="1699" width="10.7109375" style="595" customWidth="1"/>
    <col min="1700" max="1700" width="7" style="595" customWidth="1"/>
    <col min="1701" max="1701" width="11.85546875" style="595" customWidth="1"/>
    <col min="1702" max="1702" width="7.42578125" style="595" customWidth="1"/>
    <col min="1703" max="1703" width="10.7109375" style="595" customWidth="1"/>
    <col min="1704" max="1704" width="8.42578125" style="595" customWidth="1"/>
    <col min="1705" max="1705" width="11.140625" style="595" customWidth="1"/>
    <col min="1706" max="1706" width="8" style="595" customWidth="1"/>
    <col min="1707" max="1707" width="10.85546875" style="595" customWidth="1"/>
    <col min="1708" max="1708" width="7.5703125" style="595" customWidth="1"/>
    <col min="1709" max="1709" width="14.28515625" style="595" customWidth="1"/>
    <col min="1710" max="1710" width="6.5703125" style="595" customWidth="1"/>
    <col min="1711" max="1711" width="14.140625" style="595" customWidth="1"/>
    <col min="1712" max="1712" width="6.5703125" style="595" customWidth="1"/>
    <col min="1713" max="1713" width="14.28515625" style="595" customWidth="1"/>
    <col min="1714" max="1714" width="7.85546875" style="595" customWidth="1"/>
    <col min="1715" max="1715" width="14.140625" style="595" customWidth="1"/>
    <col min="1716" max="1716" width="6.85546875" style="595" customWidth="1"/>
    <col min="1717" max="1717" width="14.140625" style="595" customWidth="1"/>
    <col min="1718" max="1718" width="6.28515625" style="595" customWidth="1"/>
    <col min="1719" max="1719" width="14.140625" style="595" customWidth="1"/>
    <col min="1720" max="1720" width="5.85546875" style="595" customWidth="1"/>
    <col min="1721" max="1721" width="14.85546875" style="595" customWidth="1"/>
    <col min="1722" max="1722" width="6.85546875" style="595" customWidth="1"/>
    <col min="1723" max="1723" width="14.28515625" style="595" customWidth="1"/>
    <col min="1724" max="1724" width="7.28515625" style="595" customWidth="1"/>
    <col min="1725" max="1725" width="14.28515625" style="595" customWidth="1"/>
    <col min="1726" max="1726" width="6.42578125" style="595" customWidth="1"/>
    <col min="1727" max="1727" width="14" style="595" customWidth="1"/>
    <col min="1728" max="1728" width="7" style="595" customWidth="1"/>
    <col min="1729" max="1729" width="14" style="595" customWidth="1"/>
    <col min="1730" max="1730" width="6.42578125" style="595" customWidth="1"/>
    <col min="1731" max="1731" width="14.140625" style="595" customWidth="1"/>
    <col min="1732" max="1732" width="6.28515625" style="595" customWidth="1"/>
    <col min="1733" max="1733" width="14.140625" style="595" customWidth="1"/>
    <col min="1734" max="1734" width="7" style="595" customWidth="1"/>
    <col min="1735" max="1735" width="14.140625" style="595" customWidth="1"/>
    <col min="1736" max="1736" width="7.42578125" style="595" customWidth="1"/>
    <col min="1737" max="1737" width="14.5703125" style="595" customWidth="1"/>
    <col min="1738" max="1738" width="6.7109375" style="595" customWidth="1"/>
    <col min="1739" max="1739" width="14.140625" style="595" customWidth="1"/>
    <col min="1740" max="1740" width="7" style="595" customWidth="1"/>
    <col min="1741" max="1741" width="14.5703125" style="595" customWidth="1"/>
    <col min="1742" max="1742" width="7.42578125" style="595" customWidth="1"/>
    <col min="1743" max="1743" width="14.5703125" style="595" customWidth="1"/>
    <col min="1744" max="1744" width="6.42578125" style="595" customWidth="1"/>
    <col min="1745" max="1745" width="14.7109375" style="595" customWidth="1"/>
    <col min="1746" max="1746" width="6.85546875" style="595" customWidth="1"/>
    <col min="1747" max="1747" width="14.5703125" style="595" customWidth="1"/>
    <col min="1748" max="1748" width="7.140625" style="595" customWidth="1"/>
    <col min="1749" max="1749" width="14.5703125" style="595" customWidth="1"/>
    <col min="1750" max="1750" width="6.7109375" style="595" customWidth="1"/>
    <col min="1751" max="1751" width="14.140625" style="595" customWidth="1"/>
    <col min="1752" max="1752" width="5.85546875" style="595" customWidth="1"/>
    <col min="1753" max="1753" width="14" style="595" customWidth="1"/>
    <col min="1754" max="1754" width="8.28515625" style="595" customWidth="1"/>
    <col min="1755" max="1755" width="14.7109375" style="595" customWidth="1"/>
    <col min="1756" max="1756" width="7.140625" style="595" customWidth="1"/>
    <col min="1757" max="1757" width="14.7109375" style="595" customWidth="1"/>
    <col min="1758" max="1758" width="7.140625" style="595" customWidth="1"/>
    <col min="1759" max="1759" width="14" style="595" customWidth="1"/>
    <col min="1760" max="1760" width="6.42578125" style="595" customWidth="1"/>
    <col min="1761" max="1761" width="14" style="595" customWidth="1"/>
    <col min="1762" max="1762" width="6.28515625" style="595" customWidth="1"/>
    <col min="1763" max="1763" width="14.42578125" style="595" customWidth="1"/>
    <col min="1764" max="1764" width="6.28515625" style="595" customWidth="1"/>
    <col min="1765" max="1765" width="14.85546875" style="595" customWidth="1"/>
    <col min="1766" max="1766" width="7.28515625" style="595" customWidth="1"/>
    <col min="1767" max="1767" width="14.42578125" style="595" customWidth="1"/>
    <col min="1768" max="1768" width="7.28515625" style="595" customWidth="1"/>
    <col min="1769" max="1769" width="14.7109375" style="595" customWidth="1"/>
    <col min="1770" max="1770" width="6" style="595" customWidth="1"/>
    <col min="1771" max="1771" width="14.5703125" style="595" customWidth="1"/>
    <col min="1772" max="1772" width="6.42578125" style="595" customWidth="1"/>
    <col min="1773" max="1773" width="14.140625" style="595" customWidth="1"/>
    <col min="1774" max="1774" width="7.5703125" style="595" customWidth="1"/>
    <col min="1775" max="1775" width="14.5703125" style="595" customWidth="1"/>
    <col min="1776" max="1776" width="6.7109375" style="595" customWidth="1"/>
    <col min="1777" max="1777" width="15" style="595" customWidth="1"/>
    <col min="1778" max="1778" width="9.140625" style="595"/>
    <col min="1779" max="1779" width="14" style="595" customWidth="1"/>
    <col min="1780" max="1780" width="9.140625" style="595"/>
    <col min="1781" max="1781" width="14" style="595" customWidth="1"/>
    <col min="1782" max="1786" width="9.140625" style="595"/>
    <col min="1787" max="1787" width="41.28515625" style="595" customWidth="1"/>
    <col min="1788" max="1859" width="9.140625" style="595"/>
    <col min="1860" max="1860" width="21.140625" style="595" customWidth="1"/>
    <col min="1861" max="1861" width="7.28515625" style="595" customWidth="1"/>
    <col min="1862" max="1862" width="15" style="595" customWidth="1"/>
    <col min="1863" max="1863" width="23.28515625" style="595" customWidth="1"/>
    <col min="1864" max="1864" width="25.5703125" style="595" customWidth="1"/>
    <col min="1865" max="1865" width="7" style="595" bestFit="1" customWidth="1"/>
    <col min="1866" max="1866" width="6.42578125" style="595" bestFit="1" customWidth="1"/>
    <col min="1867" max="1867" width="7.85546875" style="595" customWidth="1"/>
    <col min="1868" max="1868" width="8.7109375" style="595" customWidth="1"/>
    <col min="1869" max="1869" width="7" style="595" bestFit="1" customWidth="1"/>
    <col min="1870" max="1870" width="6.42578125" style="595" bestFit="1" customWidth="1"/>
    <col min="1871" max="1871" width="6.85546875" style="595" customWidth="1"/>
    <col min="1872" max="1872" width="7.140625" style="595" customWidth="1"/>
    <col min="1873" max="1873" width="7" style="595" bestFit="1" customWidth="1"/>
    <col min="1874" max="1874" width="6.42578125" style="595" bestFit="1" customWidth="1"/>
    <col min="1875" max="1875" width="6" style="595" customWidth="1"/>
    <col min="1876" max="1876" width="9.7109375" style="595" customWidth="1"/>
    <col min="1877" max="1877" width="7" style="595" bestFit="1" customWidth="1"/>
    <col min="1878" max="1878" width="6.42578125" style="595" bestFit="1" customWidth="1"/>
    <col min="1879" max="1879" width="7.7109375" style="595" customWidth="1"/>
    <col min="1880" max="1884" width="7.28515625" style="595" customWidth="1"/>
    <col min="1885" max="1885" width="7" style="595" customWidth="1"/>
    <col min="1886" max="1887" width="5.140625" style="595" bestFit="1" customWidth="1"/>
    <col min="1888" max="1888" width="20.5703125" style="595" customWidth="1"/>
    <col min="1889" max="1889" width="8.85546875" style="595" customWidth="1"/>
    <col min="1890" max="1890" width="18.7109375" style="595" customWidth="1"/>
    <col min="1891" max="1891" width="9.7109375" style="595" customWidth="1"/>
    <col min="1892" max="1892" width="8.85546875" style="595" customWidth="1"/>
    <col min="1893" max="1893" width="10.7109375" style="595" customWidth="1"/>
    <col min="1894" max="1894" width="35.85546875" style="595" customWidth="1"/>
    <col min="1895" max="1895" width="18.7109375" style="595" customWidth="1"/>
    <col min="1896" max="1896" width="9.140625" style="595"/>
    <col min="1897" max="1897" width="9.28515625" style="595" bestFit="1" customWidth="1"/>
    <col min="1898" max="1898" width="9.140625" style="595"/>
    <col min="1899" max="1899" width="9" style="595" customWidth="1"/>
    <col min="1900" max="1900" width="9.5703125" style="595" customWidth="1"/>
    <col min="1901" max="1901" width="11.28515625" style="595" customWidth="1"/>
    <col min="1902" max="1902" width="9.140625" style="595"/>
    <col min="1903" max="1903" width="12.7109375" style="595" customWidth="1"/>
    <col min="1904" max="1904" width="9.140625" style="595"/>
    <col min="1905" max="1905" width="20.5703125" style="595" customWidth="1"/>
    <col min="1906" max="1906" width="15.7109375" style="595" customWidth="1"/>
    <col min="1907" max="1907" width="20.7109375" style="595" customWidth="1"/>
    <col min="1908" max="1908" width="18.28515625" style="595" customWidth="1"/>
    <col min="1909" max="1911" width="9.140625" style="595"/>
    <col min="1912" max="1912" width="13.5703125" style="595" customWidth="1"/>
    <col min="1913" max="1913" width="14.7109375" style="595" customWidth="1"/>
    <col min="1914" max="1914" width="7.28515625" style="595" customWidth="1"/>
    <col min="1915" max="1915" width="17.7109375" style="595" customWidth="1"/>
    <col min="1916" max="1916" width="13.5703125" style="595" customWidth="1"/>
    <col min="1917" max="1917" width="15.5703125" style="595" customWidth="1"/>
    <col min="1918" max="1918" width="16.28515625" style="595" customWidth="1"/>
    <col min="1919" max="1919" width="15.140625" style="595" customWidth="1"/>
    <col min="1920" max="1920" width="9.140625" style="595"/>
    <col min="1921" max="1921" width="14.140625" style="595" customWidth="1"/>
    <col min="1922" max="1922" width="6.5703125" style="595" customWidth="1"/>
    <col min="1923" max="1923" width="14.5703125" style="595" customWidth="1"/>
    <col min="1924" max="1924" width="6.42578125" style="595" customWidth="1"/>
    <col min="1925" max="1925" width="12.85546875" style="595" customWidth="1"/>
    <col min="1926" max="1926" width="7.85546875" style="595" customWidth="1"/>
    <col min="1927" max="1927" width="10.7109375" style="595" customWidth="1"/>
    <col min="1928" max="1928" width="7.140625" style="595" customWidth="1"/>
    <col min="1929" max="1929" width="11.85546875" style="595" customWidth="1"/>
    <col min="1930" max="1930" width="7.42578125" style="595" customWidth="1"/>
    <col min="1931" max="1931" width="12.140625" style="595" customWidth="1"/>
    <col min="1932" max="1932" width="8.42578125" style="595" customWidth="1"/>
    <col min="1933" max="1933" width="11.85546875" style="595" customWidth="1"/>
    <col min="1934" max="1934" width="6.85546875" style="595" customWidth="1"/>
    <col min="1935" max="1935" width="11.42578125" style="595" customWidth="1"/>
    <col min="1936" max="1936" width="9" style="595" customWidth="1"/>
    <col min="1937" max="1937" width="12.42578125" style="595" customWidth="1"/>
    <col min="1938" max="1938" width="5.85546875" style="595" customWidth="1"/>
    <col min="1939" max="1939" width="13.28515625" style="595" customWidth="1"/>
    <col min="1940" max="1940" width="8.85546875" style="595" customWidth="1"/>
    <col min="1941" max="1941" width="12" style="595" customWidth="1"/>
    <col min="1942" max="1942" width="7.5703125" style="595" customWidth="1"/>
    <col min="1943" max="1943" width="11.28515625" style="595" customWidth="1"/>
    <col min="1944" max="1944" width="6.5703125" style="595" customWidth="1"/>
    <col min="1945" max="1945" width="12.140625" style="595" customWidth="1"/>
    <col min="1946" max="1946" width="7.42578125" style="595" customWidth="1"/>
    <col min="1947" max="1947" width="12.42578125" style="595" customWidth="1"/>
    <col min="1948" max="1948" width="7.5703125" style="595" customWidth="1"/>
    <col min="1949" max="1949" width="11.28515625" style="595" customWidth="1"/>
    <col min="1950" max="1950" width="7.140625" style="595" customWidth="1"/>
    <col min="1951" max="1951" width="10.85546875" style="595" customWidth="1"/>
    <col min="1952" max="1952" width="6.140625" style="595" customWidth="1"/>
    <col min="1953" max="1953" width="10.7109375" style="595" customWidth="1"/>
    <col min="1954" max="1954" width="6.85546875" style="595" customWidth="1"/>
    <col min="1955" max="1955" width="10.7109375" style="595" customWidth="1"/>
    <col min="1956" max="1956" width="7" style="595" customWidth="1"/>
    <col min="1957" max="1957" width="11.85546875" style="595" customWidth="1"/>
    <col min="1958" max="1958" width="7.42578125" style="595" customWidth="1"/>
    <col min="1959" max="1959" width="10.7109375" style="595" customWidth="1"/>
    <col min="1960" max="1960" width="8.42578125" style="595" customWidth="1"/>
    <col min="1961" max="1961" width="11.140625" style="595" customWidth="1"/>
    <col min="1962" max="1962" width="8" style="595" customWidth="1"/>
    <col min="1963" max="1963" width="10.85546875" style="595" customWidth="1"/>
    <col min="1964" max="1964" width="7.5703125" style="595" customWidth="1"/>
    <col min="1965" max="1965" width="14.28515625" style="595" customWidth="1"/>
    <col min="1966" max="1966" width="6.5703125" style="595" customWidth="1"/>
    <col min="1967" max="1967" width="14.140625" style="595" customWidth="1"/>
    <col min="1968" max="1968" width="6.5703125" style="595" customWidth="1"/>
    <col min="1969" max="1969" width="14.28515625" style="595" customWidth="1"/>
    <col min="1970" max="1970" width="7.85546875" style="595" customWidth="1"/>
    <col min="1971" max="1971" width="14.140625" style="595" customWidth="1"/>
    <col min="1972" max="1972" width="6.85546875" style="595" customWidth="1"/>
    <col min="1973" max="1973" width="14.140625" style="595" customWidth="1"/>
    <col min="1974" max="1974" width="6.28515625" style="595" customWidth="1"/>
    <col min="1975" max="1975" width="14.140625" style="595" customWidth="1"/>
    <col min="1976" max="1976" width="5.85546875" style="595" customWidth="1"/>
    <col min="1977" max="1977" width="14.85546875" style="595" customWidth="1"/>
    <col min="1978" max="1978" width="6.85546875" style="595" customWidth="1"/>
    <col min="1979" max="1979" width="14.28515625" style="595" customWidth="1"/>
    <col min="1980" max="1980" width="7.28515625" style="595" customWidth="1"/>
    <col min="1981" max="1981" width="14.28515625" style="595" customWidth="1"/>
    <col min="1982" max="1982" width="6.42578125" style="595" customWidth="1"/>
    <col min="1983" max="1983" width="14" style="595" customWidth="1"/>
    <col min="1984" max="1984" width="7" style="595" customWidth="1"/>
    <col min="1985" max="1985" width="14" style="595" customWidth="1"/>
    <col min="1986" max="1986" width="6.42578125" style="595" customWidth="1"/>
    <col min="1987" max="1987" width="14.140625" style="595" customWidth="1"/>
    <col min="1988" max="1988" width="6.28515625" style="595" customWidth="1"/>
    <col min="1989" max="1989" width="14.140625" style="595" customWidth="1"/>
    <col min="1990" max="1990" width="7" style="595" customWidth="1"/>
    <col min="1991" max="1991" width="14.140625" style="595" customWidth="1"/>
    <col min="1992" max="1992" width="7.42578125" style="595" customWidth="1"/>
    <col min="1993" max="1993" width="14.5703125" style="595" customWidth="1"/>
    <col min="1994" max="1994" width="6.7109375" style="595" customWidth="1"/>
    <col min="1995" max="1995" width="14.140625" style="595" customWidth="1"/>
    <col min="1996" max="1996" width="7" style="595" customWidth="1"/>
    <col min="1997" max="1997" width="14.5703125" style="595" customWidth="1"/>
    <col min="1998" max="1998" width="7.42578125" style="595" customWidth="1"/>
    <col min="1999" max="1999" width="14.5703125" style="595" customWidth="1"/>
    <col min="2000" max="2000" width="6.42578125" style="595" customWidth="1"/>
    <col min="2001" max="2001" width="14.7109375" style="595" customWidth="1"/>
    <col min="2002" max="2002" width="6.85546875" style="595" customWidth="1"/>
    <col min="2003" max="2003" width="14.5703125" style="595" customWidth="1"/>
    <col min="2004" max="2004" width="7.140625" style="595" customWidth="1"/>
    <col min="2005" max="2005" width="14.5703125" style="595" customWidth="1"/>
    <col min="2006" max="2006" width="6.7109375" style="595" customWidth="1"/>
    <col min="2007" max="2007" width="14.140625" style="595" customWidth="1"/>
    <col min="2008" max="2008" width="5.85546875" style="595" customWidth="1"/>
    <col min="2009" max="2009" width="14" style="595" customWidth="1"/>
    <col min="2010" max="2010" width="8.28515625" style="595" customWidth="1"/>
    <col min="2011" max="2011" width="14.7109375" style="595" customWidth="1"/>
    <col min="2012" max="2012" width="7.140625" style="595" customWidth="1"/>
    <col min="2013" max="2013" width="14.7109375" style="595" customWidth="1"/>
    <col min="2014" max="2014" width="7.140625" style="595" customWidth="1"/>
    <col min="2015" max="2015" width="14" style="595" customWidth="1"/>
    <col min="2016" max="2016" width="6.42578125" style="595" customWidth="1"/>
    <col min="2017" max="2017" width="14" style="595" customWidth="1"/>
    <col min="2018" max="2018" width="6.28515625" style="595" customWidth="1"/>
    <col min="2019" max="2019" width="14.42578125" style="595" customWidth="1"/>
    <col min="2020" max="2020" width="6.28515625" style="595" customWidth="1"/>
    <col min="2021" max="2021" width="14.85546875" style="595" customWidth="1"/>
    <col min="2022" max="2022" width="7.28515625" style="595" customWidth="1"/>
    <col min="2023" max="2023" width="14.42578125" style="595" customWidth="1"/>
    <col min="2024" max="2024" width="7.28515625" style="595" customWidth="1"/>
    <col min="2025" max="2025" width="14.7109375" style="595" customWidth="1"/>
    <col min="2026" max="2026" width="6" style="595" customWidth="1"/>
    <col min="2027" max="2027" width="14.5703125" style="595" customWidth="1"/>
    <col min="2028" max="2028" width="6.42578125" style="595" customWidth="1"/>
    <col min="2029" max="2029" width="14.140625" style="595" customWidth="1"/>
    <col min="2030" max="2030" width="7.5703125" style="595" customWidth="1"/>
    <col min="2031" max="2031" width="14.5703125" style="595" customWidth="1"/>
    <col min="2032" max="2032" width="6.7109375" style="595" customWidth="1"/>
    <col min="2033" max="2033" width="15" style="595" customWidth="1"/>
    <col min="2034" max="2034" width="9.140625" style="595"/>
    <col min="2035" max="2035" width="14" style="595" customWidth="1"/>
    <col min="2036" max="2036" width="9.140625" style="595"/>
    <col min="2037" max="2037" width="14" style="595" customWidth="1"/>
    <col min="2038" max="2042" width="9.140625" style="595"/>
    <col min="2043" max="2043" width="41.28515625" style="595" customWidth="1"/>
    <col min="2044" max="2115" width="9.140625" style="595"/>
    <col min="2116" max="2116" width="21.140625" style="595" customWidth="1"/>
    <col min="2117" max="2117" width="7.28515625" style="595" customWidth="1"/>
    <col min="2118" max="2118" width="15" style="595" customWidth="1"/>
    <col min="2119" max="2119" width="23.28515625" style="595" customWidth="1"/>
    <col min="2120" max="2120" width="25.5703125" style="595" customWidth="1"/>
    <col min="2121" max="2121" width="7" style="595" bestFit="1" customWidth="1"/>
    <col min="2122" max="2122" width="6.42578125" style="595" bestFit="1" customWidth="1"/>
    <col min="2123" max="2123" width="7.85546875" style="595" customWidth="1"/>
    <col min="2124" max="2124" width="8.7109375" style="595" customWidth="1"/>
    <col min="2125" max="2125" width="7" style="595" bestFit="1" customWidth="1"/>
    <col min="2126" max="2126" width="6.42578125" style="595" bestFit="1" customWidth="1"/>
    <col min="2127" max="2127" width="6.85546875" style="595" customWidth="1"/>
    <col min="2128" max="2128" width="7.140625" style="595" customWidth="1"/>
    <col min="2129" max="2129" width="7" style="595" bestFit="1" customWidth="1"/>
    <col min="2130" max="2130" width="6.42578125" style="595" bestFit="1" customWidth="1"/>
    <col min="2131" max="2131" width="6" style="595" customWidth="1"/>
    <col min="2132" max="2132" width="9.7109375" style="595" customWidth="1"/>
    <col min="2133" max="2133" width="7" style="595" bestFit="1" customWidth="1"/>
    <col min="2134" max="2134" width="6.42578125" style="595" bestFit="1" customWidth="1"/>
    <col min="2135" max="2135" width="7.7109375" style="595" customWidth="1"/>
    <col min="2136" max="2140" width="7.28515625" style="595" customWidth="1"/>
    <col min="2141" max="2141" width="7" style="595" customWidth="1"/>
    <col min="2142" max="2143" width="5.140625" style="595" bestFit="1" customWidth="1"/>
    <col min="2144" max="2144" width="20.5703125" style="595" customWidth="1"/>
    <col min="2145" max="2145" width="8.85546875" style="595" customWidth="1"/>
    <col min="2146" max="2146" width="18.7109375" style="595" customWidth="1"/>
    <col min="2147" max="2147" width="9.7109375" style="595" customWidth="1"/>
    <col min="2148" max="2148" width="8.85546875" style="595" customWidth="1"/>
    <col min="2149" max="2149" width="10.7109375" style="595" customWidth="1"/>
    <col min="2150" max="2150" width="35.85546875" style="595" customWidth="1"/>
    <col min="2151" max="2151" width="18.7109375" style="595" customWidth="1"/>
    <col min="2152" max="2152" width="9.140625" style="595"/>
    <col min="2153" max="2153" width="9.28515625" style="595" bestFit="1" customWidth="1"/>
    <col min="2154" max="2154" width="9.140625" style="595"/>
    <col min="2155" max="2155" width="9" style="595" customWidth="1"/>
    <col min="2156" max="2156" width="9.5703125" style="595" customWidth="1"/>
    <col min="2157" max="2157" width="11.28515625" style="595" customWidth="1"/>
    <col min="2158" max="2158" width="9.140625" style="595"/>
    <col min="2159" max="2159" width="12.7109375" style="595" customWidth="1"/>
    <col min="2160" max="2160" width="9.140625" style="595"/>
    <col min="2161" max="2161" width="20.5703125" style="595" customWidth="1"/>
    <col min="2162" max="2162" width="15.7109375" style="595" customWidth="1"/>
    <col min="2163" max="2163" width="20.7109375" style="595" customWidth="1"/>
    <col min="2164" max="2164" width="18.28515625" style="595" customWidth="1"/>
    <col min="2165" max="2167" width="9.140625" style="595"/>
    <col min="2168" max="2168" width="13.5703125" style="595" customWidth="1"/>
    <col min="2169" max="2169" width="14.7109375" style="595" customWidth="1"/>
    <col min="2170" max="2170" width="7.28515625" style="595" customWidth="1"/>
    <col min="2171" max="2171" width="17.7109375" style="595" customWidth="1"/>
    <col min="2172" max="2172" width="13.5703125" style="595" customWidth="1"/>
    <col min="2173" max="2173" width="15.5703125" style="595" customWidth="1"/>
    <col min="2174" max="2174" width="16.28515625" style="595" customWidth="1"/>
    <col min="2175" max="2175" width="15.140625" style="595" customWidth="1"/>
    <col min="2176" max="2176" width="9.140625" style="595"/>
    <col min="2177" max="2177" width="14.140625" style="595" customWidth="1"/>
    <col min="2178" max="2178" width="6.5703125" style="595" customWidth="1"/>
    <col min="2179" max="2179" width="14.5703125" style="595" customWidth="1"/>
    <col min="2180" max="2180" width="6.42578125" style="595" customWidth="1"/>
    <col min="2181" max="2181" width="12.85546875" style="595" customWidth="1"/>
    <col min="2182" max="2182" width="7.85546875" style="595" customWidth="1"/>
    <col min="2183" max="2183" width="10.7109375" style="595" customWidth="1"/>
    <col min="2184" max="2184" width="7.140625" style="595" customWidth="1"/>
    <col min="2185" max="2185" width="11.85546875" style="595" customWidth="1"/>
    <col min="2186" max="2186" width="7.42578125" style="595" customWidth="1"/>
    <col min="2187" max="2187" width="12.140625" style="595" customWidth="1"/>
    <col min="2188" max="2188" width="8.42578125" style="595" customWidth="1"/>
    <col min="2189" max="2189" width="11.85546875" style="595" customWidth="1"/>
    <col min="2190" max="2190" width="6.85546875" style="595" customWidth="1"/>
    <col min="2191" max="2191" width="11.42578125" style="595" customWidth="1"/>
    <col min="2192" max="2192" width="9" style="595" customWidth="1"/>
    <col min="2193" max="2193" width="12.42578125" style="595" customWidth="1"/>
    <col min="2194" max="2194" width="5.85546875" style="595" customWidth="1"/>
    <col min="2195" max="2195" width="13.28515625" style="595" customWidth="1"/>
    <col min="2196" max="2196" width="8.85546875" style="595" customWidth="1"/>
    <col min="2197" max="2197" width="12" style="595" customWidth="1"/>
    <col min="2198" max="2198" width="7.5703125" style="595" customWidth="1"/>
    <col min="2199" max="2199" width="11.28515625" style="595" customWidth="1"/>
    <col min="2200" max="2200" width="6.5703125" style="595" customWidth="1"/>
    <col min="2201" max="2201" width="12.140625" style="595" customWidth="1"/>
    <col min="2202" max="2202" width="7.42578125" style="595" customWidth="1"/>
    <col min="2203" max="2203" width="12.42578125" style="595" customWidth="1"/>
    <col min="2204" max="2204" width="7.5703125" style="595" customWidth="1"/>
    <col min="2205" max="2205" width="11.28515625" style="595" customWidth="1"/>
    <col min="2206" max="2206" width="7.140625" style="595" customWidth="1"/>
    <col min="2207" max="2207" width="10.85546875" style="595" customWidth="1"/>
    <col min="2208" max="2208" width="6.140625" style="595" customWidth="1"/>
    <col min="2209" max="2209" width="10.7109375" style="595" customWidth="1"/>
    <col min="2210" max="2210" width="6.85546875" style="595" customWidth="1"/>
    <col min="2211" max="2211" width="10.7109375" style="595" customWidth="1"/>
    <col min="2212" max="2212" width="7" style="595" customWidth="1"/>
    <col min="2213" max="2213" width="11.85546875" style="595" customWidth="1"/>
    <col min="2214" max="2214" width="7.42578125" style="595" customWidth="1"/>
    <col min="2215" max="2215" width="10.7109375" style="595" customWidth="1"/>
    <col min="2216" max="2216" width="8.42578125" style="595" customWidth="1"/>
    <col min="2217" max="2217" width="11.140625" style="595" customWidth="1"/>
    <col min="2218" max="2218" width="8" style="595" customWidth="1"/>
    <col min="2219" max="2219" width="10.85546875" style="595" customWidth="1"/>
    <col min="2220" max="2220" width="7.5703125" style="595" customWidth="1"/>
    <col min="2221" max="2221" width="14.28515625" style="595" customWidth="1"/>
    <col min="2222" max="2222" width="6.5703125" style="595" customWidth="1"/>
    <col min="2223" max="2223" width="14.140625" style="595" customWidth="1"/>
    <col min="2224" max="2224" width="6.5703125" style="595" customWidth="1"/>
    <col min="2225" max="2225" width="14.28515625" style="595" customWidth="1"/>
    <col min="2226" max="2226" width="7.85546875" style="595" customWidth="1"/>
    <col min="2227" max="2227" width="14.140625" style="595" customWidth="1"/>
    <col min="2228" max="2228" width="6.85546875" style="595" customWidth="1"/>
    <col min="2229" max="2229" width="14.140625" style="595" customWidth="1"/>
    <col min="2230" max="2230" width="6.28515625" style="595" customWidth="1"/>
    <col min="2231" max="2231" width="14.140625" style="595" customWidth="1"/>
    <col min="2232" max="2232" width="5.85546875" style="595" customWidth="1"/>
    <col min="2233" max="2233" width="14.85546875" style="595" customWidth="1"/>
    <col min="2234" max="2234" width="6.85546875" style="595" customWidth="1"/>
    <col min="2235" max="2235" width="14.28515625" style="595" customWidth="1"/>
    <col min="2236" max="2236" width="7.28515625" style="595" customWidth="1"/>
    <col min="2237" max="2237" width="14.28515625" style="595" customWidth="1"/>
    <col min="2238" max="2238" width="6.42578125" style="595" customWidth="1"/>
    <col min="2239" max="2239" width="14" style="595" customWidth="1"/>
    <col min="2240" max="2240" width="7" style="595" customWidth="1"/>
    <col min="2241" max="2241" width="14" style="595" customWidth="1"/>
    <col min="2242" max="2242" width="6.42578125" style="595" customWidth="1"/>
    <col min="2243" max="2243" width="14.140625" style="595" customWidth="1"/>
    <col min="2244" max="2244" width="6.28515625" style="595" customWidth="1"/>
    <col min="2245" max="2245" width="14.140625" style="595" customWidth="1"/>
    <col min="2246" max="2246" width="7" style="595" customWidth="1"/>
    <col min="2247" max="2247" width="14.140625" style="595" customWidth="1"/>
    <col min="2248" max="2248" width="7.42578125" style="595" customWidth="1"/>
    <col min="2249" max="2249" width="14.5703125" style="595" customWidth="1"/>
    <col min="2250" max="2250" width="6.7109375" style="595" customWidth="1"/>
    <col min="2251" max="2251" width="14.140625" style="595" customWidth="1"/>
    <col min="2252" max="2252" width="7" style="595" customWidth="1"/>
    <col min="2253" max="2253" width="14.5703125" style="595" customWidth="1"/>
    <col min="2254" max="2254" width="7.42578125" style="595" customWidth="1"/>
    <col min="2255" max="2255" width="14.5703125" style="595" customWidth="1"/>
    <col min="2256" max="2256" width="6.42578125" style="595" customWidth="1"/>
    <col min="2257" max="2257" width="14.7109375" style="595" customWidth="1"/>
    <col min="2258" max="2258" width="6.85546875" style="595" customWidth="1"/>
    <col min="2259" max="2259" width="14.5703125" style="595" customWidth="1"/>
    <col min="2260" max="2260" width="7.140625" style="595" customWidth="1"/>
    <col min="2261" max="2261" width="14.5703125" style="595" customWidth="1"/>
    <col min="2262" max="2262" width="6.7109375" style="595" customWidth="1"/>
    <col min="2263" max="2263" width="14.140625" style="595" customWidth="1"/>
    <col min="2264" max="2264" width="5.85546875" style="595" customWidth="1"/>
    <col min="2265" max="2265" width="14" style="595" customWidth="1"/>
    <col min="2266" max="2266" width="8.28515625" style="595" customWidth="1"/>
    <col min="2267" max="2267" width="14.7109375" style="595" customWidth="1"/>
    <col min="2268" max="2268" width="7.140625" style="595" customWidth="1"/>
    <col min="2269" max="2269" width="14.7109375" style="595" customWidth="1"/>
    <col min="2270" max="2270" width="7.140625" style="595" customWidth="1"/>
    <col min="2271" max="2271" width="14" style="595" customWidth="1"/>
    <col min="2272" max="2272" width="6.42578125" style="595" customWidth="1"/>
    <col min="2273" max="2273" width="14" style="595" customWidth="1"/>
    <col min="2274" max="2274" width="6.28515625" style="595" customWidth="1"/>
    <col min="2275" max="2275" width="14.42578125" style="595" customWidth="1"/>
    <col min="2276" max="2276" width="6.28515625" style="595" customWidth="1"/>
    <col min="2277" max="2277" width="14.85546875" style="595" customWidth="1"/>
    <col min="2278" max="2278" width="7.28515625" style="595" customWidth="1"/>
    <col min="2279" max="2279" width="14.42578125" style="595" customWidth="1"/>
    <col min="2280" max="2280" width="7.28515625" style="595" customWidth="1"/>
    <col min="2281" max="2281" width="14.7109375" style="595" customWidth="1"/>
    <col min="2282" max="2282" width="6" style="595" customWidth="1"/>
    <col min="2283" max="2283" width="14.5703125" style="595" customWidth="1"/>
    <col min="2284" max="2284" width="6.42578125" style="595" customWidth="1"/>
    <col min="2285" max="2285" width="14.140625" style="595" customWidth="1"/>
    <col min="2286" max="2286" width="7.5703125" style="595" customWidth="1"/>
    <col min="2287" max="2287" width="14.5703125" style="595" customWidth="1"/>
    <col min="2288" max="2288" width="6.7109375" style="595" customWidth="1"/>
    <col min="2289" max="2289" width="15" style="595" customWidth="1"/>
    <col min="2290" max="2290" width="9.140625" style="595"/>
    <col min="2291" max="2291" width="14" style="595" customWidth="1"/>
    <col min="2292" max="2292" width="9.140625" style="595"/>
    <col min="2293" max="2293" width="14" style="595" customWidth="1"/>
    <col min="2294" max="2298" width="9.140625" style="595"/>
    <col min="2299" max="2299" width="41.28515625" style="595" customWidth="1"/>
    <col min="2300" max="2371" width="9.140625" style="595"/>
    <col min="2372" max="2372" width="21.140625" style="595" customWidth="1"/>
    <col min="2373" max="2373" width="7.28515625" style="595" customWidth="1"/>
    <col min="2374" max="2374" width="15" style="595" customWidth="1"/>
    <col min="2375" max="2375" width="23.28515625" style="595" customWidth="1"/>
    <col min="2376" max="2376" width="25.5703125" style="595" customWidth="1"/>
    <col min="2377" max="2377" width="7" style="595" bestFit="1" customWidth="1"/>
    <col min="2378" max="2378" width="6.42578125" style="595" bestFit="1" customWidth="1"/>
    <col min="2379" max="2379" width="7.85546875" style="595" customWidth="1"/>
    <col min="2380" max="2380" width="8.7109375" style="595" customWidth="1"/>
    <col min="2381" max="2381" width="7" style="595" bestFit="1" customWidth="1"/>
    <col min="2382" max="2382" width="6.42578125" style="595" bestFit="1" customWidth="1"/>
    <col min="2383" max="2383" width="6.85546875" style="595" customWidth="1"/>
    <col min="2384" max="2384" width="7.140625" style="595" customWidth="1"/>
    <col min="2385" max="2385" width="7" style="595" bestFit="1" customWidth="1"/>
    <col min="2386" max="2386" width="6.42578125" style="595" bestFit="1" customWidth="1"/>
    <col min="2387" max="2387" width="6" style="595" customWidth="1"/>
    <col min="2388" max="2388" width="9.7109375" style="595" customWidth="1"/>
    <col min="2389" max="2389" width="7" style="595" bestFit="1" customWidth="1"/>
    <col min="2390" max="2390" width="6.42578125" style="595" bestFit="1" customWidth="1"/>
    <col min="2391" max="2391" width="7.7109375" style="595" customWidth="1"/>
    <col min="2392" max="2396" width="7.28515625" style="595" customWidth="1"/>
    <col min="2397" max="2397" width="7" style="595" customWidth="1"/>
    <col min="2398" max="2399" width="5.140625" style="595" bestFit="1" customWidth="1"/>
    <col min="2400" max="2400" width="20.5703125" style="595" customWidth="1"/>
    <col min="2401" max="2401" width="8.85546875" style="595" customWidth="1"/>
    <col min="2402" max="2402" width="18.7109375" style="595" customWidth="1"/>
    <col min="2403" max="2403" width="9.7109375" style="595" customWidth="1"/>
    <col min="2404" max="2404" width="8.85546875" style="595" customWidth="1"/>
    <col min="2405" max="2405" width="10.7109375" style="595" customWidth="1"/>
    <col min="2406" max="2406" width="35.85546875" style="595" customWidth="1"/>
    <col min="2407" max="2407" width="18.7109375" style="595" customWidth="1"/>
    <col min="2408" max="2408" width="9.140625" style="595"/>
    <col min="2409" max="2409" width="9.28515625" style="595" bestFit="1" customWidth="1"/>
    <col min="2410" max="2410" width="9.140625" style="595"/>
    <col min="2411" max="2411" width="9" style="595" customWidth="1"/>
    <col min="2412" max="2412" width="9.5703125" style="595" customWidth="1"/>
    <col min="2413" max="2413" width="11.28515625" style="595" customWidth="1"/>
    <col min="2414" max="2414" width="9.140625" style="595"/>
    <col min="2415" max="2415" width="12.7109375" style="595" customWidth="1"/>
    <col min="2416" max="2416" width="9.140625" style="595"/>
    <col min="2417" max="2417" width="20.5703125" style="595" customWidth="1"/>
    <col min="2418" max="2418" width="15.7109375" style="595" customWidth="1"/>
    <col min="2419" max="2419" width="20.7109375" style="595" customWidth="1"/>
    <col min="2420" max="2420" width="18.28515625" style="595" customWidth="1"/>
    <col min="2421" max="2423" width="9.140625" style="595"/>
    <col min="2424" max="2424" width="13.5703125" style="595" customWidth="1"/>
    <col min="2425" max="2425" width="14.7109375" style="595" customWidth="1"/>
    <col min="2426" max="2426" width="7.28515625" style="595" customWidth="1"/>
    <col min="2427" max="2427" width="17.7109375" style="595" customWidth="1"/>
    <col min="2428" max="2428" width="13.5703125" style="595" customWidth="1"/>
    <col min="2429" max="2429" width="15.5703125" style="595" customWidth="1"/>
    <col min="2430" max="2430" width="16.28515625" style="595" customWidth="1"/>
    <col min="2431" max="2431" width="15.140625" style="595" customWidth="1"/>
    <col min="2432" max="2432" width="9.140625" style="595"/>
    <col min="2433" max="2433" width="14.140625" style="595" customWidth="1"/>
    <col min="2434" max="2434" width="6.5703125" style="595" customWidth="1"/>
    <col min="2435" max="2435" width="14.5703125" style="595" customWidth="1"/>
    <col min="2436" max="2436" width="6.42578125" style="595" customWidth="1"/>
    <col min="2437" max="2437" width="12.85546875" style="595" customWidth="1"/>
    <col min="2438" max="2438" width="7.85546875" style="595" customWidth="1"/>
    <col min="2439" max="2439" width="10.7109375" style="595" customWidth="1"/>
    <col min="2440" max="2440" width="7.140625" style="595" customWidth="1"/>
    <col min="2441" max="2441" width="11.85546875" style="595" customWidth="1"/>
    <col min="2442" max="2442" width="7.42578125" style="595" customWidth="1"/>
    <col min="2443" max="2443" width="12.140625" style="595" customWidth="1"/>
    <col min="2444" max="2444" width="8.42578125" style="595" customWidth="1"/>
    <col min="2445" max="2445" width="11.85546875" style="595" customWidth="1"/>
    <col min="2446" max="2446" width="6.85546875" style="595" customWidth="1"/>
    <col min="2447" max="2447" width="11.42578125" style="595" customWidth="1"/>
    <col min="2448" max="2448" width="9" style="595" customWidth="1"/>
    <col min="2449" max="2449" width="12.42578125" style="595" customWidth="1"/>
    <col min="2450" max="2450" width="5.85546875" style="595" customWidth="1"/>
    <col min="2451" max="2451" width="13.28515625" style="595" customWidth="1"/>
    <col min="2452" max="2452" width="8.85546875" style="595" customWidth="1"/>
    <col min="2453" max="2453" width="12" style="595" customWidth="1"/>
    <col min="2454" max="2454" width="7.5703125" style="595" customWidth="1"/>
    <col min="2455" max="2455" width="11.28515625" style="595" customWidth="1"/>
    <col min="2456" max="2456" width="6.5703125" style="595" customWidth="1"/>
    <col min="2457" max="2457" width="12.140625" style="595" customWidth="1"/>
    <col min="2458" max="2458" width="7.42578125" style="595" customWidth="1"/>
    <col min="2459" max="2459" width="12.42578125" style="595" customWidth="1"/>
    <col min="2460" max="2460" width="7.5703125" style="595" customWidth="1"/>
    <col min="2461" max="2461" width="11.28515625" style="595" customWidth="1"/>
    <col min="2462" max="2462" width="7.140625" style="595" customWidth="1"/>
    <col min="2463" max="2463" width="10.85546875" style="595" customWidth="1"/>
    <col min="2464" max="2464" width="6.140625" style="595" customWidth="1"/>
    <col min="2465" max="2465" width="10.7109375" style="595" customWidth="1"/>
    <col min="2466" max="2466" width="6.85546875" style="595" customWidth="1"/>
    <col min="2467" max="2467" width="10.7109375" style="595" customWidth="1"/>
    <col min="2468" max="2468" width="7" style="595" customWidth="1"/>
    <col min="2469" max="2469" width="11.85546875" style="595" customWidth="1"/>
    <col min="2470" max="2470" width="7.42578125" style="595" customWidth="1"/>
    <col min="2471" max="2471" width="10.7109375" style="595" customWidth="1"/>
    <col min="2472" max="2472" width="8.42578125" style="595" customWidth="1"/>
    <col min="2473" max="2473" width="11.140625" style="595" customWidth="1"/>
    <col min="2474" max="2474" width="8" style="595" customWidth="1"/>
    <col min="2475" max="2475" width="10.85546875" style="595" customWidth="1"/>
    <col min="2476" max="2476" width="7.5703125" style="595" customWidth="1"/>
    <col min="2477" max="2477" width="14.28515625" style="595" customWidth="1"/>
    <col min="2478" max="2478" width="6.5703125" style="595" customWidth="1"/>
    <col min="2479" max="2479" width="14.140625" style="595" customWidth="1"/>
    <col min="2480" max="2480" width="6.5703125" style="595" customWidth="1"/>
    <col min="2481" max="2481" width="14.28515625" style="595" customWidth="1"/>
    <col min="2482" max="2482" width="7.85546875" style="595" customWidth="1"/>
    <col min="2483" max="2483" width="14.140625" style="595" customWidth="1"/>
    <col min="2484" max="2484" width="6.85546875" style="595" customWidth="1"/>
    <col min="2485" max="2485" width="14.140625" style="595" customWidth="1"/>
    <col min="2486" max="2486" width="6.28515625" style="595" customWidth="1"/>
    <col min="2487" max="2487" width="14.140625" style="595" customWidth="1"/>
    <col min="2488" max="2488" width="5.85546875" style="595" customWidth="1"/>
    <col min="2489" max="2489" width="14.85546875" style="595" customWidth="1"/>
    <col min="2490" max="2490" width="6.85546875" style="595" customWidth="1"/>
    <col min="2491" max="2491" width="14.28515625" style="595" customWidth="1"/>
    <col min="2492" max="2492" width="7.28515625" style="595" customWidth="1"/>
    <col min="2493" max="2493" width="14.28515625" style="595" customWidth="1"/>
    <col min="2494" max="2494" width="6.42578125" style="595" customWidth="1"/>
    <col min="2495" max="2495" width="14" style="595" customWidth="1"/>
    <col min="2496" max="2496" width="7" style="595" customWidth="1"/>
    <col min="2497" max="2497" width="14" style="595" customWidth="1"/>
    <col min="2498" max="2498" width="6.42578125" style="595" customWidth="1"/>
    <col min="2499" max="2499" width="14.140625" style="595" customWidth="1"/>
    <col min="2500" max="2500" width="6.28515625" style="595" customWidth="1"/>
    <col min="2501" max="2501" width="14.140625" style="595" customWidth="1"/>
    <col min="2502" max="2502" width="7" style="595" customWidth="1"/>
    <col min="2503" max="2503" width="14.140625" style="595" customWidth="1"/>
    <col min="2504" max="2504" width="7.42578125" style="595" customWidth="1"/>
    <col min="2505" max="2505" width="14.5703125" style="595" customWidth="1"/>
    <col min="2506" max="2506" width="6.7109375" style="595" customWidth="1"/>
    <col min="2507" max="2507" width="14.140625" style="595" customWidth="1"/>
    <col min="2508" max="2508" width="7" style="595" customWidth="1"/>
    <col min="2509" max="2509" width="14.5703125" style="595" customWidth="1"/>
    <col min="2510" max="2510" width="7.42578125" style="595" customWidth="1"/>
    <col min="2511" max="2511" width="14.5703125" style="595" customWidth="1"/>
    <col min="2512" max="2512" width="6.42578125" style="595" customWidth="1"/>
    <col min="2513" max="2513" width="14.7109375" style="595" customWidth="1"/>
    <col min="2514" max="2514" width="6.85546875" style="595" customWidth="1"/>
    <col min="2515" max="2515" width="14.5703125" style="595" customWidth="1"/>
    <col min="2516" max="2516" width="7.140625" style="595" customWidth="1"/>
    <col min="2517" max="2517" width="14.5703125" style="595" customWidth="1"/>
    <col min="2518" max="2518" width="6.7109375" style="595" customWidth="1"/>
    <col min="2519" max="2519" width="14.140625" style="595" customWidth="1"/>
    <col min="2520" max="2520" width="5.85546875" style="595" customWidth="1"/>
    <col min="2521" max="2521" width="14" style="595" customWidth="1"/>
    <col min="2522" max="2522" width="8.28515625" style="595" customWidth="1"/>
    <col min="2523" max="2523" width="14.7109375" style="595" customWidth="1"/>
    <col min="2524" max="2524" width="7.140625" style="595" customWidth="1"/>
    <col min="2525" max="2525" width="14.7109375" style="595" customWidth="1"/>
    <col min="2526" max="2526" width="7.140625" style="595" customWidth="1"/>
    <col min="2527" max="2527" width="14" style="595" customWidth="1"/>
    <col min="2528" max="2528" width="6.42578125" style="595" customWidth="1"/>
    <col min="2529" max="2529" width="14" style="595" customWidth="1"/>
    <col min="2530" max="2530" width="6.28515625" style="595" customWidth="1"/>
    <col min="2531" max="2531" width="14.42578125" style="595" customWidth="1"/>
    <col min="2532" max="2532" width="6.28515625" style="595" customWidth="1"/>
    <col min="2533" max="2533" width="14.85546875" style="595" customWidth="1"/>
    <col min="2534" max="2534" width="7.28515625" style="595" customWidth="1"/>
    <col min="2535" max="2535" width="14.42578125" style="595" customWidth="1"/>
    <col min="2536" max="2536" width="7.28515625" style="595" customWidth="1"/>
    <col min="2537" max="2537" width="14.7109375" style="595" customWidth="1"/>
    <col min="2538" max="2538" width="6" style="595" customWidth="1"/>
    <col min="2539" max="2539" width="14.5703125" style="595" customWidth="1"/>
    <col min="2540" max="2540" width="6.42578125" style="595" customWidth="1"/>
    <col min="2541" max="2541" width="14.140625" style="595" customWidth="1"/>
    <col min="2542" max="2542" width="7.5703125" style="595" customWidth="1"/>
    <col min="2543" max="2543" width="14.5703125" style="595" customWidth="1"/>
    <col min="2544" max="2544" width="6.7109375" style="595" customWidth="1"/>
    <col min="2545" max="2545" width="15" style="595" customWidth="1"/>
    <col min="2546" max="2546" width="9.140625" style="595"/>
    <col min="2547" max="2547" width="14" style="595" customWidth="1"/>
    <col min="2548" max="2548" width="9.140625" style="595"/>
    <col min="2549" max="2549" width="14" style="595" customWidth="1"/>
    <col min="2550" max="2554" width="9.140625" style="595"/>
    <col min="2555" max="2555" width="41.28515625" style="595" customWidth="1"/>
    <col min="2556" max="2627" width="9.140625" style="595"/>
    <col min="2628" max="2628" width="21.140625" style="595" customWidth="1"/>
    <col min="2629" max="2629" width="7.28515625" style="595" customWidth="1"/>
    <col min="2630" max="2630" width="15" style="595" customWidth="1"/>
    <col min="2631" max="2631" width="23.28515625" style="595" customWidth="1"/>
    <col min="2632" max="2632" width="25.5703125" style="595" customWidth="1"/>
    <col min="2633" max="2633" width="7" style="595" bestFit="1" customWidth="1"/>
    <col min="2634" max="2634" width="6.42578125" style="595" bestFit="1" customWidth="1"/>
    <col min="2635" max="2635" width="7.85546875" style="595" customWidth="1"/>
    <col min="2636" max="2636" width="8.7109375" style="595" customWidth="1"/>
    <col min="2637" max="2637" width="7" style="595" bestFit="1" customWidth="1"/>
    <col min="2638" max="2638" width="6.42578125" style="595" bestFit="1" customWidth="1"/>
    <col min="2639" max="2639" width="6.85546875" style="595" customWidth="1"/>
    <col min="2640" max="2640" width="7.140625" style="595" customWidth="1"/>
    <col min="2641" max="2641" width="7" style="595" bestFit="1" customWidth="1"/>
    <col min="2642" max="2642" width="6.42578125" style="595" bestFit="1" customWidth="1"/>
    <col min="2643" max="2643" width="6" style="595" customWidth="1"/>
    <col min="2644" max="2644" width="9.7109375" style="595" customWidth="1"/>
    <col min="2645" max="2645" width="7" style="595" bestFit="1" customWidth="1"/>
    <col min="2646" max="2646" width="6.42578125" style="595" bestFit="1" customWidth="1"/>
    <col min="2647" max="2647" width="7.7109375" style="595" customWidth="1"/>
    <col min="2648" max="2652" width="7.28515625" style="595" customWidth="1"/>
    <col min="2653" max="2653" width="7" style="595" customWidth="1"/>
    <col min="2654" max="2655" width="5.140625" style="595" bestFit="1" customWidth="1"/>
    <col min="2656" max="2656" width="20.5703125" style="595" customWidth="1"/>
    <col min="2657" max="2657" width="8.85546875" style="595" customWidth="1"/>
    <col min="2658" max="2658" width="18.7109375" style="595" customWidth="1"/>
    <col min="2659" max="2659" width="9.7109375" style="595" customWidth="1"/>
    <col min="2660" max="2660" width="8.85546875" style="595" customWidth="1"/>
    <col min="2661" max="2661" width="10.7109375" style="595" customWidth="1"/>
    <col min="2662" max="2662" width="35.85546875" style="595" customWidth="1"/>
    <col min="2663" max="2663" width="18.7109375" style="595" customWidth="1"/>
    <col min="2664" max="2664" width="9.140625" style="595"/>
    <col min="2665" max="2665" width="9.28515625" style="595" bestFit="1" customWidth="1"/>
    <col min="2666" max="2666" width="9.140625" style="595"/>
    <col min="2667" max="2667" width="9" style="595" customWidth="1"/>
    <col min="2668" max="2668" width="9.5703125" style="595" customWidth="1"/>
    <col min="2669" max="2669" width="11.28515625" style="595" customWidth="1"/>
    <col min="2670" max="2670" width="9.140625" style="595"/>
    <col min="2671" max="2671" width="12.7109375" style="595" customWidth="1"/>
    <col min="2672" max="2672" width="9.140625" style="595"/>
    <col min="2673" max="2673" width="20.5703125" style="595" customWidth="1"/>
    <col min="2674" max="2674" width="15.7109375" style="595" customWidth="1"/>
    <col min="2675" max="2675" width="20.7109375" style="595" customWidth="1"/>
    <col min="2676" max="2676" width="18.28515625" style="595" customWidth="1"/>
    <col min="2677" max="2679" width="9.140625" style="595"/>
    <col min="2680" max="2680" width="13.5703125" style="595" customWidth="1"/>
    <col min="2681" max="2681" width="14.7109375" style="595" customWidth="1"/>
    <col min="2682" max="2682" width="7.28515625" style="595" customWidth="1"/>
    <col min="2683" max="2683" width="17.7109375" style="595" customWidth="1"/>
    <col min="2684" max="2684" width="13.5703125" style="595" customWidth="1"/>
    <col min="2685" max="2685" width="15.5703125" style="595" customWidth="1"/>
    <col min="2686" max="2686" width="16.28515625" style="595" customWidth="1"/>
    <col min="2687" max="2687" width="15.140625" style="595" customWidth="1"/>
    <col min="2688" max="2688" width="9.140625" style="595"/>
    <col min="2689" max="2689" width="14.140625" style="595" customWidth="1"/>
    <col min="2690" max="2690" width="6.5703125" style="595" customWidth="1"/>
    <col min="2691" max="2691" width="14.5703125" style="595" customWidth="1"/>
    <col min="2692" max="2692" width="6.42578125" style="595" customWidth="1"/>
    <col min="2693" max="2693" width="12.85546875" style="595" customWidth="1"/>
    <col min="2694" max="2694" width="7.85546875" style="595" customWidth="1"/>
    <col min="2695" max="2695" width="10.7109375" style="595" customWidth="1"/>
    <col min="2696" max="2696" width="7.140625" style="595" customWidth="1"/>
    <col min="2697" max="2697" width="11.85546875" style="595" customWidth="1"/>
    <col min="2698" max="2698" width="7.42578125" style="595" customWidth="1"/>
    <col min="2699" max="2699" width="12.140625" style="595" customWidth="1"/>
    <col min="2700" max="2700" width="8.42578125" style="595" customWidth="1"/>
    <col min="2701" max="2701" width="11.85546875" style="595" customWidth="1"/>
    <col min="2702" max="2702" width="6.85546875" style="595" customWidth="1"/>
    <col min="2703" max="2703" width="11.42578125" style="595" customWidth="1"/>
    <col min="2704" max="2704" width="9" style="595" customWidth="1"/>
    <col min="2705" max="2705" width="12.42578125" style="595" customWidth="1"/>
    <col min="2706" max="2706" width="5.85546875" style="595" customWidth="1"/>
    <col min="2707" max="2707" width="13.28515625" style="595" customWidth="1"/>
    <col min="2708" max="2708" width="8.85546875" style="595" customWidth="1"/>
    <col min="2709" max="2709" width="12" style="595" customWidth="1"/>
    <col min="2710" max="2710" width="7.5703125" style="595" customWidth="1"/>
    <col min="2711" max="2711" width="11.28515625" style="595" customWidth="1"/>
    <col min="2712" max="2712" width="6.5703125" style="595" customWidth="1"/>
    <col min="2713" max="2713" width="12.140625" style="595" customWidth="1"/>
    <col min="2714" max="2714" width="7.42578125" style="595" customWidth="1"/>
    <col min="2715" max="2715" width="12.42578125" style="595" customWidth="1"/>
    <col min="2716" max="2716" width="7.5703125" style="595" customWidth="1"/>
    <col min="2717" max="2717" width="11.28515625" style="595" customWidth="1"/>
    <col min="2718" max="2718" width="7.140625" style="595" customWidth="1"/>
    <col min="2719" max="2719" width="10.85546875" style="595" customWidth="1"/>
    <col min="2720" max="2720" width="6.140625" style="595" customWidth="1"/>
    <col min="2721" max="2721" width="10.7109375" style="595" customWidth="1"/>
    <col min="2722" max="2722" width="6.85546875" style="595" customWidth="1"/>
    <col min="2723" max="2723" width="10.7109375" style="595" customWidth="1"/>
    <col min="2724" max="2724" width="7" style="595" customWidth="1"/>
    <col min="2725" max="2725" width="11.85546875" style="595" customWidth="1"/>
    <col min="2726" max="2726" width="7.42578125" style="595" customWidth="1"/>
    <col min="2727" max="2727" width="10.7109375" style="595" customWidth="1"/>
    <col min="2728" max="2728" width="8.42578125" style="595" customWidth="1"/>
    <col min="2729" max="2729" width="11.140625" style="595" customWidth="1"/>
    <col min="2730" max="2730" width="8" style="595" customWidth="1"/>
    <col min="2731" max="2731" width="10.85546875" style="595" customWidth="1"/>
    <col min="2732" max="2732" width="7.5703125" style="595" customWidth="1"/>
    <col min="2733" max="2733" width="14.28515625" style="595" customWidth="1"/>
    <col min="2734" max="2734" width="6.5703125" style="595" customWidth="1"/>
    <col min="2735" max="2735" width="14.140625" style="595" customWidth="1"/>
    <col min="2736" max="2736" width="6.5703125" style="595" customWidth="1"/>
    <col min="2737" max="2737" width="14.28515625" style="595" customWidth="1"/>
    <col min="2738" max="2738" width="7.85546875" style="595" customWidth="1"/>
    <col min="2739" max="2739" width="14.140625" style="595" customWidth="1"/>
    <col min="2740" max="2740" width="6.85546875" style="595" customWidth="1"/>
    <col min="2741" max="2741" width="14.140625" style="595" customWidth="1"/>
    <col min="2742" max="2742" width="6.28515625" style="595" customWidth="1"/>
    <col min="2743" max="2743" width="14.140625" style="595" customWidth="1"/>
    <col min="2744" max="2744" width="5.85546875" style="595" customWidth="1"/>
    <col min="2745" max="2745" width="14.85546875" style="595" customWidth="1"/>
    <col min="2746" max="2746" width="6.85546875" style="595" customWidth="1"/>
    <col min="2747" max="2747" width="14.28515625" style="595" customWidth="1"/>
    <col min="2748" max="2748" width="7.28515625" style="595" customWidth="1"/>
    <col min="2749" max="2749" width="14.28515625" style="595" customWidth="1"/>
    <col min="2750" max="2750" width="6.42578125" style="595" customWidth="1"/>
    <col min="2751" max="2751" width="14" style="595" customWidth="1"/>
    <col min="2752" max="2752" width="7" style="595" customWidth="1"/>
    <col min="2753" max="2753" width="14" style="595" customWidth="1"/>
    <col min="2754" max="2754" width="6.42578125" style="595" customWidth="1"/>
    <col min="2755" max="2755" width="14.140625" style="595" customWidth="1"/>
    <col min="2756" max="2756" width="6.28515625" style="595" customWidth="1"/>
    <col min="2757" max="2757" width="14.140625" style="595" customWidth="1"/>
    <col min="2758" max="2758" width="7" style="595" customWidth="1"/>
    <col min="2759" max="2759" width="14.140625" style="595" customWidth="1"/>
    <col min="2760" max="2760" width="7.42578125" style="595" customWidth="1"/>
    <col min="2761" max="2761" width="14.5703125" style="595" customWidth="1"/>
    <col min="2762" max="2762" width="6.7109375" style="595" customWidth="1"/>
    <col min="2763" max="2763" width="14.140625" style="595" customWidth="1"/>
    <col min="2764" max="2764" width="7" style="595" customWidth="1"/>
    <col min="2765" max="2765" width="14.5703125" style="595" customWidth="1"/>
    <col min="2766" max="2766" width="7.42578125" style="595" customWidth="1"/>
    <col min="2767" max="2767" width="14.5703125" style="595" customWidth="1"/>
    <col min="2768" max="2768" width="6.42578125" style="595" customWidth="1"/>
    <col min="2769" max="2769" width="14.7109375" style="595" customWidth="1"/>
    <col min="2770" max="2770" width="6.85546875" style="595" customWidth="1"/>
    <col min="2771" max="2771" width="14.5703125" style="595" customWidth="1"/>
    <col min="2772" max="2772" width="7.140625" style="595" customWidth="1"/>
    <col min="2773" max="2773" width="14.5703125" style="595" customWidth="1"/>
    <col min="2774" max="2774" width="6.7109375" style="595" customWidth="1"/>
    <col min="2775" max="2775" width="14.140625" style="595" customWidth="1"/>
    <col min="2776" max="2776" width="5.85546875" style="595" customWidth="1"/>
    <col min="2777" max="2777" width="14" style="595" customWidth="1"/>
    <col min="2778" max="2778" width="8.28515625" style="595" customWidth="1"/>
    <col min="2779" max="2779" width="14.7109375" style="595" customWidth="1"/>
    <col min="2780" max="2780" width="7.140625" style="595" customWidth="1"/>
    <col min="2781" max="2781" width="14.7109375" style="595" customWidth="1"/>
    <col min="2782" max="2782" width="7.140625" style="595" customWidth="1"/>
    <col min="2783" max="2783" width="14" style="595" customWidth="1"/>
    <col min="2784" max="2784" width="6.42578125" style="595" customWidth="1"/>
    <col min="2785" max="2785" width="14" style="595" customWidth="1"/>
    <col min="2786" max="2786" width="6.28515625" style="595" customWidth="1"/>
    <col min="2787" max="2787" width="14.42578125" style="595" customWidth="1"/>
    <col min="2788" max="2788" width="6.28515625" style="595" customWidth="1"/>
    <col min="2789" max="2789" width="14.85546875" style="595" customWidth="1"/>
    <col min="2790" max="2790" width="7.28515625" style="595" customWidth="1"/>
    <col min="2791" max="2791" width="14.42578125" style="595" customWidth="1"/>
    <col min="2792" max="2792" width="7.28515625" style="595" customWidth="1"/>
    <col min="2793" max="2793" width="14.7109375" style="595" customWidth="1"/>
    <col min="2794" max="2794" width="6" style="595" customWidth="1"/>
    <col min="2795" max="2795" width="14.5703125" style="595" customWidth="1"/>
    <col min="2796" max="2796" width="6.42578125" style="595" customWidth="1"/>
    <col min="2797" max="2797" width="14.140625" style="595" customWidth="1"/>
    <col min="2798" max="2798" width="7.5703125" style="595" customWidth="1"/>
    <col min="2799" max="2799" width="14.5703125" style="595" customWidth="1"/>
    <col min="2800" max="2800" width="6.7109375" style="595" customWidth="1"/>
    <col min="2801" max="2801" width="15" style="595" customWidth="1"/>
    <col min="2802" max="2802" width="9.140625" style="595"/>
    <col min="2803" max="2803" width="14" style="595" customWidth="1"/>
    <col min="2804" max="2804" width="9.140625" style="595"/>
    <col min="2805" max="2805" width="14" style="595" customWidth="1"/>
    <col min="2806" max="2810" width="9.140625" style="595"/>
    <col min="2811" max="2811" width="41.28515625" style="595" customWidth="1"/>
    <col min="2812" max="2883" width="9.140625" style="595"/>
    <col min="2884" max="2884" width="21.140625" style="595" customWidth="1"/>
    <col min="2885" max="2885" width="7.28515625" style="595" customWidth="1"/>
    <col min="2886" max="2886" width="15" style="595" customWidth="1"/>
    <col min="2887" max="2887" width="23.28515625" style="595" customWidth="1"/>
    <col min="2888" max="2888" width="25.5703125" style="595" customWidth="1"/>
    <col min="2889" max="2889" width="7" style="595" bestFit="1" customWidth="1"/>
    <col min="2890" max="2890" width="6.42578125" style="595" bestFit="1" customWidth="1"/>
    <col min="2891" max="2891" width="7.85546875" style="595" customWidth="1"/>
    <col min="2892" max="2892" width="8.7109375" style="595" customWidth="1"/>
    <col min="2893" max="2893" width="7" style="595" bestFit="1" customWidth="1"/>
    <col min="2894" max="2894" width="6.42578125" style="595" bestFit="1" customWidth="1"/>
    <col min="2895" max="2895" width="6.85546875" style="595" customWidth="1"/>
    <col min="2896" max="2896" width="7.140625" style="595" customWidth="1"/>
    <col min="2897" max="2897" width="7" style="595" bestFit="1" customWidth="1"/>
    <col min="2898" max="2898" width="6.42578125" style="595" bestFit="1" customWidth="1"/>
    <col min="2899" max="2899" width="6" style="595" customWidth="1"/>
    <col min="2900" max="2900" width="9.7109375" style="595" customWidth="1"/>
    <col min="2901" max="2901" width="7" style="595" bestFit="1" customWidth="1"/>
    <col min="2902" max="2902" width="6.42578125" style="595" bestFit="1" customWidth="1"/>
    <col min="2903" max="2903" width="7.7109375" style="595" customWidth="1"/>
    <col min="2904" max="2908" width="7.28515625" style="595" customWidth="1"/>
    <col min="2909" max="2909" width="7" style="595" customWidth="1"/>
    <col min="2910" max="2911" width="5.140625" style="595" bestFit="1" customWidth="1"/>
    <col min="2912" max="2912" width="20.5703125" style="595" customWidth="1"/>
    <col min="2913" max="2913" width="8.85546875" style="595" customWidth="1"/>
    <col min="2914" max="2914" width="18.7109375" style="595" customWidth="1"/>
    <col min="2915" max="2915" width="9.7109375" style="595" customWidth="1"/>
    <col min="2916" max="2916" width="8.85546875" style="595" customWidth="1"/>
    <col min="2917" max="2917" width="10.7109375" style="595" customWidth="1"/>
    <col min="2918" max="2918" width="35.85546875" style="595" customWidth="1"/>
    <col min="2919" max="2919" width="18.7109375" style="595" customWidth="1"/>
    <col min="2920" max="2920" width="9.140625" style="595"/>
    <col min="2921" max="2921" width="9.28515625" style="595" bestFit="1" customWidth="1"/>
    <col min="2922" max="2922" width="9.140625" style="595"/>
    <col min="2923" max="2923" width="9" style="595" customWidth="1"/>
    <col min="2924" max="2924" width="9.5703125" style="595" customWidth="1"/>
    <col min="2925" max="2925" width="11.28515625" style="595" customWidth="1"/>
    <col min="2926" max="2926" width="9.140625" style="595"/>
    <col min="2927" max="2927" width="12.7109375" style="595" customWidth="1"/>
    <col min="2928" max="2928" width="9.140625" style="595"/>
    <col min="2929" max="2929" width="20.5703125" style="595" customWidth="1"/>
    <col min="2930" max="2930" width="15.7109375" style="595" customWidth="1"/>
    <col min="2931" max="2931" width="20.7109375" style="595" customWidth="1"/>
    <col min="2932" max="2932" width="18.28515625" style="595" customWidth="1"/>
    <col min="2933" max="2935" width="9.140625" style="595"/>
    <col min="2936" max="2936" width="13.5703125" style="595" customWidth="1"/>
    <col min="2937" max="2937" width="14.7109375" style="595" customWidth="1"/>
    <col min="2938" max="2938" width="7.28515625" style="595" customWidth="1"/>
    <col min="2939" max="2939" width="17.7109375" style="595" customWidth="1"/>
    <col min="2940" max="2940" width="13.5703125" style="595" customWidth="1"/>
    <col min="2941" max="2941" width="15.5703125" style="595" customWidth="1"/>
    <col min="2942" max="2942" width="16.28515625" style="595" customWidth="1"/>
    <col min="2943" max="2943" width="15.140625" style="595" customWidth="1"/>
    <col min="2944" max="2944" width="9.140625" style="595"/>
    <col min="2945" max="2945" width="14.140625" style="595" customWidth="1"/>
    <col min="2946" max="2946" width="6.5703125" style="595" customWidth="1"/>
    <col min="2947" max="2947" width="14.5703125" style="595" customWidth="1"/>
    <col min="2948" max="2948" width="6.42578125" style="595" customWidth="1"/>
    <col min="2949" max="2949" width="12.85546875" style="595" customWidth="1"/>
    <col min="2950" max="2950" width="7.85546875" style="595" customWidth="1"/>
    <col min="2951" max="2951" width="10.7109375" style="595" customWidth="1"/>
    <col min="2952" max="2952" width="7.140625" style="595" customWidth="1"/>
    <col min="2953" max="2953" width="11.85546875" style="595" customWidth="1"/>
    <col min="2954" max="2954" width="7.42578125" style="595" customWidth="1"/>
    <col min="2955" max="2955" width="12.140625" style="595" customWidth="1"/>
    <col min="2956" max="2956" width="8.42578125" style="595" customWidth="1"/>
    <col min="2957" max="2957" width="11.85546875" style="595" customWidth="1"/>
    <col min="2958" max="2958" width="6.85546875" style="595" customWidth="1"/>
    <col min="2959" max="2959" width="11.42578125" style="595" customWidth="1"/>
    <col min="2960" max="2960" width="9" style="595" customWidth="1"/>
    <col min="2961" max="2961" width="12.42578125" style="595" customWidth="1"/>
    <col min="2962" max="2962" width="5.85546875" style="595" customWidth="1"/>
    <col min="2963" max="2963" width="13.28515625" style="595" customWidth="1"/>
    <col min="2964" max="2964" width="8.85546875" style="595" customWidth="1"/>
    <col min="2965" max="2965" width="12" style="595" customWidth="1"/>
    <col min="2966" max="2966" width="7.5703125" style="595" customWidth="1"/>
    <col min="2967" max="2967" width="11.28515625" style="595" customWidth="1"/>
    <col min="2968" max="2968" width="6.5703125" style="595" customWidth="1"/>
    <col min="2969" max="2969" width="12.140625" style="595" customWidth="1"/>
    <col min="2970" max="2970" width="7.42578125" style="595" customWidth="1"/>
    <col min="2971" max="2971" width="12.42578125" style="595" customWidth="1"/>
    <col min="2972" max="2972" width="7.5703125" style="595" customWidth="1"/>
    <col min="2973" max="2973" width="11.28515625" style="595" customWidth="1"/>
    <col min="2974" max="2974" width="7.140625" style="595" customWidth="1"/>
    <col min="2975" max="2975" width="10.85546875" style="595" customWidth="1"/>
    <col min="2976" max="2976" width="6.140625" style="595" customWidth="1"/>
    <col min="2977" max="2977" width="10.7109375" style="595" customWidth="1"/>
    <col min="2978" max="2978" width="6.85546875" style="595" customWidth="1"/>
    <col min="2979" max="2979" width="10.7109375" style="595" customWidth="1"/>
    <col min="2980" max="2980" width="7" style="595" customWidth="1"/>
    <col min="2981" max="2981" width="11.85546875" style="595" customWidth="1"/>
    <col min="2982" max="2982" width="7.42578125" style="595" customWidth="1"/>
    <col min="2983" max="2983" width="10.7109375" style="595" customWidth="1"/>
    <col min="2984" max="2984" width="8.42578125" style="595" customWidth="1"/>
    <col min="2985" max="2985" width="11.140625" style="595" customWidth="1"/>
    <col min="2986" max="2986" width="8" style="595" customWidth="1"/>
    <col min="2987" max="2987" width="10.85546875" style="595" customWidth="1"/>
    <col min="2988" max="2988" width="7.5703125" style="595" customWidth="1"/>
    <col min="2989" max="2989" width="14.28515625" style="595" customWidth="1"/>
    <col min="2990" max="2990" width="6.5703125" style="595" customWidth="1"/>
    <col min="2991" max="2991" width="14.140625" style="595" customWidth="1"/>
    <col min="2992" max="2992" width="6.5703125" style="595" customWidth="1"/>
    <col min="2993" max="2993" width="14.28515625" style="595" customWidth="1"/>
    <col min="2994" max="2994" width="7.85546875" style="595" customWidth="1"/>
    <col min="2995" max="2995" width="14.140625" style="595" customWidth="1"/>
    <col min="2996" max="2996" width="6.85546875" style="595" customWidth="1"/>
    <col min="2997" max="2997" width="14.140625" style="595" customWidth="1"/>
    <col min="2998" max="2998" width="6.28515625" style="595" customWidth="1"/>
    <col min="2999" max="2999" width="14.140625" style="595" customWidth="1"/>
    <col min="3000" max="3000" width="5.85546875" style="595" customWidth="1"/>
    <col min="3001" max="3001" width="14.85546875" style="595" customWidth="1"/>
    <col min="3002" max="3002" width="6.85546875" style="595" customWidth="1"/>
    <col min="3003" max="3003" width="14.28515625" style="595" customWidth="1"/>
    <col min="3004" max="3004" width="7.28515625" style="595" customWidth="1"/>
    <col min="3005" max="3005" width="14.28515625" style="595" customWidth="1"/>
    <col min="3006" max="3006" width="6.42578125" style="595" customWidth="1"/>
    <col min="3007" max="3007" width="14" style="595" customWidth="1"/>
    <col min="3008" max="3008" width="7" style="595" customWidth="1"/>
    <col min="3009" max="3009" width="14" style="595" customWidth="1"/>
    <col min="3010" max="3010" width="6.42578125" style="595" customWidth="1"/>
    <col min="3011" max="3011" width="14.140625" style="595" customWidth="1"/>
    <col min="3012" max="3012" width="6.28515625" style="595" customWidth="1"/>
    <col min="3013" max="3013" width="14.140625" style="595" customWidth="1"/>
    <col min="3014" max="3014" width="7" style="595" customWidth="1"/>
    <col min="3015" max="3015" width="14.140625" style="595" customWidth="1"/>
    <col min="3016" max="3016" width="7.42578125" style="595" customWidth="1"/>
    <col min="3017" max="3017" width="14.5703125" style="595" customWidth="1"/>
    <col min="3018" max="3018" width="6.7109375" style="595" customWidth="1"/>
    <col min="3019" max="3019" width="14.140625" style="595" customWidth="1"/>
    <col min="3020" max="3020" width="7" style="595" customWidth="1"/>
    <col min="3021" max="3021" width="14.5703125" style="595" customWidth="1"/>
    <col min="3022" max="3022" width="7.42578125" style="595" customWidth="1"/>
    <col min="3023" max="3023" width="14.5703125" style="595" customWidth="1"/>
    <col min="3024" max="3024" width="6.42578125" style="595" customWidth="1"/>
    <col min="3025" max="3025" width="14.7109375" style="595" customWidth="1"/>
    <col min="3026" max="3026" width="6.85546875" style="595" customWidth="1"/>
    <col min="3027" max="3027" width="14.5703125" style="595" customWidth="1"/>
    <col min="3028" max="3028" width="7.140625" style="595" customWidth="1"/>
    <col min="3029" max="3029" width="14.5703125" style="595" customWidth="1"/>
    <col min="3030" max="3030" width="6.7109375" style="595" customWidth="1"/>
    <col min="3031" max="3031" width="14.140625" style="595" customWidth="1"/>
    <col min="3032" max="3032" width="5.85546875" style="595" customWidth="1"/>
    <col min="3033" max="3033" width="14" style="595" customWidth="1"/>
    <col min="3034" max="3034" width="8.28515625" style="595" customWidth="1"/>
    <col min="3035" max="3035" width="14.7109375" style="595" customWidth="1"/>
    <col min="3036" max="3036" width="7.140625" style="595" customWidth="1"/>
    <col min="3037" max="3037" width="14.7109375" style="595" customWidth="1"/>
    <col min="3038" max="3038" width="7.140625" style="595" customWidth="1"/>
    <col min="3039" max="3039" width="14" style="595" customWidth="1"/>
    <col min="3040" max="3040" width="6.42578125" style="595" customWidth="1"/>
    <col min="3041" max="3041" width="14" style="595" customWidth="1"/>
    <col min="3042" max="3042" width="6.28515625" style="595" customWidth="1"/>
    <col min="3043" max="3043" width="14.42578125" style="595" customWidth="1"/>
    <col min="3044" max="3044" width="6.28515625" style="595" customWidth="1"/>
    <col min="3045" max="3045" width="14.85546875" style="595" customWidth="1"/>
    <col min="3046" max="3046" width="7.28515625" style="595" customWidth="1"/>
    <col min="3047" max="3047" width="14.42578125" style="595" customWidth="1"/>
    <col min="3048" max="3048" width="7.28515625" style="595" customWidth="1"/>
    <col min="3049" max="3049" width="14.7109375" style="595" customWidth="1"/>
    <col min="3050" max="3050" width="6" style="595" customWidth="1"/>
    <col min="3051" max="3051" width="14.5703125" style="595" customWidth="1"/>
    <col min="3052" max="3052" width="6.42578125" style="595" customWidth="1"/>
    <col min="3053" max="3053" width="14.140625" style="595" customWidth="1"/>
    <col min="3054" max="3054" width="7.5703125" style="595" customWidth="1"/>
    <col min="3055" max="3055" width="14.5703125" style="595" customWidth="1"/>
    <col min="3056" max="3056" width="6.7109375" style="595" customWidth="1"/>
    <col min="3057" max="3057" width="15" style="595" customWidth="1"/>
    <col min="3058" max="3058" width="9.140625" style="595"/>
    <col min="3059" max="3059" width="14" style="595" customWidth="1"/>
    <col min="3060" max="3060" width="9.140625" style="595"/>
    <col min="3061" max="3061" width="14" style="595" customWidth="1"/>
    <col min="3062" max="3066" width="9.140625" style="595"/>
    <col min="3067" max="3067" width="41.28515625" style="595" customWidth="1"/>
    <col min="3068" max="3139" width="9.140625" style="595"/>
    <col min="3140" max="3140" width="21.140625" style="595" customWidth="1"/>
    <col min="3141" max="3141" width="7.28515625" style="595" customWidth="1"/>
    <col min="3142" max="3142" width="15" style="595" customWidth="1"/>
    <col min="3143" max="3143" width="23.28515625" style="595" customWidth="1"/>
    <col min="3144" max="3144" width="25.5703125" style="595" customWidth="1"/>
    <col min="3145" max="3145" width="7" style="595" bestFit="1" customWidth="1"/>
    <col min="3146" max="3146" width="6.42578125" style="595" bestFit="1" customWidth="1"/>
    <col min="3147" max="3147" width="7.85546875" style="595" customWidth="1"/>
    <col min="3148" max="3148" width="8.7109375" style="595" customWidth="1"/>
    <col min="3149" max="3149" width="7" style="595" bestFit="1" customWidth="1"/>
    <col min="3150" max="3150" width="6.42578125" style="595" bestFit="1" customWidth="1"/>
    <col min="3151" max="3151" width="6.85546875" style="595" customWidth="1"/>
    <col min="3152" max="3152" width="7.140625" style="595" customWidth="1"/>
    <col min="3153" max="3153" width="7" style="595" bestFit="1" customWidth="1"/>
    <col min="3154" max="3154" width="6.42578125" style="595" bestFit="1" customWidth="1"/>
    <col min="3155" max="3155" width="6" style="595" customWidth="1"/>
    <col min="3156" max="3156" width="9.7109375" style="595" customWidth="1"/>
    <col min="3157" max="3157" width="7" style="595" bestFit="1" customWidth="1"/>
    <col min="3158" max="3158" width="6.42578125" style="595" bestFit="1" customWidth="1"/>
    <col min="3159" max="3159" width="7.7109375" style="595" customWidth="1"/>
    <col min="3160" max="3164" width="7.28515625" style="595" customWidth="1"/>
    <col min="3165" max="3165" width="7" style="595" customWidth="1"/>
    <col min="3166" max="3167" width="5.140625" style="595" bestFit="1" customWidth="1"/>
    <col min="3168" max="3168" width="20.5703125" style="595" customWidth="1"/>
    <col min="3169" max="3169" width="8.85546875" style="595" customWidth="1"/>
    <col min="3170" max="3170" width="18.7109375" style="595" customWidth="1"/>
    <col min="3171" max="3171" width="9.7109375" style="595" customWidth="1"/>
    <col min="3172" max="3172" width="8.85546875" style="595" customWidth="1"/>
    <col min="3173" max="3173" width="10.7109375" style="595" customWidth="1"/>
    <col min="3174" max="3174" width="35.85546875" style="595" customWidth="1"/>
    <col min="3175" max="3175" width="18.7109375" style="595" customWidth="1"/>
    <col min="3176" max="3176" width="9.140625" style="595"/>
    <col min="3177" max="3177" width="9.28515625" style="595" bestFit="1" customWidth="1"/>
    <col min="3178" max="3178" width="9.140625" style="595"/>
    <col min="3179" max="3179" width="9" style="595" customWidth="1"/>
    <col min="3180" max="3180" width="9.5703125" style="595" customWidth="1"/>
    <col min="3181" max="3181" width="11.28515625" style="595" customWidth="1"/>
    <col min="3182" max="3182" width="9.140625" style="595"/>
    <col min="3183" max="3183" width="12.7109375" style="595" customWidth="1"/>
    <col min="3184" max="3184" width="9.140625" style="595"/>
    <col min="3185" max="3185" width="20.5703125" style="595" customWidth="1"/>
    <col min="3186" max="3186" width="15.7109375" style="595" customWidth="1"/>
    <col min="3187" max="3187" width="20.7109375" style="595" customWidth="1"/>
    <col min="3188" max="3188" width="18.28515625" style="595" customWidth="1"/>
    <col min="3189" max="3191" width="9.140625" style="595"/>
    <col min="3192" max="3192" width="13.5703125" style="595" customWidth="1"/>
    <col min="3193" max="3193" width="14.7109375" style="595" customWidth="1"/>
    <col min="3194" max="3194" width="7.28515625" style="595" customWidth="1"/>
    <col min="3195" max="3195" width="17.7109375" style="595" customWidth="1"/>
    <col min="3196" max="3196" width="13.5703125" style="595" customWidth="1"/>
    <col min="3197" max="3197" width="15.5703125" style="595" customWidth="1"/>
    <col min="3198" max="3198" width="16.28515625" style="595" customWidth="1"/>
    <col min="3199" max="3199" width="15.140625" style="595" customWidth="1"/>
    <col min="3200" max="3200" width="9.140625" style="595"/>
    <col min="3201" max="3201" width="14.140625" style="595" customWidth="1"/>
    <col min="3202" max="3202" width="6.5703125" style="595" customWidth="1"/>
    <col min="3203" max="3203" width="14.5703125" style="595" customWidth="1"/>
    <col min="3204" max="3204" width="6.42578125" style="595" customWidth="1"/>
    <col min="3205" max="3205" width="12.85546875" style="595" customWidth="1"/>
    <col min="3206" max="3206" width="7.85546875" style="595" customWidth="1"/>
    <col min="3207" max="3207" width="10.7109375" style="595" customWidth="1"/>
    <col min="3208" max="3208" width="7.140625" style="595" customWidth="1"/>
    <col min="3209" max="3209" width="11.85546875" style="595" customWidth="1"/>
    <col min="3210" max="3210" width="7.42578125" style="595" customWidth="1"/>
    <col min="3211" max="3211" width="12.140625" style="595" customWidth="1"/>
    <col min="3212" max="3212" width="8.42578125" style="595" customWidth="1"/>
    <col min="3213" max="3213" width="11.85546875" style="595" customWidth="1"/>
    <col min="3214" max="3214" width="6.85546875" style="595" customWidth="1"/>
    <col min="3215" max="3215" width="11.42578125" style="595" customWidth="1"/>
    <col min="3216" max="3216" width="9" style="595" customWidth="1"/>
    <col min="3217" max="3217" width="12.42578125" style="595" customWidth="1"/>
    <col min="3218" max="3218" width="5.85546875" style="595" customWidth="1"/>
    <col min="3219" max="3219" width="13.28515625" style="595" customWidth="1"/>
    <col min="3220" max="3220" width="8.85546875" style="595" customWidth="1"/>
    <col min="3221" max="3221" width="12" style="595" customWidth="1"/>
    <col min="3222" max="3222" width="7.5703125" style="595" customWidth="1"/>
    <col min="3223" max="3223" width="11.28515625" style="595" customWidth="1"/>
    <col min="3224" max="3224" width="6.5703125" style="595" customWidth="1"/>
    <col min="3225" max="3225" width="12.140625" style="595" customWidth="1"/>
    <col min="3226" max="3226" width="7.42578125" style="595" customWidth="1"/>
    <col min="3227" max="3227" width="12.42578125" style="595" customWidth="1"/>
    <col min="3228" max="3228" width="7.5703125" style="595" customWidth="1"/>
    <col min="3229" max="3229" width="11.28515625" style="595" customWidth="1"/>
    <col min="3230" max="3230" width="7.140625" style="595" customWidth="1"/>
    <col min="3231" max="3231" width="10.85546875" style="595" customWidth="1"/>
    <col min="3232" max="3232" width="6.140625" style="595" customWidth="1"/>
    <col min="3233" max="3233" width="10.7109375" style="595" customWidth="1"/>
    <col min="3234" max="3234" width="6.85546875" style="595" customWidth="1"/>
    <col min="3235" max="3235" width="10.7109375" style="595" customWidth="1"/>
    <col min="3236" max="3236" width="7" style="595" customWidth="1"/>
    <col min="3237" max="3237" width="11.85546875" style="595" customWidth="1"/>
    <col min="3238" max="3238" width="7.42578125" style="595" customWidth="1"/>
    <col min="3239" max="3239" width="10.7109375" style="595" customWidth="1"/>
    <col min="3240" max="3240" width="8.42578125" style="595" customWidth="1"/>
    <col min="3241" max="3241" width="11.140625" style="595" customWidth="1"/>
    <col min="3242" max="3242" width="8" style="595" customWidth="1"/>
    <col min="3243" max="3243" width="10.85546875" style="595" customWidth="1"/>
    <col min="3244" max="3244" width="7.5703125" style="595" customWidth="1"/>
    <col min="3245" max="3245" width="14.28515625" style="595" customWidth="1"/>
    <col min="3246" max="3246" width="6.5703125" style="595" customWidth="1"/>
    <col min="3247" max="3247" width="14.140625" style="595" customWidth="1"/>
    <col min="3248" max="3248" width="6.5703125" style="595" customWidth="1"/>
    <col min="3249" max="3249" width="14.28515625" style="595" customWidth="1"/>
    <col min="3250" max="3250" width="7.85546875" style="595" customWidth="1"/>
    <col min="3251" max="3251" width="14.140625" style="595" customWidth="1"/>
    <col min="3252" max="3252" width="6.85546875" style="595" customWidth="1"/>
    <col min="3253" max="3253" width="14.140625" style="595" customWidth="1"/>
    <col min="3254" max="3254" width="6.28515625" style="595" customWidth="1"/>
    <col min="3255" max="3255" width="14.140625" style="595" customWidth="1"/>
    <col min="3256" max="3256" width="5.85546875" style="595" customWidth="1"/>
    <col min="3257" max="3257" width="14.85546875" style="595" customWidth="1"/>
    <col min="3258" max="3258" width="6.85546875" style="595" customWidth="1"/>
    <col min="3259" max="3259" width="14.28515625" style="595" customWidth="1"/>
    <col min="3260" max="3260" width="7.28515625" style="595" customWidth="1"/>
    <col min="3261" max="3261" width="14.28515625" style="595" customWidth="1"/>
    <col min="3262" max="3262" width="6.42578125" style="595" customWidth="1"/>
    <col min="3263" max="3263" width="14" style="595" customWidth="1"/>
    <col min="3264" max="3264" width="7" style="595" customWidth="1"/>
    <col min="3265" max="3265" width="14" style="595" customWidth="1"/>
    <col min="3266" max="3266" width="6.42578125" style="595" customWidth="1"/>
    <col min="3267" max="3267" width="14.140625" style="595" customWidth="1"/>
    <col min="3268" max="3268" width="6.28515625" style="595" customWidth="1"/>
    <col min="3269" max="3269" width="14.140625" style="595" customWidth="1"/>
    <col min="3270" max="3270" width="7" style="595" customWidth="1"/>
    <col min="3271" max="3271" width="14.140625" style="595" customWidth="1"/>
    <col min="3272" max="3272" width="7.42578125" style="595" customWidth="1"/>
    <col min="3273" max="3273" width="14.5703125" style="595" customWidth="1"/>
    <col min="3274" max="3274" width="6.7109375" style="595" customWidth="1"/>
    <col min="3275" max="3275" width="14.140625" style="595" customWidth="1"/>
    <col min="3276" max="3276" width="7" style="595" customWidth="1"/>
    <col min="3277" max="3277" width="14.5703125" style="595" customWidth="1"/>
    <col min="3278" max="3278" width="7.42578125" style="595" customWidth="1"/>
    <col min="3279" max="3279" width="14.5703125" style="595" customWidth="1"/>
    <col min="3280" max="3280" width="6.42578125" style="595" customWidth="1"/>
    <col min="3281" max="3281" width="14.7109375" style="595" customWidth="1"/>
    <col min="3282" max="3282" width="6.85546875" style="595" customWidth="1"/>
    <col min="3283" max="3283" width="14.5703125" style="595" customWidth="1"/>
    <col min="3284" max="3284" width="7.140625" style="595" customWidth="1"/>
    <col min="3285" max="3285" width="14.5703125" style="595" customWidth="1"/>
    <col min="3286" max="3286" width="6.7109375" style="595" customWidth="1"/>
    <col min="3287" max="3287" width="14.140625" style="595" customWidth="1"/>
    <col min="3288" max="3288" width="5.85546875" style="595" customWidth="1"/>
    <col min="3289" max="3289" width="14" style="595" customWidth="1"/>
    <col min="3290" max="3290" width="8.28515625" style="595" customWidth="1"/>
    <col min="3291" max="3291" width="14.7109375" style="595" customWidth="1"/>
    <col min="3292" max="3292" width="7.140625" style="595" customWidth="1"/>
    <col min="3293" max="3293" width="14.7109375" style="595" customWidth="1"/>
    <col min="3294" max="3294" width="7.140625" style="595" customWidth="1"/>
    <col min="3295" max="3295" width="14" style="595" customWidth="1"/>
    <col min="3296" max="3296" width="6.42578125" style="595" customWidth="1"/>
    <col min="3297" max="3297" width="14" style="595" customWidth="1"/>
    <col min="3298" max="3298" width="6.28515625" style="595" customWidth="1"/>
    <col min="3299" max="3299" width="14.42578125" style="595" customWidth="1"/>
    <col min="3300" max="3300" width="6.28515625" style="595" customWidth="1"/>
    <col min="3301" max="3301" width="14.85546875" style="595" customWidth="1"/>
    <col min="3302" max="3302" width="7.28515625" style="595" customWidth="1"/>
    <col min="3303" max="3303" width="14.42578125" style="595" customWidth="1"/>
    <col min="3304" max="3304" width="7.28515625" style="595" customWidth="1"/>
    <col min="3305" max="3305" width="14.7109375" style="595" customWidth="1"/>
    <col min="3306" max="3306" width="6" style="595" customWidth="1"/>
    <col min="3307" max="3307" width="14.5703125" style="595" customWidth="1"/>
    <col min="3308" max="3308" width="6.42578125" style="595" customWidth="1"/>
    <col min="3309" max="3309" width="14.140625" style="595" customWidth="1"/>
    <col min="3310" max="3310" width="7.5703125" style="595" customWidth="1"/>
    <col min="3311" max="3311" width="14.5703125" style="595" customWidth="1"/>
    <col min="3312" max="3312" width="6.7109375" style="595" customWidth="1"/>
    <col min="3313" max="3313" width="15" style="595" customWidth="1"/>
    <col min="3314" max="3314" width="9.140625" style="595"/>
    <col min="3315" max="3315" width="14" style="595" customWidth="1"/>
    <col min="3316" max="3316" width="9.140625" style="595"/>
    <col min="3317" max="3317" width="14" style="595" customWidth="1"/>
    <col min="3318" max="3322" width="9.140625" style="595"/>
    <col min="3323" max="3323" width="41.28515625" style="595" customWidth="1"/>
    <col min="3324" max="3395" width="9.140625" style="595"/>
    <col min="3396" max="3396" width="21.140625" style="595" customWidth="1"/>
    <col min="3397" max="3397" width="7.28515625" style="595" customWidth="1"/>
    <col min="3398" max="3398" width="15" style="595" customWidth="1"/>
    <col min="3399" max="3399" width="23.28515625" style="595" customWidth="1"/>
    <col min="3400" max="3400" width="25.5703125" style="595" customWidth="1"/>
    <col min="3401" max="3401" width="7" style="595" bestFit="1" customWidth="1"/>
    <col min="3402" max="3402" width="6.42578125" style="595" bestFit="1" customWidth="1"/>
    <col min="3403" max="3403" width="7.85546875" style="595" customWidth="1"/>
    <col min="3404" max="3404" width="8.7109375" style="595" customWidth="1"/>
    <col min="3405" max="3405" width="7" style="595" bestFit="1" customWidth="1"/>
    <col min="3406" max="3406" width="6.42578125" style="595" bestFit="1" customWidth="1"/>
    <col min="3407" max="3407" width="6.85546875" style="595" customWidth="1"/>
    <col min="3408" max="3408" width="7.140625" style="595" customWidth="1"/>
    <col min="3409" max="3409" width="7" style="595" bestFit="1" customWidth="1"/>
    <col min="3410" max="3410" width="6.42578125" style="595" bestFit="1" customWidth="1"/>
    <col min="3411" max="3411" width="6" style="595" customWidth="1"/>
    <col min="3412" max="3412" width="9.7109375" style="595" customWidth="1"/>
    <col min="3413" max="3413" width="7" style="595" bestFit="1" customWidth="1"/>
    <col min="3414" max="3414" width="6.42578125" style="595" bestFit="1" customWidth="1"/>
    <col min="3415" max="3415" width="7.7109375" style="595" customWidth="1"/>
    <col min="3416" max="3420" width="7.28515625" style="595" customWidth="1"/>
    <col min="3421" max="3421" width="7" style="595" customWidth="1"/>
    <col min="3422" max="3423" width="5.140625" style="595" bestFit="1" customWidth="1"/>
    <col min="3424" max="3424" width="20.5703125" style="595" customWidth="1"/>
    <col min="3425" max="3425" width="8.85546875" style="595" customWidth="1"/>
    <col min="3426" max="3426" width="18.7109375" style="595" customWidth="1"/>
    <col min="3427" max="3427" width="9.7109375" style="595" customWidth="1"/>
    <col min="3428" max="3428" width="8.85546875" style="595" customWidth="1"/>
    <col min="3429" max="3429" width="10.7109375" style="595" customWidth="1"/>
    <col min="3430" max="3430" width="35.85546875" style="595" customWidth="1"/>
    <col min="3431" max="3431" width="18.7109375" style="595" customWidth="1"/>
    <col min="3432" max="3432" width="9.140625" style="595"/>
    <col min="3433" max="3433" width="9.28515625" style="595" bestFit="1" customWidth="1"/>
    <col min="3434" max="3434" width="9.140625" style="595"/>
    <col min="3435" max="3435" width="9" style="595" customWidth="1"/>
    <col min="3436" max="3436" width="9.5703125" style="595" customWidth="1"/>
    <col min="3437" max="3437" width="11.28515625" style="595" customWidth="1"/>
    <col min="3438" max="3438" width="9.140625" style="595"/>
    <col min="3439" max="3439" width="12.7109375" style="595" customWidth="1"/>
    <col min="3440" max="3440" width="9.140625" style="595"/>
    <col min="3441" max="3441" width="20.5703125" style="595" customWidth="1"/>
    <col min="3442" max="3442" width="15.7109375" style="595" customWidth="1"/>
    <col min="3443" max="3443" width="20.7109375" style="595" customWidth="1"/>
    <col min="3444" max="3444" width="18.28515625" style="595" customWidth="1"/>
    <col min="3445" max="3447" width="9.140625" style="595"/>
    <col min="3448" max="3448" width="13.5703125" style="595" customWidth="1"/>
    <col min="3449" max="3449" width="14.7109375" style="595" customWidth="1"/>
    <col min="3450" max="3450" width="7.28515625" style="595" customWidth="1"/>
    <col min="3451" max="3451" width="17.7109375" style="595" customWidth="1"/>
    <col min="3452" max="3452" width="13.5703125" style="595" customWidth="1"/>
    <col min="3453" max="3453" width="15.5703125" style="595" customWidth="1"/>
    <col min="3454" max="3454" width="16.28515625" style="595" customWidth="1"/>
    <col min="3455" max="3455" width="15.140625" style="595" customWidth="1"/>
    <col min="3456" max="3456" width="9.140625" style="595"/>
    <col min="3457" max="3457" width="14.140625" style="595" customWidth="1"/>
    <col min="3458" max="3458" width="6.5703125" style="595" customWidth="1"/>
    <col min="3459" max="3459" width="14.5703125" style="595" customWidth="1"/>
    <col min="3460" max="3460" width="6.42578125" style="595" customWidth="1"/>
    <col min="3461" max="3461" width="12.85546875" style="595" customWidth="1"/>
    <col min="3462" max="3462" width="7.85546875" style="595" customWidth="1"/>
    <col min="3463" max="3463" width="10.7109375" style="595" customWidth="1"/>
    <col min="3464" max="3464" width="7.140625" style="595" customWidth="1"/>
    <col min="3465" max="3465" width="11.85546875" style="595" customWidth="1"/>
    <col min="3466" max="3466" width="7.42578125" style="595" customWidth="1"/>
    <col min="3467" max="3467" width="12.140625" style="595" customWidth="1"/>
    <col min="3468" max="3468" width="8.42578125" style="595" customWidth="1"/>
    <col min="3469" max="3469" width="11.85546875" style="595" customWidth="1"/>
    <col min="3470" max="3470" width="6.85546875" style="595" customWidth="1"/>
    <col min="3471" max="3471" width="11.42578125" style="595" customWidth="1"/>
    <col min="3472" max="3472" width="9" style="595" customWidth="1"/>
    <col min="3473" max="3473" width="12.42578125" style="595" customWidth="1"/>
    <col min="3474" max="3474" width="5.85546875" style="595" customWidth="1"/>
    <col min="3475" max="3475" width="13.28515625" style="595" customWidth="1"/>
    <col min="3476" max="3476" width="8.85546875" style="595" customWidth="1"/>
    <col min="3477" max="3477" width="12" style="595" customWidth="1"/>
    <col min="3478" max="3478" width="7.5703125" style="595" customWidth="1"/>
    <col min="3479" max="3479" width="11.28515625" style="595" customWidth="1"/>
    <col min="3480" max="3480" width="6.5703125" style="595" customWidth="1"/>
    <col min="3481" max="3481" width="12.140625" style="595" customWidth="1"/>
    <col min="3482" max="3482" width="7.42578125" style="595" customWidth="1"/>
    <col min="3483" max="3483" width="12.42578125" style="595" customWidth="1"/>
    <col min="3484" max="3484" width="7.5703125" style="595" customWidth="1"/>
    <col min="3485" max="3485" width="11.28515625" style="595" customWidth="1"/>
    <col min="3486" max="3486" width="7.140625" style="595" customWidth="1"/>
    <col min="3487" max="3487" width="10.85546875" style="595" customWidth="1"/>
    <col min="3488" max="3488" width="6.140625" style="595" customWidth="1"/>
    <col min="3489" max="3489" width="10.7109375" style="595" customWidth="1"/>
    <col min="3490" max="3490" width="6.85546875" style="595" customWidth="1"/>
    <col min="3491" max="3491" width="10.7109375" style="595" customWidth="1"/>
    <col min="3492" max="3492" width="7" style="595" customWidth="1"/>
    <col min="3493" max="3493" width="11.85546875" style="595" customWidth="1"/>
    <col min="3494" max="3494" width="7.42578125" style="595" customWidth="1"/>
    <col min="3495" max="3495" width="10.7109375" style="595" customWidth="1"/>
    <col min="3496" max="3496" width="8.42578125" style="595" customWidth="1"/>
    <col min="3497" max="3497" width="11.140625" style="595" customWidth="1"/>
    <col min="3498" max="3498" width="8" style="595" customWidth="1"/>
    <col min="3499" max="3499" width="10.85546875" style="595" customWidth="1"/>
    <col min="3500" max="3500" width="7.5703125" style="595" customWidth="1"/>
    <col min="3501" max="3501" width="14.28515625" style="595" customWidth="1"/>
    <col min="3502" max="3502" width="6.5703125" style="595" customWidth="1"/>
    <col min="3503" max="3503" width="14.140625" style="595" customWidth="1"/>
    <col min="3504" max="3504" width="6.5703125" style="595" customWidth="1"/>
    <col min="3505" max="3505" width="14.28515625" style="595" customWidth="1"/>
    <col min="3506" max="3506" width="7.85546875" style="595" customWidth="1"/>
    <col min="3507" max="3507" width="14.140625" style="595" customWidth="1"/>
    <col min="3508" max="3508" width="6.85546875" style="595" customWidth="1"/>
    <col min="3509" max="3509" width="14.140625" style="595" customWidth="1"/>
    <col min="3510" max="3510" width="6.28515625" style="595" customWidth="1"/>
    <col min="3511" max="3511" width="14.140625" style="595" customWidth="1"/>
    <col min="3512" max="3512" width="5.85546875" style="595" customWidth="1"/>
    <col min="3513" max="3513" width="14.85546875" style="595" customWidth="1"/>
    <col min="3514" max="3514" width="6.85546875" style="595" customWidth="1"/>
    <col min="3515" max="3515" width="14.28515625" style="595" customWidth="1"/>
    <col min="3516" max="3516" width="7.28515625" style="595" customWidth="1"/>
    <col min="3517" max="3517" width="14.28515625" style="595" customWidth="1"/>
    <col min="3518" max="3518" width="6.42578125" style="595" customWidth="1"/>
    <col min="3519" max="3519" width="14" style="595" customWidth="1"/>
    <col min="3520" max="3520" width="7" style="595" customWidth="1"/>
    <col min="3521" max="3521" width="14" style="595" customWidth="1"/>
    <col min="3522" max="3522" width="6.42578125" style="595" customWidth="1"/>
    <col min="3523" max="3523" width="14.140625" style="595" customWidth="1"/>
    <col min="3524" max="3524" width="6.28515625" style="595" customWidth="1"/>
    <col min="3525" max="3525" width="14.140625" style="595" customWidth="1"/>
    <col min="3526" max="3526" width="7" style="595" customWidth="1"/>
    <col min="3527" max="3527" width="14.140625" style="595" customWidth="1"/>
    <col min="3528" max="3528" width="7.42578125" style="595" customWidth="1"/>
    <col min="3529" max="3529" width="14.5703125" style="595" customWidth="1"/>
    <col min="3530" max="3530" width="6.7109375" style="595" customWidth="1"/>
    <col min="3531" max="3531" width="14.140625" style="595" customWidth="1"/>
    <col min="3532" max="3532" width="7" style="595" customWidth="1"/>
    <col min="3533" max="3533" width="14.5703125" style="595" customWidth="1"/>
    <col min="3534" max="3534" width="7.42578125" style="595" customWidth="1"/>
    <col min="3535" max="3535" width="14.5703125" style="595" customWidth="1"/>
    <col min="3536" max="3536" width="6.42578125" style="595" customWidth="1"/>
    <col min="3537" max="3537" width="14.7109375" style="595" customWidth="1"/>
    <col min="3538" max="3538" width="6.85546875" style="595" customWidth="1"/>
    <col min="3539" max="3539" width="14.5703125" style="595" customWidth="1"/>
    <col min="3540" max="3540" width="7.140625" style="595" customWidth="1"/>
    <col min="3541" max="3541" width="14.5703125" style="595" customWidth="1"/>
    <col min="3542" max="3542" width="6.7109375" style="595" customWidth="1"/>
    <col min="3543" max="3543" width="14.140625" style="595" customWidth="1"/>
    <col min="3544" max="3544" width="5.85546875" style="595" customWidth="1"/>
    <col min="3545" max="3545" width="14" style="595" customWidth="1"/>
    <col min="3546" max="3546" width="8.28515625" style="595" customWidth="1"/>
    <col min="3547" max="3547" width="14.7109375" style="595" customWidth="1"/>
    <col min="3548" max="3548" width="7.140625" style="595" customWidth="1"/>
    <col min="3549" max="3549" width="14.7109375" style="595" customWidth="1"/>
    <col min="3550" max="3550" width="7.140625" style="595" customWidth="1"/>
    <col min="3551" max="3551" width="14" style="595" customWidth="1"/>
    <col min="3552" max="3552" width="6.42578125" style="595" customWidth="1"/>
    <col min="3553" max="3553" width="14" style="595" customWidth="1"/>
    <col min="3554" max="3554" width="6.28515625" style="595" customWidth="1"/>
    <col min="3555" max="3555" width="14.42578125" style="595" customWidth="1"/>
    <col min="3556" max="3556" width="6.28515625" style="595" customWidth="1"/>
    <col min="3557" max="3557" width="14.85546875" style="595" customWidth="1"/>
    <col min="3558" max="3558" width="7.28515625" style="595" customWidth="1"/>
    <col min="3559" max="3559" width="14.42578125" style="595" customWidth="1"/>
    <col min="3560" max="3560" width="7.28515625" style="595" customWidth="1"/>
    <col min="3561" max="3561" width="14.7109375" style="595" customWidth="1"/>
    <col min="3562" max="3562" width="6" style="595" customWidth="1"/>
    <col min="3563" max="3563" width="14.5703125" style="595" customWidth="1"/>
    <col min="3564" max="3564" width="6.42578125" style="595" customWidth="1"/>
    <col min="3565" max="3565" width="14.140625" style="595" customWidth="1"/>
    <col min="3566" max="3566" width="7.5703125" style="595" customWidth="1"/>
    <col min="3567" max="3567" width="14.5703125" style="595" customWidth="1"/>
    <col min="3568" max="3568" width="6.7109375" style="595" customWidth="1"/>
    <col min="3569" max="3569" width="15" style="595" customWidth="1"/>
    <col min="3570" max="3570" width="9.140625" style="595"/>
    <col min="3571" max="3571" width="14" style="595" customWidth="1"/>
    <col min="3572" max="3572" width="9.140625" style="595"/>
    <col min="3573" max="3573" width="14" style="595" customWidth="1"/>
    <col min="3574" max="3578" width="9.140625" style="595"/>
    <col min="3579" max="3579" width="41.28515625" style="595" customWidth="1"/>
    <col min="3580" max="3651" width="9.140625" style="595"/>
    <col min="3652" max="3652" width="21.140625" style="595" customWidth="1"/>
    <col min="3653" max="3653" width="7.28515625" style="595" customWidth="1"/>
    <col min="3654" max="3654" width="15" style="595" customWidth="1"/>
    <col min="3655" max="3655" width="23.28515625" style="595" customWidth="1"/>
    <col min="3656" max="3656" width="25.5703125" style="595" customWidth="1"/>
    <col min="3657" max="3657" width="7" style="595" bestFit="1" customWidth="1"/>
    <col min="3658" max="3658" width="6.42578125" style="595" bestFit="1" customWidth="1"/>
    <col min="3659" max="3659" width="7.85546875" style="595" customWidth="1"/>
    <col min="3660" max="3660" width="8.7109375" style="595" customWidth="1"/>
    <col min="3661" max="3661" width="7" style="595" bestFit="1" customWidth="1"/>
    <col min="3662" max="3662" width="6.42578125" style="595" bestFit="1" customWidth="1"/>
    <col min="3663" max="3663" width="6.85546875" style="595" customWidth="1"/>
    <col min="3664" max="3664" width="7.140625" style="595" customWidth="1"/>
    <col min="3665" max="3665" width="7" style="595" bestFit="1" customWidth="1"/>
    <col min="3666" max="3666" width="6.42578125" style="595" bestFit="1" customWidth="1"/>
    <col min="3667" max="3667" width="6" style="595" customWidth="1"/>
    <col min="3668" max="3668" width="9.7109375" style="595" customWidth="1"/>
    <col min="3669" max="3669" width="7" style="595" bestFit="1" customWidth="1"/>
    <col min="3670" max="3670" width="6.42578125" style="595" bestFit="1" customWidth="1"/>
    <col min="3671" max="3671" width="7.7109375" style="595" customWidth="1"/>
    <col min="3672" max="3676" width="7.28515625" style="595" customWidth="1"/>
    <col min="3677" max="3677" width="7" style="595" customWidth="1"/>
    <col min="3678" max="3679" width="5.140625" style="595" bestFit="1" customWidth="1"/>
    <col min="3680" max="3680" width="20.5703125" style="595" customWidth="1"/>
    <col min="3681" max="3681" width="8.85546875" style="595" customWidth="1"/>
    <col min="3682" max="3682" width="18.7109375" style="595" customWidth="1"/>
    <col min="3683" max="3683" width="9.7109375" style="595" customWidth="1"/>
    <col min="3684" max="3684" width="8.85546875" style="595" customWidth="1"/>
    <col min="3685" max="3685" width="10.7109375" style="595" customWidth="1"/>
    <col min="3686" max="3686" width="35.85546875" style="595" customWidth="1"/>
    <col min="3687" max="3687" width="18.7109375" style="595" customWidth="1"/>
    <col min="3688" max="3688" width="9.140625" style="595"/>
    <col min="3689" max="3689" width="9.28515625" style="595" bestFit="1" customWidth="1"/>
    <col min="3690" max="3690" width="9.140625" style="595"/>
    <col min="3691" max="3691" width="9" style="595" customWidth="1"/>
    <col min="3692" max="3692" width="9.5703125" style="595" customWidth="1"/>
    <col min="3693" max="3693" width="11.28515625" style="595" customWidth="1"/>
    <col min="3694" max="3694" width="9.140625" style="595"/>
    <col min="3695" max="3695" width="12.7109375" style="595" customWidth="1"/>
    <col min="3696" max="3696" width="9.140625" style="595"/>
    <col min="3697" max="3697" width="20.5703125" style="595" customWidth="1"/>
    <col min="3698" max="3698" width="15.7109375" style="595" customWidth="1"/>
    <col min="3699" max="3699" width="20.7109375" style="595" customWidth="1"/>
    <col min="3700" max="3700" width="18.28515625" style="595" customWidth="1"/>
    <col min="3701" max="3703" width="9.140625" style="595"/>
    <col min="3704" max="3704" width="13.5703125" style="595" customWidth="1"/>
    <col min="3705" max="3705" width="14.7109375" style="595" customWidth="1"/>
    <col min="3706" max="3706" width="7.28515625" style="595" customWidth="1"/>
    <col min="3707" max="3707" width="17.7109375" style="595" customWidth="1"/>
    <col min="3708" max="3708" width="13.5703125" style="595" customWidth="1"/>
    <col min="3709" max="3709" width="15.5703125" style="595" customWidth="1"/>
    <col min="3710" max="3710" width="16.28515625" style="595" customWidth="1"/>
    <col min="3711" max="3711" width="15.140625" style="595" customWidth="1"/>
    <col min="3712" max="3712" width="9.140625" style="595"/>
    <col min="3713" max="3713" width="14.140625" style="595" customWidth="1"/>
    <col min="3714" max="3714" width="6.5703125" style="595" customWidth="1"/>
    <col min="3715" max="3715" width="14.5703125" style="595" customWidth="1"/>
    <col min="3716" max="3716" width="6.42578125" style="595" customWidth="1"/>
    <col min="3717" max="3717" width="12.85546875" style="595" customWidth="1"/>
    <col min="3718" max="3718" width="7.85546875" style="595" customWidth="1"/>
    <col min="3719" max="3719" width="10.7109375" style="595" customWidth="1"/>
    <col min="3720" max="3720" width="7.140625" style="595" customWidth="1"/>
    <col min="3721" max="3721" width="11.85546875" style="595" customWidth="1"/>
    <col min="3722" max="3722" width="7.42578125" style="595" customWidth="1"/>
    <col min="3723" max="3723" width="12.140625" style="595" customWidth="1"/>
    <col min="3724" max="3724" width="8.42578125" style="595" customWidth="1"/>
    <col min="3725" max="3725" width="11.85546875" style="595" customWidth="1"/>
    <col min="3726" max="3726" width="6.85546875" style="595" customWidth="1"/>
    <col min="3727" max="3727" width="11.42578125" style="595" customWidth="1"/>
    <col min="3728" max="3728" width="9" style="595" customWidth="1"/>
    <col min="3729" max="3729" width="12.42578125" style="595" customWidth="1"/>
    <col min="3730" max="3730" width="5.85546875" style="595" customWidth="1"/>
    <col min="3731" max="3731" width="13.28515625" style="595" customWidth="1"/>
    <col min="3732" max="3732" width="8.85546875" style="595" customWidth="1"/>
    <col min="3733" max="3733" width="12" style="595" customWidth="1"/>
    <col min="3734" max="3734" width="7.5703125" style="595" customWidth="1"/>
    <col min="3735" max="3735" width="11.28515625" style="595" customWidth="1"/>
    <col min="3736" max="3736" width="6.5703125" style="595" customWidth="1"/>
    <col min="3737" max="3737" width="12.140625" style="595" customWidth="1"/>
    <col min="3738" max="3738" width="7.42578125" style="595" customWidth="1"/>
    <col min="3739" max="3739" width="12.42578125" style="595" customWidth="1"/>
    <col min="3740" max="3740" width="7.5703125" style="595" customWidth="1"/>
    <col min="3741" max="3741" width="11.28515625" style="595" customWidth="1"/>
    <col min="3742" max="3742" width="7.140625" style="595" customWidth="1"/>
    <col min="3743" max="3743" width="10.85546875" style="595" customWidth="1"/>
    <col min="3744" max="3744" width="6.140625" style="595" customWidth="1"/>
    <col min="3745" max="3745" width="10.7109375" style="595" customWidth="1"/>
    <col min="3746" max="3746" width="6.85546875" style="595" customWidth="1"/>
    <col min="3747" max="3747" width="10.7109375" style="595" customWidth="1"/>
    <col min="3748" max="3748" width="7" style="595" customWidth="1"/>
    <col min="3749" max="3749" width="11.85546875" style="595" customWidth="1"/>
    <col min="3750" max="3750" width="7.42578125" style="595" customWidth="1"/>
    <col min="3751" max="3751" width="10.7109375" style="595" customWidth="1"/>
    <col min="3752" max="3752" width="8.42578125" style="595" customWidth="1"/>
    <col min="3753" max="3753" width="11.140625" style="595" customWidth="1"/>
    <col min="3754" max="3754" width="8" style="595" customWidth="1"/>
    <col min="3755" max="3755" width="10.85546875" style="595" customWidth="1"/>
    <col min="3756" max="3756" width="7.5703125" style="595" customWidth="1"/>
    <col min="3757" max="3757" width="14.28515625" style="595" customWidth="1"/>
    <col min="3758" max="3758" width="6.5703125" style="595" customWidth="1"/>
    <col min="3759" max="3759" width="14.140625" style="595" customWidth="1"/>
    <col min="3760" max="3760" width="6.5703125" style="595" customWidth="1"/>
    <col min="3761" max="3761" width="14.28515625" style="595" customWidth="1"/>
    <col min="3762" max="3762" width="7.85546875" style="595" customWidth="1"/>
    <col min="3763" max="3763" width="14.140625" style="595" customWidth="1"/>
    <col min="3764" max="3764" width="6.85546875" style="595" customWidth="1"/>
    <col min="3765" max="3765" width="14.140625" style="595" customWidth="1"/>
    <col min="3766" max="3766" width="6.28515625" style="595" customWidth="1"/>
    <col min="3767" max="3767" width="14.140625" style="595" customWidth="1"/>
    <col min="3768" max="3768" width="5.85546875" style="595" customWidth="1"/>
    <col min="3769" max="3769" width="14.85546875" style="595" customWidth="1"/>
    <col min="3770" max="3770" width="6.85546875" style="595" customWidth="1"/>
    <col min="3771" max="3771" width="14.28515625" style="595" customWidth="1"/>
    <col min="3772" max="3772" width="7.28515625" style="595" customWidth="1"/>
    <col min="3773" max="3773" width="14.28515625" style="595" customWidth="1"/>
    <col min="3774" max="3774" width="6.42578125" style="595" customWidth="1"/>
    <col min="3775" max="3775" width="14" style="595" customWidth="1"/>
    <col min="3776" max="3776" width="7" style="595" customWidth="1"/>
    <col min="3777" max="3777" width="14" style="595" customWidth="1"/>
    <col min="3778" max="3778" width="6.42578125" style="595" customWidth="1"/>
    <col min="3779" max="3779" width="14.140625" style="595" customWidth="1"/>
    <col min="3780" max="3780" width="6.28515625" style="595" customWidth="1"/>
    <col min="3781" max="3781" width="14.140625" style="595" customWidth="1"/>
    <col min="3782" max="3782" width="7" style="595" customWidth="1"/>
    <col min="3783" max="3783" width="14.140625" style="595" customWidth="1"/>
    <col min="3784" max="3784" width="7.42578125" style="595" customWidth="1"/>
    <col min="3785" max="3785" width="14.5703125" style="595" customWidth="1"/>
    <col min="3786" max="3786" width="6.7109375" style="595" customWidth="1"/>
    <col min="3787" max="3787" width="14.140625" style="595" customWidth="1"/>
    <col min="3788" max="3788" width="7" style="595" customWidth="1"/>
    <col min="3789" max="3789" width="14.5703125" style="595" customWidth="1"/>
    <col min="3790" max="3790" width="7.42578125" style="595" customWidth="1"/>
    <col min="3791" max="3791" width="14.5703125" style="595" customWidth="1"/>
    <col min="3792" max="3792" width="6.42578125" style="595" customWidth="1"/>
    <col min="3793" max="3793" width="14.7109375" style="595" customWidth="1"/>
    <col min="3794" max="3794" width="6.85546875" style="595" customWidth="1"/>
    <col min="3795" max="3795" width="14.5703125" style="595" customWidth="1"/>
    <col min="3796" max="3796" width="7.140625" style="595" customWidth="1"/>
    <col min="3797" max="3797" width="14.5703125" style="595" customWidth="1"/>
    <col min="3798" max="3798" width="6.7109375" style="595" customWidth="1"/>
    <col min="3799" max="3799" width="14.140625" style="595" customWidth="1"/>
    <col min="3800" max="3800" width="5.85546875" style="595" customWidth="1"/>
    <col min="3801" max="3801" width="14" style="595" customWidth="1"/>
    <col min="3802" max="3802" width="8.28515625" style="595" customWidth="1"/>
    <col min="3803" max="3803" width="14.7109375" style="595" customWidth="1"/>
    <col min="3804" max="3804" width="7.140625" style="595" customWidth="1"/>
    <col min="3805" max="3805" width="14.7109375" style="595" customWidth="1"/>
    <col min="3806" max="3806" width="7.140625" style="595" customWidth="1"/>
    <col min="3807" max="3807" width="14" style="595" customWidth="1"/>
    <col min="3808" max="3808" width="6.42578125" style="595" customWidth="1"/>
    <col min="3809" max="3809" width="14" style="595" customWidth="1"/>
    <col min="3810" max="3810" width="6.28515625" style="595" customWidth="1"/>
    <col min="3811" max="3811" width="14.42578125" style="595" customWidth="1"/>
    <col min="3812" max="3812" width="6.28515625" style="595" customWidth="1"/>
    <col min="3813" max="3813" width="14.85546875" style="595" customWidth="1"/>
    <col min="3814" max="3814" width="7.28515625" style="595" customWidth="1"/>
    <col min="3815" max="3815" width="14.42578125" style="595" customWidth="1"/>
    <col min="3816" max="3816" width="7.28515625" style="595" customWidth="1"/>
    <col min="3817" max="3817" width="14.7109375" style="595" customWidth="1"/>
    <col min="3818" max="3818" width="6" style="595" customWidth="1"/>
    <col min="3819" max="3819" width="14.5703125" style="595" customWidth="1"/>
    <col min="3820" max="3820" width="6.42578125" style="595" customWidth="1"/>
    <col min="3821" max="3821" width="14.140625" style="595" customWidth="1"/>
    <col min="3822" max="3822" width="7.5703125" style="595" customWidth="1"/>
    <col min="3823" max="3823" width="14.5703125" style="595" customWidth="1"/>
    <col min="3824" max="3824" width="6.7109375" style="595" customWidth="1"/>
    <col min="3825" max="3825" width="15" style="595" customWidth="1"/>
    <col min="3826" max="3826" width="9.140625" style="595"/>
    <col min="3827" max="3827" width="14" style="595" customWidth="1"/>
    <col min="3828" max="3828" width="9.140625" style="595"/>
    <col min="3829" max="3829" width="14" style="595" customWidth="1"/>
    <col min="3830" max="3834" width="9.140625" style="595"/>
    <col min="3835" max="3835" width="41.28515625" style="595" customWidth="1"/>
    <col min="3836" max="3907" width="9.140625" style="595"/>
    <col min="3908" max="3908" width="21.140625" style="595" customWidth="1"/>
    <col min="3909" max="3909" width="7.28515625" style="595" customWidth="1"/>
    <col min="3910" max="3910" width="15" style="595" customWidth="1"/>
    <col min="3911" max="3911" width="23.28515625" style="595" customWidth="1"/>
    <col min="3912" max="3912" width="25.5703125" style="595" customWidth="1"/>
    <col min="3913" max="3913" width="7" style="595" bestFit="1" customWidth="1"/>
    <col min="3914" max="3914" width="6.42578125" style="595" bestFit="1" customWidth="1"/>
    <col min="3915" max="3915" width="7.85546875" style="595" customWidth="1"/>
    <col min="3916" max="3916" width="8.7109375" style="595" customWidth="1"/>
    <col min="3917" max="3917" width="7" style="595" bestFit="1" customWidth="1"/>
    <col min="3918" max="3918" width="6.42578125" style="595" bestFit="1" customWidth="1"/>
    <col min="3919" max="3919" width="6.85546875" style="595" customWidth="1"/>
    <col min="3920" max="3920" width="7.140625" style="595" customWidth="1"/>
    <col min="3921" max="3921" width="7" style="595" bestFit="1" customWidth="1"/>
    <col min="3922" max="3922" width="6.42578125" style="595" bestFit="1" customWidth="1"/>
    <col min="3923" max="3923" width="6" style="595" customWidth="1"/>
    <col min="3924" max="3924" width="9.7109375" style="595" customWidth="1"/>
    <col min="3925" max="3925" width="7" style="595" bestFit="1" customWidth="1"/>
    <col min="3926" max="3926" width="6.42578125" style="595" bestFit="1" customWidth="1"/>
    <col min="3927" max="3927" width="7.7109375" style="595" customWidth="1"/>
    <col min="3928" max="3932" width="7.28515625" style="595" customWidth="1"/>
    <col min="3933" max="3933" width="7" style="595" customWidth="1"/>
    <col min="3934" max="3935" width="5.140625" style="595" bestFit="1" customWidth="1"/>
    <col min="3936" max="3936" width="20.5703125" style="595" customWidth="1"/>
    <col min="3937" max="3937" width="8.85546875" style="595" customWidth="1"/>
    <col min="3938" max="3938" width="18.7109375" style="595" customWidth="1"/>
    <col min="3939" max="3939" width="9.7109375" style="595" customWidth="1"/>
    <col min="3940" max="3940" width="8.85546875" style="595" customWidth="1"/>
    <col min="3941" max="3941" width="10.7109375" style="595" customWidth="1"/>
    <col min="3942" max="3942" width="35.85546875" style="595" customWidth="1"/>
    <col min="3943" max="3943" width="18.7109375" style="595" customWidth="1"/>
    <col min="3944" max="3944" width="9.140625" style="595"/>
    <col min="3945" max="3945" width="9.28515625" style="595" bestFit="1" customWidth="1"/>
    <col min="3946" max="3946" width="9.140625" style="595"/>
    <col min="3947" max="3947" width="9" style="595" customWidth="1"/>
    <col min="3948" max="3948" width="9.5703125" style="595" customWidth="1"/>
    <col min="3949" max="3949" width="11.28515625" style="595" customWidth="1"/>
    <col min="3950" max="3950" width="9.140625" style="595"/>
    <col min="3951" max="3951" width="12.7109375" style="595" customWidth="1"/>
    <col min="3952" max="3952" width="9.140625" style="595"/>
    <col min="3953" max="3953" width="20.5703125" style="595" customWidth="1"/>
    <col min="3954" max="3954" width="15.7109375" style="595" customWidth="1"/>
    <col min="3955" max="3955" width="20.7109375" style="595" customWidth="1"/>
    <col min="3956" max="3956" width="18.28515625" style="595" customWidth="1"/>
    <col min="3957" max="3959" width="9.140625" style="595"/>
    <col min="3960" max="3960" width="13.5703125" style="595" customWidth="1"/>
    <col min="3961" max="3961" width="14.7109375" style="595" customWidth="1"/>
    <col min="3962" max="3962" width="7.28515625" style="595" customWidth="1"/>
    <col min="3963" max="3963" width="17.7109375" style="595" customWidth="1"/>
    <col min="3964" max="3964" width="13.5703125" style="595" customWidth="1"/>
    <col min="3965" max="3965" width="15.5703125" style="595" customWidth="1"/>
    <col min="3966" max="3966" width="16.28515625" style="595" customWidth="1"/>
    <col min="3967" max="3967" width="15.140625" style="595" customWidth="1"/>
    <col min="3968" max="3968" width="9.140625" style="595"/>
    <col min="3969" max="3969" width="14.140625" style="595" customWidth="1"/>
    <col min="3970" max="3970" width="6.5703125" style="595" customWidth="1"/>
    <col min="3971" max="3971" width="14.5703125" style="595" customWidth="1"/>
    <col min="3972" max="3972" width="6.42578125" style="595" customWidth="1"/>
    <col min="3973" max="3973" width="12.85546875" style="595" customWidth="1"/>
    <col min="3974" max="3974" width="7.85546875" style="595" customWidth="1"/>
    <col min="3975" max="3975" width="10.7109375" style="595" customWidth="1"/>
    <col min="3976" max="3976" width="7.140625" style="595" customWidth="1"/>
    <col min="3977" max="3977" width="11.85546875" style="595" customWidth="1"/>
    <col min="3978" max="3978" width="7.42578125" style="595" customWidth="1"/>
    <col min="3979" max="3979" width="12.140625" style="595" customWidth="1"/>
    <col min="3980" max="3980" width="8.42578125" style="595" customWidth="1"/>
    <col min="3981" max="3981" width="11.85546875" style="595" customWidth="1"/>
    <col min="3982" max="3982" width="6.85546875" style="595" customWidth="1"/>
    <col min="3983" max="3983" width="11.42578125" style="595" customWidth="1"/>
    <col min="3984" max="3984" width="9" style="595" customWidth="1"/>
    <col min="3985" max="3985" width="12.42578125" style="595" customWidth="1"/>
    <col min="3986" max="3986" width="5.85546875" style="595" customWidth="1"/>
    <col min="3987" max="3987" width="13.28515625" style="595" customWidth="1"/>
    <col min="3988" max="3988" width="8.85546875" style="595" customWidth="1"/>
    <col min="3989" max="3989" width="12" style="595" customWidth="1"/>
    <col min="3990" max="3990" width="7.5703125" style="595" customWidth="1"/>
    <col min="3991" max="3991" width="11.28515625" style="595" customWidth="1"/>
    <col min="3992" max="3992" width="6.5703125" style="595" customWidth="1"/>
    <col min="3993" max="3993" width="12.140625" style="595" customWidth="1"/>
    <col min="3994" max="3994" width="7.42578125" style="595" customWidth="1"/>
    <col min="3995" max="3995" width="12.42578125" style="595" customWidth="1"/>
    <col min="3996" max="3996" width="7.5703125" style="595" customWidth="1"/>
    <col min="3997" max="3997" width="11.28515625" style="595" customWidth="1"/>
    <col min="3998" max="3998" width="7.140625" style="595" customWidth="1"/>
    <col min="3999" max="3999" width="10.85546875" style="595" customWidth="1"/>
    <col min="4000" max="4000" width="6.140625" style="595" customWidth="1"/>
    <col min="4001" max="4001" width="10.7109375" style="595" customWidth="1"/>
    <col min="4002" max="4002" width="6.85546875" style="595" customWidth="1"/>
    <col min="4003" max="4003" width="10.7109375" style="595" customWidth="1"/>
    <col min="4004" max="4004" width="7" style="595" customWidth="1"/>
    <col min="4005" max="4005" width="11.85546875" style="595" customWidth="1"/>
    <col min="4006" max="4006" width="7.42578125" style="595" customWidth="1"/>
    <col min="4007" max="4007" width="10.7109375" style="595" customWidth="1"/>
    <col min="4008" max="4008" width="8.42578125" style="595" customWidth="1"/>
    <col min="4009" max="4009" width="11.140625" style="595" customWidth="1"/>
    <col min="4010" max="4010" width="8" style="595" customWidth="1"/>
    <col min="4011" max="4011" width="10.85546875" style="595" customWidth="1"/>
    <col min="4012" max="4012" width="7.5703125" style="595" customWidth="1"/>
    <col min="4013" max="4013" width="14.28515625" style="595" customWidth="1"/>
    <col min="4014" max="4014" width="6.5703125" style="595" customWidth="1"/>
    <col min="4015" max="4015" width="14.140625" style="595" customWidth="1"/>
    <col min="4016" max="4016" width="6.5703125" style="595" customWidth="1"/>
    <col min="4017" max="4017" width="14.28515625" style="595" customWidth="1"/>
    <col min="4018" max="4018" width="7.85546875" style="595" customWidth="1"/>
    <col min="4019" max="4019" width="14.140625" style="595" customWidth="1"/>
    <col min="4020" max="4020" width="6.85546875" style="595" customWidth="1"/>
    <col min="4021" max="4021" width="14.140625" style="595" customWidth="1"/>
    <col min="4022" max="4022" width="6.28515625" style="595" customWidth="1"/>
    <col min="4023" max="4023" width="14.140625" style="595" customWidth="1"/>
    <col min="4024" max="4024" width="5.85546875" style="595" customWidth="1"/>
    <col min="4025" max="4025" width="14.85546875" style="595" customWidth="1"/>
    <col min="4026" max="4026" width="6.85546875" style="595" customWidth="1"/>
    <col min="4027" max="4027" width="14.28515625" style="595" customWidth="1"/>
    <col min="4028" max="4028" width="7.28515625" style="595" customWidth="1"/>
    <col min="4029" max="4029" width="14.28515625" style="595" customWidth="1"/>
    <col min="4030" max="4030" width="6.42578125" style="595" customWidth="1"/>
    <col min="4031" max="4031" width="14" style="595" customWidth="1"/>
    <col min="4032" max="4032" width="7" style="595" customWidth="1"/>
    <col min="4033" max="4033" width="14" style="595" customWidth="1"/>
    <col min="4034" max="4034" width="6.42578125" style="595" customWidth="1"/>
    <col min="4035" max="4035" width="14.140625" style="595" customWidth="1"/>
    <col min="4036" max="4036" width="6.28515625" style="595" customWidth="1"/>
    <col min="4037" max="4037" width="14.140625" style="595" customWidth="1"/>
    <col min="4038" max="4038" width="7" style="595" customWidth="1"/>
    <col min="4039" max="4039" width="14.140625" style="595" customWidth="1"/>
    <col min="4040" max="4040" width="7.42578125" style="595" customWidth="1"/>
    <col min="4041" max="4041" width="14.5703125" style="595" customWidth="1"/>
    <col min="4042" max="4042" width="6.7109375" style="595" customWidth="1"/>
    <col min="4043" max="4043" width="14.140625" style="595" customWidth="1"/>
    <col min="4044" max="4044" width="7" style="595" customWidth="1"/>
    <col min="4045" max="4045" width="14.5703125" style="595" customWidth="1"/>
    <col min="4046" max="4046" width="7.42578125" style="595" customWidth="1"/>
    <col min="4047" max="4047" width="14.5703125" style="595" customWidth="1"/>
    <col min="4048" max="4048" width="6.42578125" style="595" customWidth="1"/>
    <col min="4049" max="4049" width="14.7109375" style="595" customWidth="1"/>
    <col min="4050" max="4050" width="6.85546875" style="595" customWidth="1"/>
    <col min="4051" max="4051" width="14.5703125" style="595" customWidth="1"/>
    <col min="4052" max="4052" width="7.140625" style="595" customWidth="1"/>
    <col min="4053" max="4053" width="14.5703125" style="595" customWidth="1"/>
    <col min="4054" max="4054" width="6.7109375" style="595" customWidth="1"/>
    <col min="4055" max="4055" width="14.140625" style="595" customWidth="1"/>
    <col min="4056" max="4056" width="5.85546875" style="595" customWidth="1"/>
    <col min="4057" max="4057" width="14" style="595" customWidth="1"/>
    <col min="4058" max="4058" width="8.28515625" style="595" customWidth="1"/>
    <col min="4059" max="4059" width="14.7109375" style="595" customWidth="1"/>
    <col min="4060" max="4060" width="7.140625" style="595" customWidth="1"/>
    <col min="4061" max="4061" width="14.7109375" style="595" customWidth="1"/>
    <col min="4062" max="4062" width="7.140625" style="595" customWidth="1"/>
    <col min="4063" max="4063" width="14" style="595" customWidth="1"/>
    <col min="4064" max="4064" width="6.42578125" style="595" customWidth="1"/>
    <col min="4065" max="4065" width="14" style="595" customWidth="1"/>
    <col min="4066" max="4066" width="6.28515625" style="595" customWidth="1"/>
    <col min="4067" max="4067" width="14.42578125" style="595" customWidth="1"/>
    <col min="4068" max="4068" width="6.28515625" style="595" customWidth="1"/>
    <col min="4069" max="4069" width="14.85546875" style="595" customWidth="1"/>
    <col min="4070" max="4070" width="7.28515625" style="595" customWidth="1"/>
    <col min="4071" max="4071" width="14.42578125" style="595" customWidth="1"/>
    <col min="4072" max="4072" width="7.28515625" style="595" customWidth="1"/>
    <col min="4073" max="4073" width="14.7109375" style="595" customWidth="1"/>
    <col min="4074" max="4074" width="6" style="595" customWidth="1"/>
    <col min="4075" max="4075" width="14.5703125" style="595" customWidth="1"/>
    <col min="4076" max="4076" width="6.42578125" style="595" customWidth="1"/>
    <col min="4077" max="4077" width="14.140625" style="595" customWidth="1"/>
    <col min="4078" max="4078" width="7.5703125" style="595" customWidth="1"/>
    <col min="4079" max="4079" width="14.5703125" style="595" customWidth="1"/>
    <col min="4080" max="4080" width="6.7109375" style="595" customWidth="1"/>
    <col min="4081" max="4081" width="15" style="595" customWidth="1"/>
    <col min="4082" max="4082" width="9.140625" style="595"/>
    <col min="4083" max="4083" width="14" style="595" customWidth="1"/>
    <col min="4084" max="4084" width="9.140625" style="595"/>
    <col min="4085" max="4085" width="14" style="595" customWidth="1"/>
    <col min="4086" max="4090" width="9.140625" style="595"/>
    <col min="4091" max="4091" width="41.28515625" style="595" customWidth="1"/>
    <col min="4092" max="4163" width="9.140625" style="595"/>
    <col min="4164" max="4164" width="21.140625" style="595" customWidth="1"/>
    <col min="4165" max="4165" width="7.28515625" style="595" customWidth="1"/>
    <col min="4166" max="4166" width="15" style="595" customWidth="1"/>
    <col min="4167" max="4167" width="23.28515625" style="595" customWidth="1"/>
    <col min="4168" max="4168" width="25.5703125" style="595" customWidth="1"/>
    <col min="4169" max="4169" width="7" style="595" bestFit="1" customWidth="1"/>
    <col min="4170" max="4170" width="6.42578125" style="595" bestFit="1" customWidth="1"/>
    <col min="4171" max="4171" width="7.85546875" style="595" customWidth="1"/>
    <col min="4172" max="4172" width="8.7109375" style="595" customWidth="1"/>
    <col min="4173" max="4173" width="7" style="595" bestFit="1" customWidth="1"/>
    <col min="4174" max="4174" width="6.42578125" style="595" bestFit="1" customWidth="1"/>
    <col min="4175" max="4175" width="6.85546875" style="595" customWidth="1"/>
    <col min="4176" max="4176" width="7.140625" style="595" customWidth="1"/>
    <col min="4177" max="4177" width="7" style="595" bestFit="1" customWidth="1"/>
    <col min="4178" max="4178" width="6.42578125" style="595" bestFit="1" customWidth="1"/>
    <col min="4179" max="4179" width="6" style="595" customWidth="1"/>
    <col min="4180" max="4180" width="9.7109375" style="595" customWidth="1"/>
    <col min="4181" max="4181" width="7" style="595" bestFit="1" customWidth="1"/>
    <col min="4182" max="4182" width="6.42578125" style="595" bestFit="1" customWidth="1"/>
    <col min="4183" max="4183" width="7.7109375" style="595" customWidth="1"/>
    <col min="4184" max="4188" width="7.28515625" style="595" customWidth="1"/>
    <col min="4189" max="4189" width="7" style="595" customWidth="1"/>
    <col min="4190" max="4191" width="5.140625" style="595" bestFit="1" customWidth="1"/>
    <col min="4192" max="4192" width="20.5703125" style="595" customWidth="1"/>
    <col min="4193" max="4193" width="8.85546875" style="595" customWidth="1"/>
    <col min="4194" max="4194" width="18.7109375" style="595" customWidth="1"/>
    <col min="4195" max="4195" width="9.7109375" style="595" customWidth="1"/>
    <col min="4196" max="4196" width="8.85546875" style="595" customWidth="1"/>
    <col min="4197" max="4197" width="10.7109375" style="595" customWidth="1"/>
    <col min="4198" max="4198" width="35.85546875" style="595" customWidth="1"/>
    <col min="4199" max="4199" width="18.7109375" style="595" customWidth="1"/>
    <col min="4200" max="4200" width="9.140625" style="595"/>
    <col min="4201" max="4201" width="9.28515625" style="595" bestFit="1" customWidth="1"/>
    <col min="4202" max="4202" width="9.140625" style="595"/>
    <col min="4203" max="4203" width="9" style="595" customWidth="1"/>
    <col min="4204" max="4204" width="9.5703125" style="595" customWidth="1"/>
    <col min="4205" max="4205" width="11.28515625" style="595" customWidth="1"/>
    <col min="4206" max="4206" width="9.140625" style="595"/>
    <col min="4207" max="4207" width="12.7109375" style="595" customWidth="1"/>
    <col min="4208" max="4208" width="9.140625" style="595"/>
    <col min="4209" max="4209" width="20.5703125" style="595" customWidth="1"/>
    <col min="4210" max="4210" width="15.7109375" style="595" customWidth="1"/>
    <col min="4211" max="4211" width="20.7109375" style="595" customWidth="1"/>
    <col min="4212" max="4212" width="18.28515625" style="595" customWidth="1"/>
    <col min="4213" max="4215" width="9.140625" style="595"/>
    <col min="4216" max="4216" width="13.5703125" style="595" customWidth="1"/>
    <col min="4217" max="4217" width="14.7109375" style="595" customWidth="1"/>
    <col min="4218" max="4218" width="7.28515625" style="595" customWidth="1"/>
    <col min="4219" max="4219" width="17.7109375" style="595" customWidth="1"/>
    <col min="4220" max="4220" width="13.5703125" style="595" customWidth="1"/>
    <col min="4221" max="4221" width="15.5703125" style="595" customWidth="1"/>
    <col min="4222" max="4222" width="16.28515625" style="595" customWidth="1"/>
    <col min="4223" max="4223" width="15.140625" style="595" customWidth="1"/>
    <col min="4224" max="4224" width="9.140625" style="595"/>
    <col min="4225" max="4225" width="14.140625" style="595" customWidth="1"/>
    <col min="4226" max="4226" width="6.5703125" style="595" customWidth="1"/>
    <col min="4227" max="4227" width="14.5703125" style="595" customWidth="1"/>
    <col min="4228" max="4228" width="6.42578125" style="595" customWidth="1"/>
    <col min="4229" max="4229" width="12.85546875" style="595" customWidth="1"/>
    <col min="4230" max="4230" width="7.85546875" style="595" customWidth="1"/>
    <col min="4231" max="4231" width="10.7109375" style="595" customWidth="1"/>
    <col min="4232" max="4232" width="7.140625" style="595" customWidth="1"/>
    <col min="4233" max="4233" width="11.85546875" style="595" customWidth="1"/>
    <col min="4234" max="4234" width="7.42578125" style="595" customWidth="1"/>
    <col min="4235" max="4235" width="12.140625" style="595" customWidth="1"/>
    <col min="4236" max="4236" width="8.42578125" style="595" customWidth="1"/>
    <col min="4237" max="4237" width="11.85546875" style="595" customWidth="1"/>
    <col min="4238" max="4238" width="6.85546875" style="595" customWidth="1"/>
    <col min="4239" max="4239" width="11.42578125" style="595" customWidth="1"/>
    <col min="4240" max="4240" width="9" style="595" customWidth="1"/>
    <col min="4241" max="4241" width="12.42578125" style="595" customWidth="1"/>
    <col min="4242" max="4242" width="5.85546875" style="595" customWidth="1"/>
    <col min="4243" max="4243" width="13.28515625" style="595" customWidth="1"/>
    <col min="4244" max="4244" width="8.85546875" style="595" customWidth="1"/>
    <col min="4245" max="4245" width="12" style="595" customWidth="1"/>
    <col min="4246" max="4246" width="7.5703125" style="595" customWidth="1"/>
    <col min="4247" max="4247" width="11.28515625" style="595" customWidth="1"/>
    <col min="4248" max="4248" width="6.5703125" style="595" customWidth="1"/>
    <col min="4249" max="4249" width="12.140625" style="595" customWidth="1"/>
    <col min="4250" max="4250" width="7.42578125" style="595" customWidth="1"/>
    <col min="4251" max="4251" width="12.42578125" style="595" customWidth="1"/>
    <col min="4252" max="4252" width="7.5703125" style="595" customWidth="1"/>
    <col min="4253" max="4253" width="11.28515625" style="595" customWidth="1"/>
    <col min="4254" max="4254" width="7.140625" style="595" customWidth="1"/>
    <col min="4255" max="4255" width="10.85546875" style="595" customWidth="1"/>
    <col min="4256" max="4256" width="6.140625" style="595" customWidth="1"/>
    <col min="4257" max="4257" width="10.7109375" style="595" customWidth="1"/>
    <col min="4258" max="4258" width="6.85546875" style="595" customWidth="1"/>
    <col min="4259" max="4259" width="10.7109375" style="595" customWidth="1"/>
    <col min="4260" max="4260" width="7" style="595" customWidth="1"/>
    <col min="4261" max="4261" width="11.85546875" style="595" customWidth="1"/>
    <col min="4262" max="4262" width="7.42578125" style="595" customWidth="1"/>
    <col min="4263" max="4263" width="10.7109375" style="595" customWidth="1"/>
    <col min="4264" max="4264" width="8.42578125" style="595" customWidth="1"/>
    <col min="4265" max="4265" width="11.140625" style="595" customWidth="1"/>
    <col min="4266" max="4266" width="8" style="595" customWidth="1"/>
    <col min="4267" max="4267" width="10.85546875" style="595" customWidth="1"/>
    <col min="4268" max="4268" width="7.5703125" style="595" customWidth="1"/>
    <col min="4269" max="4269" width="14.28515625" style="595" customWidth="1"/>
    <col min="4270" max="4270" width="6.5703125" style="595" customWidth="1"/>
    <col min="4271" max="4271" width="14.140625" style="595" customWidth="1"/>
    <col min="4272" max="4272" width="6.5703125" style="595" customWidth="1"/>
    <col min="4273" max="4273" width="14.28515625" style="595" customWidth="1"/>
    <col min="4274" max="4274" width="7.85546875" style="595" customWidth="1"/>
    <col min="4275" max="4275" width="14.140625" style="595" customWidth="1"/>
    <col min="4276" max="4276" width="6.85546875" style="595" customWidth="1"/>
    <col min="4277" max="4277" width="14.140625" style="595" customWidth="1"/>
    <col min="4278" max="4278" width="6.28515625" style="595" customWidth="1"/>
    <col min="4279" max="4279" width="14.140625" style="595" customWidth="1"/>
    <col min="4280" max="4280" width="5.85546875" style="595" customWidth="1"/>
    <col min="4281" max="4281" width="14.85546875" style="595" customWidth="1"/>
    <col min="4282" max="4282" width="6.85546875" style="595" customWidth="1"/>
    <col min="4283" max="4283" width="14.28515625" style="595" customWidth="1"/>
    <col min="4284" max="4284" width="7.28515625" style="595" customWidth="1"/>
    <col min="4285" max="4285" width="14.28515625" style="595" customWidth="1"/>
    <col min="4286" max="4286" width="6.42578125" style="595" customWidth="1"/>
    <col min="4287" max="4287" width="14" style="595" customWidth="1"/>
    <col min="4288" max="4288" width="7" style="595" customWidth="1"/>
    <col min="4289" max="4289" width="14" style="595" customWidth="1"/>
    <col min="4290" max="4290" width="6.42578125" style="595" customWidth="1"/>
    <col min="4291" max="4291" width="14.140625" style="595" customWidth="1"/>
    <col min="4292" max="4292" width="6.28515625" style="595" customWidth="1"/>
    <col min="4293" max="4293" width="14.140625" style="595" customWidth="1"/>
    <col min="4294" max="4294" width="7" style="595" customWidth="1"/>
    <col min="4295" max="4295" width="14.140625" style="595" customWidth="1"/>
    <col min="4296" max="4296" width="7.42578125" style="595" customWidth="1"/>
    <col min="4297" max="4297" width="14.5703125" style="595" customWidth="1"/>
    <col min="4298" max="4298" width="6.7109375" style="595" customWidth="1"/>
    <col min="4299" max="4299" width="14.140625" style="595" customWidth="1"/>
    <col min="4300" max="4300" width="7" style="595" customWidth="1"/>
    <col min="4301" max="4301" width="14.5703125" style="595" customWidth="1"/>
    <col min="4302" max="4302" width="7.42578125" style="595" customWidth="1"/>
    <col min="4303" max="4303" width="14.5703125" style="595" customWidth="1"/>
    <col min="4304" max="4304" width="6.42578125" style="595" customWidth="1"/>
    <col min="4305" max="4305" width="14.7109375" style="595" customWidth="1"/>
    <col min="4306" max="4306" width="6.85546875" style="595" customWidth="1"/>
    <col min="4307" max="4307" width="14.5703125" style="595" customWidth="1"/>
    <col min="4308" max="4308" width="7.140625" style="595" customWidth="1"/>
    <col min="4309" max="4309" width="14.5703125" style="595" customWidth="1"/>
    <col min="4310" max="4310" width="6.7109375" style="595" customWidth="1"/>
    <col min="4311" max="4311" width="14.140625" style="595" customWidth="1"/>
    <col min="4312" max="4312" width="5.85546875" style="595" customWidth="1"/>
    <col min="4313" max="4313" width="14" style="595" customWidth="1"/>
    <col min="4314" max="4314" width="8.28515625" style="595" customWidth="1"/>
    <col min="4315" max="4315" width="14.7109375" style="595" customWidth="1"/>
    <col min="4316" max="4316" width="7.140625" style="595" customWidth="1"/>
    <col min="4317" max="4317" width="14.7109375" style="595" customWidth="1"/>
    <col min="4318" max="4318" width="7.140625" style="595" customWidth="1"/>
    <col min="4319" max="4319" width="14" style="595" customWidth="1"/>
    <col min="4320" max="4320" width="6.42578125" style="595" customWidth="1"/>
    <col min="4321" max="4321" width="14" style="595" customWidth="1"/>
    <col min="4322" max="4322" width="6.28515625" style="595" customWidth="1"/>
    <col min="4323" max="4323" width="14.42578125" style="595" customWidth="1"/>
    <col min="4324" max="4324" width="6.28515625" style="595" customWidth="1"/>
    <col min="4325" max="4325" width="14.85546875" style="595" customWidth="1"/>
    <col min="4326" max="4326" width="7.28515625" style="595" customWidth="1"/>
    <col min="4327" max="4327" width="14.42578125" style="595" customWidth="1"/>
    <col min="4328" max="4328" width="7.28515625" style="595" customWidth="1"/>
    <col min="4329" max="4329" width="14.7109375" style="595" customWidth="1"/>
    <col min="4330" max="4330" width="6" style="595" customWidth="1"/>
    <col min="4331" max="4331" width="14.5703125" style="595" customWidth="1"/>
    <col min="4332" max="4332" width="6.42578125" style="595" customWidth="1"/>
    <col min="4333" max="4333" width="14.140625" style="595" customWidth="1"/>
    <col min="4334" max="4334" width="7.5703125" style="595" customWidth="1"/>
    <col min="4335" max="4335" width="14.5703125" style="595" customWidth="1"/>
    <col min="4336" max="4336" width="6.7109375" style="595" customWidth="1"/>
    <col min="4337" max="4337" width="15" style="595" customWidth="1"/>
    <col min="4338" max="4338" width="9.140625" style="595"/>
    <col min="4339" max="4339" width="14" style="595" customWidth="1"/>
    <col min="4340" max="4340" width="9.140625" style="595"/>
    <col min="4341" max="4341" width="14" style="595" customWidth="1"/>
    <col min="4342" max="4346" width="9.140625" style="595"/>
    <col min="4347" max="4347" width="41.28515625" style="595" customWidth="1"/>
    <col min="4348" max="4419" width="9.140625" style="595"/>
    <col min="4420" max="4420" width="21.140625" style="595" customWidth="1"/>
    <col min="4421" max="4421" width="7.28515625" style="595" customWidth="1"/>
    <col min="4422" max="4422" width="15" style="595" customWidth="1"/>
    <col min="4423" max="4423" width="23.28515625" style="595" customWidth="1"/>
    <col min="4424" max="4424" width="25.5703125" style="595" customWidth="1"/>
    <col min="4425" max="4425" width="7" style="595" bestFit="1" customWidth="1"/>
    <col min="4426" max="4426" width="6.42578125" style="595" bestFit="1" customWidth="1"/>
    <col min="4427" max="4427" width="7.85546875" style="595" customWidth="1"/>
    <col min="4428" max="4428" width="8.7109375" style="595" customWidth="1"/>
    <col min="4429" max="4429" width="7" style="595" bestFit="1" customWidth="1"/>
    <col min="4430" max="4430" width="6.42578125" style="595" bestFit="1" customWidth="1"/>
    <col min="4431" max="4431" width="6.85546875" style="595" customWidth="1"/>
    <col min="4432" max="4432" width="7.140625" style="595" customWidth="1"/>
    <col min="4433" max="4433" width="7" style="595" bestFit="1" customWidth="1"/>
    <col min="4434" max="4434" width="6.42578125" style="595" bestFit="1" customWidth="1"/>
    <col min="4435" max="4435" width="6" style="595" customWidth="1"/>
    <col min="4436" max="4436" width="9.7109375" style="595" customWidth="1"/>
    <col min="4437" max="4437" width="7" style="595" bestFit="1" customWidth="1"/>
    <col min="4438" max="4438" width="6.42578125" style="595" bestFit="1" customWidth="1"/>
    <col min="4439" max="4439" width="7.7109375" style="595" customWidth="1"/>
    <col min="4440" max="4444" width="7.28515625" style="595" customWidth="1"/>
    <col min="4445" max="4445" width="7" style="595" customWidth="1"/>
    <col min="4446" max="4447" width="5.140625" style="595" bestFit="1" customWidth="1"/>
    <col min="4448" max="4448" width="20.5703125" style="595" customWidth="1"/>
    <col min="4449" max="4449" width="8.85546875" style="595" customWidth="1"/>
    <col min="4450" max="4450" width="18.7109375" style="595" customWidth="1"/>
    <col min="4451" max="4451" width="9.7109375" style="595" customWidth="1"/>
    <col min="4452" max="4452" width="8.85546875" style="595" customWidth="1"/>
    <col min="4453" max="4453" width="10.7109375" style="595" customWidth="1"/>
    <col min="4454" max="4454" width="35.85546875" style="595" customWidth="1"/>
    <col min="4455" max="4455" width="18.7109375" style="595" customWidth="1"/>
    <col min="4456" max="4456" width="9.140625" style="595"/>
    <col min="4457" max="4457" width="9.28515625" style="595" bestFit="1" customWidth="1"/>
    <col min="4458" max="4458" width="9.140625" style="595"/>
    <col min="4459" max="4459" width="9" style="595" customWidth="1"/>
    <col min="4460" max="4460" width="9.5703125" style="595" customWidth="1"/>
    <col min="4461" max="4461" width="11.28515625" style="595" customWidth="1"/>
    <col min="4462" max="4462" width="9.140625" style="595"/>
    <col min="4463" max="4463" width="12.7109375" style="595" customWidth="1"/>
    <col min="4464" max="4464" width="9.140625" style="595"/>
    <col min="4465" max="4465" width="20.5703125" style="595" customWidth="1"/>
    <col min="4466" max="4466" width="15.7109375" style="595" customWidth="1"/>
    <col min="4467" max="4467" width="20.7109375" style="595" customWidth="1"/>
    <col min="4468" max="4468" width="18.28515625" style="595" customWidth="1"/>
    <col min="4469" max="4471" width="9.140625" style="595"/>
    <col min="4472" max="4472" width="13.5703125" style="595" customWidth="1"/>
    <col min="4473" max="4473" width="14.7109375" style="595" customWidth="1"/>
    <col min="4474" max="4474" width="7.28515625" style="595" customWidth="1"/>
    <col min="4475" max="4475" width="17.7109375" style="595" customWidth="1"/>
    <col min="4476" max="4476" width="13.5703125" style="595" customWidth="1"/>
    <col min="4477" max="4477" width="15.5703125" style="595" customWidth="1"/>
    <col min="4478" max="4478" width="16.28515625" style="595" customWidth="1"/>
    <col min="4479" max="4479" width="15.140625" style="595" customWidth="1"/>
    <col min="4480" max="4480" width="9.140625" style="595"/>
    <col min="4481" max="4481" width="14.140625" style="595" customWidth="1"/>
    <col min="4482" max="4482" width="6.5703125" style="595" customWidth="1"/>
    <col min="4483" max="4483" width="14.5703125" style="595" customWidth="1"/>
    <col min="4484" max="4484" width="6.42578125" style="595" customWidth="1"/>
    <col min="4485" max="4485" width="12.85546875" style="595" customWidth="1"/>
    <col min="4486" max="4486" width="7.85546875" style="595" customWidth="1"/>
    <col min="4487" max="4487" width="10.7109375" style="595" customWidth="1"/>
    <col min="4488" max="4488" width="7.140625" style="595" customWidth="1"/>
    <col min="4489" max="4489" width="11.85546875" style="595" customWidth="1"/>
    <col min="4490" max="4490" width="7.42578125" style="595" customWidth="1"/>
    <col min="4491" max="4491" width="12.140625" style="595" customWidth="1"/>
    <col min="4492" max="4492" width="8.42578125" style="595" customWidth="1"/>
    <col min="4493" max="4493" width="11.85546875" style="595" customWidth="1"/>
    <col min="4494" max="4494" width="6.85546875" style="595" customWidth="1"/>
    <col min="4495" max="4495" width="11.42578125" style="595" customWidth="1"/>
    <col min="4496" max="4496" width="9" style="595" customWidth="1"/>
    <col min="4497" max="4497" width="12.42578125" style="595" customWidth="1"/>
    <col min="4498" max="4498" width="5.85546875" style="595" customWidth="1"/>
    <col min="4499" max="4499" width="13.28515625" style="595" customWidth="1"/>
    <col min="4500" max="4500" width="8.85546875" style="595" customWidth="1"/>
    <col min="4501" max="4501" width="12" style="595" customWidth="1"/>
    <col min="4502" max="4502" width="7.5703125" style="595" customWidth="1"/>
    <col min="4503" max="4503" width="11.28515625" style="595" customWidth="1"/>
    <col min="4504" max="4504" width="6.5703125" style="595" customWidth="1"/>
    <col min="4505" max="4505" width="12.140625" style="595" customWidth="1"/>
    <col min="4506" max="4506" width="7.42578125" style="595" customWidth="1"/>
    <col min="4507" max="4507" width="12.42578125" style="595" customWidth="1"/>
    <col min="4508" max="4508" width="7.5703125" style="595" customWidth="1"/>
    <col min="4509" max="4509" width="11.28515625" style="595" customWidth="1"/>
    <col min="4510" max="4510" width="7.140625" style="595" customWidth="1"/>
    <col min="4511" max="4511" width="10.85546875" style="595" customWidth="1"/>
    <col min="4512" max="4512" width="6.140625" style="595" customWidth="1"/>
    <col min="4513" max="4513" width="10.7109375" style="595" customWidth="1"/>
    <col min="4514" max="4514" width="6.85546875" style="595" customWidth="1"/>
    <col min="4515" max="4515" width="10.7109375" style="595" customWidth="1"/>
    <col min="4516" max="4516" width="7" style="595" customWidth="1"/>
    <col min="4517" max="4517" width="11.85546875" style="595" customWidth="1"/>
    <col min="4518" max="4518" width="7.42578125" style="595" customWidth="1"/>
    <col min="4519" max="4519" width="10.7109375" style="595" customWidth="1"/>
    <col min="4520" max="4520" width="8.42578125" style="595" customWidth="1"/>
    <col min="4521" max="4521" width="11.140625" style="595" customWidth="1"/>
    <col min="4522" max="4522" width="8" style="595" customWidth="1"/>
    <col min="4523" max="4523" width="10.85546875" style="595" customWidth="1"/>
    <col min="4524" max="4524" width="7.5703125" style="595" customWidth="1"/>
    <col min="4525" max="4525" width="14.28515625" style="595" customWidth="1"/>
    <col min="4526" max="4526" width="6.5703125" style="595" customWidth="1"/>
    <col min="4527" max="4527" width="14.140625" style="595" customWidth="1"/>
    <col min="4528" max="4528" width="6.5703125" style="595" customWidth="1"/>
    <col min="4529" max="4529" width="14.28515625" style="595" customWidth="1"/>
    <col min="4530" max="4530" width="7.85546875" style="595" customWidth="1"/>
    <col min="4531" max="4531" width="14.140625" style="595" customWidth="1"/>
    <col min="4532" max="4532" width="6.85546875" style="595" customWidth="1"/>
    <col min="4533" max="4533" width="14.140625" style="595" customWidth="1"/>
    <col min="4534" max="4534" width="6.28515625" style="595" customWidth="1"/>
    <col min="4535" max="4535" width="14.140625" style="595" customWidth="1"/>
    <col min="4536" max="4536" width="5.85546875" style="595" customWidth="1"/>
    <col min="4537" max="4537" width="14.85546875" style="595" customWidth="1"/>
    <col min="4538" max="4538" width="6.85546875" style="595" customWidth="1"/>
    <col min="4539" max="4539" width="14.28515625" style="595" customWidth="1"/>
    <col min="4540" max="4540" width="7.28515625" style="595" customWidth="1"/>
    <col min="4541" max="4541" width="14.28515625" style="595" customWidth="1"/>
    <col min="4542" max="4542" width="6.42578125" style="595" customWidth="1"/>
    <col min="4543" max="4543" width="14" style="595" customWidth="1"/>
    <col min="4544" max="4544" width="7" style="595" customWidth="1"/>
    <col min="4545" max="4545" width="14" style="595" customWidth="1"/>
    <col min="4546" max="4546" width="6.42578125" style="595" customWidth="1"/>
    <col min="4547" max="4547" width="14.140625" style="595" customWidth="1"/>
    <col min="4548" max="4548" width="6.28515625" style="595" customWidth="1"/>
    <col min="4549" max="4549" width="14.140625" style="595" customWidth="1"/>
    <col min="4550" max="4550" width="7" style="595" customWidth="1"/>
    <col min="4551" max="4551" width="14.140625" style="595" customWidth="1"/>
    <col min="4552" max="4552" width="7.42578125" style="595" customWidth="1"/>
    <col min="4553" max="4553" width="14.5703125" style="595" customWidth="1"/>
    <col min="4554" max="4554" width="6.7109375" style="595" customWidth="1"/>
    <col min="4555" max="4555" width="14.140625" style="595" customWidth="1"/>
    <col min="4556" max="4556" width="7" style="595" customWidth="1"/>
    <col min="4557" max="4557" width="14.5703125" style="595" customWidth="1"/>
    <col min="4558" max="4558" width="7.42578125" style="595" customWidth="1"/>
    <col min="4559" max="4559" width="14.5703125" style="595" customWidth="1"/>
    <col min="4560" max="4560" width="6.42578125" style="595" customWidth="1"/>
    <col min="4561" max="4561" width="14.7109375" style="595" customWidth="1"/>
    <col min="4562" max="4562" width="6.85546875" style="595" customWidth="1"/>
    <col min="4563" max="4563" width="14.5703125" style="595" customWidth="1"/>
    <col min="4564" max="4564" width="7.140625" style="595" customWidth="1"/>
    <col min="4565" max="4565" width="14.5703125" style="595" customWidth="1"/>
    <col min="4566" max="4566" width="6.7109375" style="595" customWidth="1"/>
    <col min="4567" max="4567" width="14.140625" style="595" customWidth="1"/>
    <col min="4568" max="4568" width="5.85546875" style="595" customWidth="1"/>
    <col min="4569" max="4569" width="14" style="595" customWidth="1"/>
    <col min="4570" max="4570" width="8.28515625" style="595" customWidth="1"/>
    <col min="4571" max="4571" width="14.7109375" style="595" customWidth="1"/>
    <col min="4572" max="4572" width="7.140625" style="595" customWidth="1"/>
    <col min="4573" max="4573" width="14.7109375" style="595" customWidth="1"/>
    <col min="4574" max="4574" width="7.140625" style="595" customWidth="1"/>
    <col min="4575" max="4575" width="14" style="595" customWidth="1"/>
    <col min="4576" max="4576" width="6.42578125" style="595" customWidth="1"/>
    <col min="4577" max="4577" width="14" style="595" customWidth="1"/>
    <col min="4578" max="4578" width="6.28515625" style="595" customWidth="1"/>
    <col min="4579" max="4579" width="14.42578125" style="595" customWidth="1"/>
    <col min="4580" max="4580" width="6.28515625" style="595" customWidth="1"/>
    <col min="4581" max="4581" width="14.85546875" style="595" customWidth="1"/>
    <col min="4582" max="4582" width="7.28515625" style="595" customWidth="1"/>
    <col min="4583" max="4583" width="14.42578125" style="595" customWidth="1"/>
    <col min="4584" max="4584" width="7.28515625" style="595" customWidth="1"/>
    <col min="4585" max="4585" width="14.7109375" style="595" customWidth="1"/>
    <col min="4586" max="4586" width="6" style="595" customWidth="1"/>
    <col min="4587" max="4587" width="14.5703125" style="595" customWidth="1"/>
    <col min="4588" max="4588" width="6.42578125" style="595" customWidth="1"/>
    <col min="4589" max="4589" width="14.140625" style="595" customWidth="1"/>
    <col min="4590" max="4590" width="7.5703125" style="595" customWidth="1"/>
    <col min="4591" max="4591" width="14.5703125" style="595" customWidth="1"/>
    <col min="4592" max="4592" width="6.7109375" style="595" customWidth="1"/>
    <col min="4593" max="4593" width="15" style="595" customWidth="1"/>
    <col min="4594" max="4594" width="9.140625" style="595"/>
    <col min="4595" max="4595" width="14" style="595" customWidth="1"/>
    <col min="4596" max="4596" width="9.140625" style="595"/>
    <col min="4597" max="4597" width="14" style="595" customWidth="1"/>
    <col min="4598" max="4602" width="9.140625" style="595"/>
    <col min="4603" max="4603" width="41.28515625" style="595" customWidth="1"/>
    <col min="4604" max="4675" width="9.140625" style="595"/>
    <col min="4676" max="4676" width="21.140625" style="595" customWidth="1"/>
    <col min="4677" max="4677" width="7.28515625" style="595" customWidth="1"/>
    <col min="4678" max="4678" width="15" style="595" customWidth="1"/>
    <col min="4679" max="4679" width="23.28515625" style="595" customWidth="1"/>
    <col min="4680" max="4680" width="25.5703125" style="595" customWidth="1"/>
    <col min="4681" max="4681" width="7" style="595" bestFit="1" customWidth="1"/>
    <col min="4682" max="4682" width="6.42578125" style="595" bestFit="1" customWidth="1"/>
    <col min="4683" max="4683" width="7.85546875" style="595" customWidth="1"/>
    <col min="4684" max="4684" width="8.7109375" style="595" customWidth="1"/>
    <col min="4685" max="4685" width="7" style="595" bestFit="1" customWidth="1"/>
    <col min="4686" max="4686" width="6.42578125" style="595" bestFit="1" customWidth="1"/>
    <col min="4687" max="4687" width="6.85546875" style="595" customWidth="1"/>
    <col min="4688" max="4688" width="7.140625" style="595" customWidth="1"/>
    <col min="4689" max="4689" width="7" style="595" bestFit="1" customWidth="1"/>
    <col min="4690" max="4690" width="6.42578125" style="595" bestFit="1" customWidth="1"/>
    <col min="4691" max="4691" width="6" style="595" customWidth="1"/>
    <col min="4692" max="4692" width="9.7109375" style="595" customWidth="1"/>
    <col min="4693" max="4693" width="7" style="595" bestFit="1" customWidth="1"/>
    <col min="4694" max="4694" width="6.42578125" style="595" bestFit="1" customWidth="1"/>
    <col min="4695" max="4695" width="7.7109375" style="595" customWidth="1"/>
    <col min="4696" max="4700" width="7.28515625" style="595" customWidth="1"/>
    <col min="4701" max="4701" width="7" style="595" customWidth="1"/>
    <col min="4702" max="4703" width="5.140625" style="595" bestFit="1" customWidth="1"/>
    <col min="4704" max="4704" width="20.5703125" style="595" customWidth="1"/>
    <col min="4705" max="4705" width="8.85546875" style="595" customWidth="1"/>
    <col min="4706" max="4706" width="18.7109375" style="595" customWidth="1"/>
    <col min="4707" max="4707" width="9.7109375" style="595" customWidth="1"/>
    <col min="4708" max="4708" width="8.85546875" style="595" customWidth="1"/>
    <col min="4709" max="4709" width="10.7109375" style="595" customWidth="1"/>
    <col min="4710" max="4710" width="35.85546875" style="595" customWidth="1"/>
    <col min="4711" max="4711" width="18.7109375" style="595" customWidth="1"/>
    <col min="4712" max="4712" width="9.140625" style="595"/>
    <col min="4713" max="4713" width="9.28515625" style="595" bestFit="1" customWidth="1"/>
    <col min="4714" max="4714" width="9.140625" style="595"/>
    <col min="4715" max="4715" width="9" style="595" customWidth="1"/>
    <col min="4716" max="4716" width="9.5703125" style="595" customWidth="1"/>
    <col min="4717" max="4717" width="11.28515625" style="595" customWidth="1"/>
    <col min="4718" max="4718" width="9.140625" style="595"/>
    <col min="4719" max="4719" width="12.7109375" style="595" customWidth="1"/>
    <col min="4720" max="4720" width="9.140625" style="595"/>
    <col min="4721" max="4721" width="20.5703125" style="595" customWidth="1"/>
    <col min="4722" max="4722" width="15.7109375" style="595" customWidth="1"/>
    <col min="4723" max="4723" width="20.7109375" style="595" customWidth="1"/>
    <col min="4724" max="4724" width="18.28515625" style="595" customWidth="1"/>
    <col min="4725" max="4727" width="9.140625" style="595"/>
    <col min="4728" max="4728" width="13.5703125" style="595" customWidth="1"/>
    <col min="4729" max="4729" width="14.7109375" style="595" customWidth="1"/>
    <col min="4730" max="4730" width="7.28515625" style="595" customWidth="1"/>
    <col min="4731" max="4731" width="17.7109375" style="595" customWidth="1"/>
    <col min="4732" max="4732" width="13.5703125" style="595" customWidth="1"/>
    <col min="4733" max="4733" width="15.5703125" style="595" customWidth="1"/>
    <col min="4734" max="4734" width="16.28515625" style="595" customWidth="1"/>
    <col min="4735" max="4735" width="15.140625" style="595" customWidth="1"/>
    <col min="4736" max="4736" width="9.140625" style="595"/>
    <col min="4737" max="4737" width="14.140625" style="595" customWidth="1"/>
    <col min="4738" max="4738" width="6.5703125" style="595" customWidth="1"/>
    <col min="4739" max="4739" width="14.5703125" style="595" customWidth="1"/>
    <col min="4740" max="4740" width="6.42578125" style="595" customWidth="1"/>
    <col min="4741" max="4741" width="12.85546875" style="595" customWidth="1"/>
    <col min="4742" max="4742" width="7.85546875" style="595" customWidth="1"/>
    <col min="4743" max="4743" width="10.7109375" style="595" customWidth="1"/>
    <col min="4744" max="4744" width="7.140625" style="595" customWidth="1"/>
    <col min="4745" max="4745" width="11.85546875" style="595" customWidth="1"/>
    <col min="4746" max="4746" width="7.42578125" style="595" customWidth="1"/>
    <col min="4747" max="4747" width="12.140625" style="595" customWidth="1"/>
    <col min="4748" max="4748" width="8.42578125" style="595" customWidth="1"/>
    <col min="4749" max="4749" width="11.85546875" style="595" customWidth="1"/>
    <col min="4750" max="4750" width="6.85546875" style="595" customWidth="1"/>
    <col min="4751" max="4751" width="11.42578125" style="595" customWidth="1"/>
    <col min="4752" max="4752" width="9" style="595" customWidth="1"/>
    <col min="4753" max="4753" width="12.42578125" style="595" customWidth="1"/>
    <col min="4754" max="4754" width="5.85546875" style="595" customWidth="1"/>
    <col min="4755" max="4755" width="13.28515625" style="595" customWidth="1"/>
    <col min="4756" max="4756" width="8.85546875" style="595" customWidth="1"/>
    <col min="4757" max="4757" width="12" style="595" customWidth="1"/>
    <col min="4758" max="4758" width="7.5703125" style="595" customWidth="1"/>
    <col min="4759" max="4759" width="11.28515625" style="595" customWidth="1"/>
    <col min="4760" max="4760" width="6.5703125" style="595" customWidth="1"/>
    <col min="4761" max="4761" width="12.140625" style="595" customWidth="1"/>
    <col min="4762" max="4762" width="7.42578125" style="595" customWidth="1"/>
    <col min="4763" max="4763" width="12.42578125" style="595" customWidth="1"/>
    <col min="4764" max="4764" width="7.5703125" style="595" customWidth="1"/>
    <col min="4765" max="4765" width="11.28515625" style="595" customWidth="1"/>
    <col min="4766" max="4766" width="7.140625" style="595" customWidth="1"/>
    <col min="4767" max="4767" width="10.85546875" style="595" customWidth="1"/>
    <col min="4768" max="4768" width="6.140625" style="595" customWidth="1"/>
    <col min="4769" max="4769" width="10.7109375" style="595" customWidth="1"/>
    <col min="4770" max="4770" width="6.85546875" style="595" customWidth="1"/>
    <col min="4771" max="4771" width="10.7109375" style="595" customWidth="1"/>
    <col min="4772" max="4772" width="7" style="595" customWidth="1"/>
    <col min="4773" max="4773" width="11.85546875" style="595" customWidth="1"/>
    <col min="4774" max="4774" width="7.42578125" style="595" customWidth="1"/>
    <col min="4775" max="4775" width="10.7109375" style="595" customWidth="1"/>
    <col min="4776" max="4776" width="8.42578125" style="595" customWidth="1"/>
    <col min="4777" max="4777" width="11.140625" style="595" customWidth="1"/>
    <col min="4778" max="4778" width="8" style="595" customWidth="1"/>
    <col min="4779" max="4779" width="10.85546875" style="595" customWidth="1"/>
    <col min="4780" max="4780" width="7.5703125" style="595" customWidth="1"/>
    <col min="4781" max="4781" width="14.28515625" style="595" customWidth="1"/>
    <col min="4782" max="4782" width="6.5703125" style="595" customWidth="1"/>
    <col min="4783" max="4783" width="14.140625" style="595" customWidth="1"/>
    <col min="4784" max="4784" width="6.5703125" style="595" customWidth="1"/>
    <col min="4785" max="4785" width="14.28515625" style="595" customWidth="1"/>
    <col min="4786" max="4786" width="7.85546875" style="595" customWidth="1"/>
    <col min="4787" max="4787" width="14.140625" style="595" customWidth="1"/>
    <col min="4788" max="4788" width="6.85546875" style="595" customWidth="1"/>
    <col min="4789" max="4789" width="14.140625" style="595" customWidth="1"/>
    <col min="4790" max="4790" width="6.28515625" style="595" customWidth="1"/>
    <col min="4791" max="4791" width="14.140625" style="595" customWidth="1"/>
    <col min="4792" max="4792" width="5.85546875" style="595" customWidth="1"/>
    <col min="4793" max="4793" width="14.85546875" style="595" customWidth="1"/>
    <col min="4794" max="4794" width="6.85546875" style="595" customWidth="1"/>
    <col min="4795" max="4795" width="14.28515625" style="595" customWidth="1"/>
    <col min="4796" max="4796" width="7.28515625" style="595" customWidth="1"/>
    <col min="4797" max="4797" width="14.28515625" style="595" customWidth="1"/>
    <col min="4798" max="4798" width="6.42578125" style="595" customWidth="1"/>
    <col min="4799" max="4799" width="14" style="595" customWidth="1"/>
    <col min="4800" max="4800" width="7" style="595" customWidth="1"/>
    <col min="4801" max="4801" width="14" style="595" customWidth="1"/>
    <col min="4802" max="4802" width="6.42578125" style="595" customWidth="1"/>
    <col min="4803" max="4803" width="14.140625" style="595" customWidth="1"/>
    <col min="4804" max="4804" width="6.28515625" style="595" customWidth="1"/>
    <col min="4805" max="4805" width="14.140625" style="595" customWidth="1"/>
    <col min="4806" max="4806" width="7" style="595" customWidth="1"/>
    <col min="4807" max="4807" width="14.140625" style="595" customWidth="1"/>
    <col min="4808" max="4808" width="7.42578125" style="595" customWidth="1"/>
    <col min="4809" max="4809" width="14.5703125" style="595" customWidth="1"/>
    <col min="4810" max="4810" width="6.7109375" style="595" customWidth="1"/>
    <col min="4811" max="4811" width="14.140625" style="595" customWidth="1"/>
    <col min="4812" max="4812" width="7" style="595" customWidth="1"/>
    <col min="4813" max="4813" width="14.5703125" style="595" customWidth="1"/>
    <col min="4814" max="4814" width="7.42578125" style="595" customWidth="1"/>
    <col min="4815" max="4815" width="14.5703125" style="595" customWidth="1"/>
    <col min="4816" max="4816" width="6.42578125" style="595" customWidth="1"/>
    <col min="4817" max="4817" width="14.7109375" style="595" customWidth="1"/>
    <col min="4818" max="4818" width="6.85546875" style="595" customWidth="1"/>
    <col min="4819" max="4819" width="14.5703125" style="595" customWidth="1"/>
    <col min="4820" max="4820" width="7.140625" style="595" customWidth="1"/>
    <col min="4821" max="4821" width="14.5703125" style="595" customWidth="1"/>
    <col min="4822" max="4822" width="6.7109375" style="595" customWidth="1"/>
    <col min="4823" max="4823" width="14.140625" style="595" customWidth="1"/>
    <col min="4824" max="4824" width="5.85546875" style="595" customWidth="1"/>
    <col min="4825" max="4825" width="14" style="595" customWidth="1"/>
    <col min="4826" max="4826" width="8.28515625" style="595" customWidth="1"/>
    <col min="4827" max="4827" width="14.7109375" style="595" customWidth="1"/>
    <col min="4828" max="4828" width="7.140625" style="595" customWidth="1"/>
    <col min="4829" max="4829" width="14.7109375" style="595" customWidth="1"/>
    <col min="4830" max="4830" width="7.140625" style="595" customWidth="1"/>
    <col min="4831" max="4831" width="14" style="595" customWidth="1"/>
    <col min="4832" max="4832" width="6.42578125" style="595" customWidth="1"/>
    <col min="4833" max="4833" width="14" style="595" customWidth="1"/>
    <col min="4834" max="4834" width="6.28515625" style="595" customWidth="1"/>
    <col min="4835" max="4835" width="14.42578125" style="595" customWidth="1"/>
    <col min="4836" max="4836" width="6.28515625" style="595" customWidth="1"/>
    <col min="4837" max="4837" width="14.85546875" style="595" customWidth="1"/>
    <col min="4838" max="4838" width="7.28515625" style="595" customWidth="1"/>
    <col min="4839" max="4839" width="14.42578125" style="595" customWidth="1"/>
    <col min="4840" max="4840" width="7.28515625" style="595" customWidth="1"/>
    <col min="4841" max="4841" width="14.7109375" style="595" customWidth="1"/>
    <col min="4842" max="4842" width="6" style="595" customWidth="1"/>
    <col min="4843" max="4843" width="14.5703125" style="595" customWidth="1"/>
    <col min="4844" max="4844" width="6.42578125" style="595" customWidth="1"/>
    <col min="4845" max="4845" width="14.140625" style="595" customWidth="1"/>
    <col min="4846" max="4846" width="7.5703125" style="595" customWidth="1"/>
    <col min="4847" max="4847" width="14.5703125" style="595" customWidth="1"/>
    <col min="4848" max="4848" width="6.7109375" style="595" customWidth="1"/>
    <col min="4849" max="4849" width="15" style="595" customWidth="1"/>
    <col min="4850" max="4850" width="9.140625" style="595"/>
    <col min="4851" max="4851" width="14" style="595" customWidth="1"/>
    <col min="4852" max="4852" width="9.140625" style="595"/>
    <col min="4853" max="4853" width="14" style="595" customWidth="1"/>
    <col min="4854" max="4858" width="9.140625" style="595"/>
    <col min="4859" max="4859" width="41.28515625" style="595" customWidth="1"/>
    <col min="4860" max="4931" width="9.140625" style="595"/>
    <col min="4932" max="4932" width="21.140625" style="595" customWidth="1"/>
    <col min="4933" max="4933" width="7.28515625" style="595" customWidth="1"/>
    <col min="4934" max="4934" width="15" style="595" customWidth="1"/>
    <col min="4935" max="4935" width="23.28515625" style="595" customWidth="1"/>
    <col min="4936" max="4936" width="25.5703125" style="595" customWidth="1"/>
    <col min="4937" max="4937" width="7" style="595" bestFit="1" customWidth="1"/>
    <col min="4938" max="4938" width="6.42578125" style="595" bestFit="1" customWidth="1"/>
    <col min="4939" max="4939" width="7.85546875" style="595" customWidth="1"/>
    <col min="4940" max="4940" width="8.7109375" style="595" customWidth="1"/>
    <col min="4941" max="4941" width="7" style="595" bestFit="1" customWidth="1"/>
    <col min="4942" max="4942" width="6.42578125" style="595" bestFit="1" customWidth="1"/>
    <col min="4943" max="4943" width="6.85546875" style="595" customWidth="1"/>
    <col min="4944" max="4944" width="7.140625" style="595" customWidth="1"/>
    <col min="4945" max="4945" width="7" style="595" bestFit="1" customWidth="1"/>
    <col min="4946" max="4946" width="6.42578125" style="595" bestFit="1" customWidth="1"/>
    <col min="4947" max="4947" width="6" style="595" customWidth="1"/>
    <col min="4948" max="4948" width="9.7109375" style="595" customWidth="1"/>
    <col min="4949" max="4949" width="7" style="595" bestFit="1" customWidth="1"/>
    <col min="4950" max="4950" width="6.42578125" style="595" bestFit="1" customWidth="1"/>
    <col min="4951" max="4951" width="7.7109375" style="595" customWidth="1"/>
    <col min="4952" max="4956" width="7.28515625" style="595" customWidth="1"/>
    <col min="4957" max="4957" width="7" style="595" customWidth="1"/>
    <col min="4958" max="4959" width="5.140625" style="595" bestFit="1" customWidth="1"/>
    <col min="4960" max="4960" width="20.5703125" style="595" customWidth="1"/>
    <col min="4961" max="4961" width="8.85546875" style="595" customWidth="1"/>
    <col min="4962" max="4962" width="18.7109375" style="595" customWidth="1"/>
    <col min="4963" max="4963" width="9.7109375" style="595" customWidth="1"/>
    <col min="4964" max="4964" width="8.85546875" style="595" customWidth="1"/>
    <col min="4965" max="4965" width="10.7109375" style="595" customWidth="1"/>
    <col min="4966" max="4966" width="35.85546875" style="595" customWidth="1"/>
    <col min="4967" max="4967" width="18.7109375" style="595" customWidth="1"/>
    <col min="4968" max="4968" width="9.140625" style="595"/>
    <col min="4969" max="4969" width="9.28515625" style="595" bestFit="1" customWidth="1"/>
    <col min="4970" max="4970" width="9.140625" style="595"/>
    <col min="4971" max="4971" width="9" style="595" customWidth="1"/>
    <col min="4972" max="4972" width="9.5703125" style="595" customWidth="1"/>
    <col min="4973" max="4973" width="11.28515625" style="595" customWidth="1"/>
    <col min="4974" max="4974" width="9.140625" style="595"/>
    <col min="4975" max="4975" width="12.7109375" style="595" customWidth="1"/>
    <col min="4976" max="4976" width="9.140625" style="595"/>
    <col min="4977" max="4977" width="20.5703125" style="595" customWidth="1"/>
    <col min="4978" max="4978" width="15.7109375" style="595" customWidth="1"/>
    <col min="4979" max="4979" width="20.7109375" style="595" customWidth="1"/>
    <col min="4980" max="4980" width="18.28515625" style="595" customWidth="1"/>
    <col min="4981" max="4983" width="9.140625" style="595"/>
    <col min="4984" max="4984" width="13.5703125" style="595" customWidth="1"/>
    <col min="4985" max="4985" width="14.7109375" style="595" customWidth="1"/>
    <col min="4986" max="4986" width="7.28515625" style="595" customWidth="1"/>
    <col min="4987" max="4987" width="17.7109375" style="595" customWidth="1"/>
    <col min="4988" max="4988" width="13.5703125" style="595" customWidth="1"/>
    <col min="4989" max="4989" width="15.5703125" style="595" customWidth="1"/>
    <col min="4990" max="4990" width="16.28515625" style="595" customWidth="1"/>
    <col min="4991" max="4991" width="15.140625" style="595" customWidth="1"/>
    <col min="4992" max="4992" width="9.140625" style="595"/>
    <col min="4993" max="4993" width="14.140625" style="595" customWidth="1"/>
    <col min="4994" max="4994" width="6.5703125" style="595" customWidth="1"/>
    <col min="4995" max="4995" width="14.5703125" style="595" customWidth="1"/>
    <col min="4996" max="4996" width="6.42578125" style="595" customWidth="1"/>
    <col min="4997" max="4997" width="12.85546875" style="595" customWidth="1"/>
    <col min="4998" max="4998" width="7.85546875" style="595" customWidth="1"/>
    <col min="4999" max="4999" width="10.7109375" style="595" customWidth="1"/>
    <col min="5000" max="5000" width="7.140625" style="595" customWidth="1"/>
    <col min="5001" max="5001" width="11.85546875" style="595" customWidth="1"/>
    <col min="5002" max="5002" width="7.42578125" style="595" customWidth="1"/>
    <col min="5003" max="5003" width="12.140625" style="595" customWidth="1"/>
    <col min="5004" max="5004" width="8.42578125" style="595" customWidth="1"/>
    <col min="5005" max="5005" width="11.85546875" style="595" customWidth="1"/>
    <col min="5006" max="5006" width="6.85546875" style="595" customWidth="1"/>
    <col min="5007" max="5007" width="11.42578125" style="595" customWidth="1"/>
    <col min="5008" max="5008" width="9" style="595" customWidth="1"/>
    <col min="5009" max="5009" width="12.42578125" style="595" customWidth="1"/>
    <col min="5010" max="5010" width="5.85546875" style="595" customWidth="1"/>
    <col min="5011" max="5011" width="13.28515625" style="595" customWidth="1"/>
    <col min="5012" max="5012" width="8.85546875" style="595" customWidth="1"/>
    <col min="5013" max="5013" width="12" style="595" customWidth="1"/>
    <col min="5014" max="5014" width="7.5703125" style="595" customWidth="1"/>
    <col min="5015" max="5015" width="11.28515625" style="595" customWidth="1"/>
    <col min="5016" max="5016" width="6.5703125" style="595" customWidth="1"/>
    <col min="5017" max="5017" width="12.140625" style="595" customWidth="1"/>
    <col min="5018" max="5018" width="7.42578125" style="595" customWidth="1"/>
    <col min="5019" max="5019" width="12.42578125" style="595" customWidth="1"/>
    <col min="5020" max="5020" width="7.5703125" style="595" customWidth="1"/>
    <col min="5021" max="5021" width="11.28515625" style="595" customWidth="1"/>
    <col min="5022" max="5022" width="7.140625" style="595" customWidth="1"/>
    <col min="5023" max="5023" width="10.85546875" style="595" customWidth="1"/>
    <col min="5024" max="5024" width="6.140625" style="595" customWidth="1"/>
    <col min="5025" max="5025" width="10.7109375" style="595" customWidth="1"/>
    <col min="5026" max="5026" width="6.85546875" style="595" customWidth="1"/>
    <col min="5027" max="5027" width="10.7109375" style="595" customWidth="1"/>
    <col min="5028" max="5028" width="7" style="595" customWidth="1"/>
    <col min="5029" max="5029" width="11.85546875" style="595" customWidth="1"/>
    <col min="5030" max="5030" width="7.42578125" style="595" customWidth="1"/>
    <col min="5031" max="5031" width="10.7109375" style="595" customWidth="1"/>
    <col min="5032" max="5032" width="8.42578125" style="595" customWidth="1"/>
    <col min="5033" max="5033" width="11.140625" style="595" customWidth="1"/>
    <col min="5034" max="5034" width="8" style="595" customWidth="1"/>
    <col min="5035" max="5035" width="10.85546875" style="595" customWidth="1"/>
    <col min="5036" max="5036" width="7.5703125" style="595" customWidth="1"/>
    <col min="5037" max="5037" width="14.28515625" style="595" customWidth="1"/>
    <col min="5038" max="5038" width="6.5703125" style="595" customWidth="1"/>
    <col min="5039" max="5039" width="14.140625" style="595" customWidth="1"/>
    <col min="5040" max="5040" width="6.5703125" style="595" customWidth="1"/>
    <col min="5041" max="5041" width="14.28515625" style="595" customWidth="1"/>
    <col min="5042" max="5042" width="7.85546875" style="595" customWidth="1"/>
    <col min="5043" max="5043" width="14.140625" style="595" customWidth="1"/>
    <col min="5044" max="5044" width="6.85546875" style="595" customWidth="1"/>
    <col min="5045" max="5045" width="14.140625" style="595" customWidth="1"/>
    <col min="5046" max="5046" width="6.28515625" style="595" customWidth="1"/>
    <col min="5047" max="5047" width="14.140625" style="595" customWidth="1"/>
    <col min="5048" max="5048" width="5.85546875" style="595" customWidth="1"/>
    <col min="5049" max="5049" width="14.85546875" style="595" customWidth="1"/>
    <col min="5050" max="5050" width="6.85546875" style="595" customWidth="1"/>
    <col min="5051" max="5051" width="14.28515625" style="595" customWidth="1"/>
    <col min="5052" max="5052" width="7.28515625" style="595" customWidth="1"/>
    <col min="5053" max="5053" width="14.28515625" style="595" customWidth="1"/>
    <col min="5054" max="5054" width="6.42578125" style="595" customWidth="1"/>
    <col min="5055" max="5055" width="14" style="595" customWidth="1"/>
    <col min="5056" max="5056" width="7" style="595" customWidth="1"/>
    <col min="5057" max="5057" width="14" style="595" customWidth="1"/>
    <col min="5058" max="5058" width="6.42578125" style="595" customWidth="1"/>
    <col min="5059" max="5059" width="14.140625" style="595" customWidth="1"/>
    <col min="5060" max="5060" width="6.28515625" style="595" customWidth="1"/>
    <col min="5061" max="5061" width="14.140625" style="595" customWidth="1"/>
    <col min="5062" max="5062" width="7" style="595" customWidth="1"/>
    <col min="5063" max="5063" width="14.140625" style="595" customWidth="1"/>
    <col min="5064" max="5064" width="7.42578125" style="595" customWidth="1"/>
    <col min="5065" max="5065" width="14.5703125" style="595" customWidth="1"/>
    <col min="5066" max="5066" width="6.7109375" style="595" customWidth="1"/>
    <col min="5067" max="5067" width="14.140625" style="595" customWidth="1"/>
    <col min="5068" max="5068" width="7" style="595" customWidth="1"/>
    <col min="5069" max="5069" width="14.5703125" style="595" customWidth="1"/>
    <col min="5070" max="5070" width="7.42578125" style="595" customWidth="1"/>
    <col min="5071" max="5071" width="14.5703125" style="595" customWidth="1"/>
    <col min="5072" max="5072" width="6.42578125" style="595" customWidth="1"/>
    <col min="5073" max="5073" width="14.7109375" style="595" customWidth="1"/>
    <col min="5074" max="5074" width="6.85546875" style="595" customWidth="1"/>
    <col min="5075" max="5075" width="14.5703125" style="595" customWidth="1"/>
    <col min="5076" max="5076" width="7.140625" style="595" customWidth="1"/>
    <col min="5077" max="5077" width="14.5703125" style="595" customWidth="1"/>
    <col min="5078" max="5078" width="6.7109375" style="595" customWidth="1"/>
    <col min="5079" max="5079" width="14.140625" style="595" customWidth="1"/>
    <col min="5080" max="5080" width="5.85546875" style="595" customWidth="1"/>
    <col min="5081" max="5081" width="14" style="595" customWidth="1"/>
    <col min="5082" max="5082" width="8.28515625" style="595" customWidth="1"/>
    <col min="5083" max="5083" width="14.7109375" style="595" customWidth="1"/>
    <col min="5084" max="5084" width="7.140625" style="595" customWidth="1"/>
    <col min="5085" max="5085" width="14.7109375" style="595" customWidth="1"/>
    <col min="5086" max="5086" width="7.140625" style="595" customWidth="1"/>
    <col min="5087" max="5087" width="14" style="595" customWidth="1"/>
    <col min="5088" max="5088" width="6.42578125" style="595" customWidth="1"/>
    <col min="5089" max="5089" width="14" style="595" customWidth="1"/>
    <col min="5090" max="5090" width="6.28515625" style="595" customWidth="1"/>
    <col min="5091" max="5091" width="14.42578125" style="595" customWidth="1"/>
    <col min="5092" max="5092" width="6.28515625" style="595" customWidth="1"/>
    <col min="5093" max="5093" width="14.85546875" style="595" customWidth="1"/>
    <col min="5094" max="5094" width="7.28515625" style="595" customWidth="1"/>
    <col min="5095" max="5095" width="14.42578125" style="595" customWidth="1"/>
    <col min="5096" max="5096" width="7.28515625" style="595" customWidth="1"/>
    <col min="5097" max="5097" width="14.7109375" style="595" customWidth="1"/>
    <col min="5098" max="5098" width="6" style="595" customWidth="1"/>
    <col min="5099" max="5099" width="14.5703125" style="595" customWidth="1"/>
    <col min="5100" max="5100" width="6.42578125" style="595" customWidth="1"/>
    <col min="5101" max="5101" width="14.140625" style="595" customWidth="1"/>
    <col min="5102" max="5102" width="7.5703125" style="595" customWidth="1"/>
    <col min="5103" max="5103" width="14.5703125" style="595" customWidth="1"/>
    <col min="5104" max="5104" width="6.7109375" style="595" customWidth="1"/>
    <col min="5105" max="5105" width="15" style="595" customWidth="1"/>
    <col min="5106" max="5106" width="9.140625" style="595"/>
    <col min="5107" max="5107" width="14" style="595" customWidth="1"/>
    <col min="5108" max="5108" width="9.140625" style="595"/>
    <col min="5109" max="5109" width="14" style="595" customWidth="1"/>
    <col min="5110" max="5114" width="9.140625" style="595"/>
    <col min="5115" max="5115" width="41.28515625" style="595" customWidth="1"/>
    <col min="5116" max="5187" width="9.140625" style="595"/>
    <col min="5188" max="5188" width="21.140625" style="595" customWidth="1"/>
    <col min="5189" max="5189" width="7.28515625" style="595" customWidth="1"/>
    <col min="5190" max="5190" width="15" style="595" customWidth="1"/>
    <col min="5191" max="5191" width="23.28515625" style="595" customWidth="1"/>
    <col min="5192" max="5192" width="25.5703125" style="595" customWidth="1"/>
    <col min="5193" max="5193" width="7" style="595" bestFit="1" customWidth="1"/>
    <col min="5194" max="5194" width="6.42578125" style="595" bestFit="1" customWidth="1"/>
    <col min="5195" max="5195" width="7.85546875" style="595" customWidth="1"/>
    <col min="5196" max="5196" width="8.7109375" style="595" customWidth="1"/>
    <col min="5197" max="5197" width="7" style="595" bestFit="1" customWidth="1"/>
    <col min="5198" max="5198" width="6.42578125" style="595" bestFit="1" customWidth="1"/>
    <col min="5199" max="5199" width="6.85546875" style="595" customWidth="1"/>
    <col min="5200" max="5200" width="7.140625" style="595" customWidth="1"/>
    <col min="5201" max="5201" width="7" style="595" bestFit="1" customWidth="1"/>
    <col min="5202" max="5202" width="6.42578125" style="595" bestFit="1" customWidth="1"/>
    <col min="5203" max="5203" width="6" style="595" customWidth="1"/>
    <col min="5204" max="5204" width="9.7109375" style="595" customWidth="1"/>
    <col min="5205" max="5205" width="7" style="595" bestFit="1" customWidth="1"/>
    <col min="5206" max="5206" width="6.42578125" style="595" bestFit="1" customWidth="1"/>
    <col min="5207" max="5207" width="7.7109375" style="595" customWidth="1"/>
    <col min="5208" max="5212" width="7.28515625" style="595" customWidth="1"/>
    <col min="5213" max="5213" width="7" style="595" customWidth="1"/>
    <col min="5214" max="5215" width="5.140625" style="595" bestFit="1" customWidth="1"/>
    <col min="5216" max="5216" width="20.5703125" style="595" customWidth="1"/>
    <col min="5217" max="5217" width="8.85546875" style="595" customWidth="1"/>
    <col min="5218" max="5218" width="18.7109375" style="595" customWidth="1"/>
    <col min="5219" max="5219" width="9.7109375" style="595" customWidth="1"/>
    <col min="5220" max="5220" width="8.85546875" style="595" customWidth="1"/>
    <col min="5221" max="5221" width="10.7109375" style="595" customWidth="1"/>
    <col min="5222" max="5222" width="35.85546875" style="595" customWidth="1"/>
    <col min="5223" max="5223" width="18.7109375" style="595" customWidth="1"/>
    <col min="5224" max="5224" width="9.140625" style="595"/>
    <col min="5225" max="5225" width="9.28515625" style="595" bestFit="1" customWidth="1"/>
    <col min="5226" max="5226" width="9.140625" style="595"/>
    <col min="5227" max="5227" width="9" style="595" customWidth="1"/>
    <col min="5228" max="5228" width="9.5703125" style="595" customWidth="1"/>
    <col min="5229" max="5229" width="11.28515625" style="595" customWidth="1"/>
    <col min="5230" max="5230" width="9.140625" style="595"/>
    <col min="5231" max="5231" width="12.7109375" style="595" customWidth="1"/>
    <col min="5232" max="5232" width="9.140625" style="595"/>
    <col min="5233" max="5233" width="20.5703125" style="595" customWidth="1"/>
    <col min="5234" max="5234" width="15.7109375" style="595" customWidth="1"/>
    <col min="5235" max="5235" width="20.7109375" style="595" customWidth="1"/>
    <col min="5236" max="5236" width="18.28515625" style="595" customWidth="1"/>
    <col min="5237" max="5239" width="9.140625" style="595"/>
    <col min="5240" max="5240" width="13.5703125" style="595" customWidth="1"/>
    <col min="5241" max="5241" width="14.7109375" style="595" customWidth="1"/>
    <col min="5242" max="5242" width="7.28515625" style="595" customWidth="1"/>
    <col min="5243" max="5243" width="17.7109375" style="595" customWidth="1"/>
    <col min="5244" max="5244" width="13.5703125" style="595" customWidth="1"/>
    <col min="5245" max="5245" width="15.5703125" style="595" customWidth="1"/>
    <col min="5246" max="5246" width="16.28515625" style="595" customWidth="1"/>
    <col min="5247" max="5247" width="15.140625" style="595" customWidth="1"/>
    <col min="5248" max="5248" width="9.140625" style="595"/>
    <col min="5249" max="5249" width="14.140625" style="595" customWidth="1"/>
    <col min="5250" max="5250" width="6.5703125" style="595" customWidth="1"/>
    <col min="5251" max="5251" width="14.5703125" style="595" customWidth="1"/>
    <col min="5252" max="5252" width="6.42578125" style="595" customWidth="1"/>
    <col min="5253" max="5253" width="12.85546875" style="595" customWidth="1"/>
    <col min="5254" max="5254" width="7.85546875" style="595" customWidth="1"/>
    <col min="5255" max="5255" width="10.7109375" style="595" customWidth="1"/>
    <col min="5256" max="5256" width="7.140625" style="595" customWidth="1"/>
    <col min="5257" max="5257" width="11.85546875" style="595" customWidth="1"/>
    <col min="5258" max="5258" width="7.42578125" style="595" customWidth="1"/>
    <col min="5259" max="5259" width="12.140625" style="595" customWidth="1"/>
    <col min="5260" max="5260" width="8.42578125" style="595" customWidth="1"/>
    <col min="5261" max="5261" width="11.85546875" style="595" customWidth="1"/>
    <col min="5262" max="5262" width="6.85546875" style="595" customWidth="1"/>
    <col min="5263" max="5263" width="11.42578125" style="595" customWidth="1"/>
    <col min="5264" max="5264" width="9" style="595" customWidth="1"/>
    <col min="5265" max="5265" width="12.42578125" style="595" customWidth="1"/>
    <col min="5266" max="5266" width="5.85546875" style="595" customWidth="1"/>
    <col min="5267" max="5267" width="13.28515625" style="595" customWidth="1"/>
    <col min="5268" max="5268" width="8.85546875" style="595" customWidth="1"/>
    <col min="5269" max="5269" width="12" style="595" customWidth="1"/>
    <col min="5270" max="5270" width="7.5703125" style="595" customWidth="1"/>
    <col min="5271" max="5271" width="11.28515625" style="595" customWidth="1"/>
    <col min="5272" max="5272" width="6.5703125" style="595" customWidth="1"/>
    <col min="5273" max="5273" width="12.140625" style="595" customWidth="1"/>
    <col min="5274" max="5274" width="7.42578125" style="595" customWidth="1"/>
    <col min="5275" max="5275" width="12.42578125" style="595" customWidth="1"/>
    <col min="5276" max="5276" width="7.5703125" style="595" customWidth="1"/>
    <col min="5277" max="5277" width="11.28515625" style="595" customWidth="1"/>
    <col min="5278" max="5278" width="7.140625" style="595" customWidth="1"/>
    <col min="5279" max="5279" width="10.85546875" style="595" customWidth="1"/>
    <col min="5280" max="5280" width="6.140625" style="595" customWidth="1"/>
    <col min="5281" max="5281" width="10.7109375" style="595" customWidth="1"/>
    <col min="5282" max="5282" width="6.85546875" style="595" customWidth="1"/>
    <col min="5283" max="5283" width="10.7109375" style="595" customWidth="1"/>
    <col min="5284" max="5284" width="7" style="595" customWidth="1"/>
    <col min="5285" max="5285" width="11.85546875" style="595" customWidth="1"/>
    <col min="5286" max="5286" width="7.42578125" style="595" customWidth="1"/>
    <col min="5287" max="5287" width="10.7109375" style="595" customWidth="1"/>
    <col min="5288" max="5288" width="8.42578125" style="595" customWidth="1"/>
    <col min="5289" max="5289" width="11.140625" style="595" customWidth="1"/>
    <col min="5290" max="5290" width="8" style="595" customWidth="1"/>
    <col min="5291" max="5291" width="10.85546875" style="595" customWidth="1"/>
    <col min="5292" max="5292" width="7.5703125" style="595" customWidth="1"/>
    <col min="5293" max="5293" width="14.28515625" style="595" customWidth="1"/>
    <col min="5294" max="5294" width="6.5703125" style="595" customWidth="1"/>
    <col min="5295" max="5295" width="14.140625" style="595" customWidth="1"/>
    <col min="5296" max="5296" width="6.5703125" style="595" customWidth="1"/>
    <col min="5297" max="5297" width="14.28515625" style="595" customWidth="1"/>
    <col min="5298" max="5298" width="7.85546875" style="595" customWidth="1"/>
    <col min="5299" max="5299" width="14.140625" style="595" customWidth="1"/>
    <col min="5300" max="5300" width="6.85546875" style="595" customWidth="1"/>
    <col min="5301" max="5301" width="14.140625" style="595" customWidth="1"/>
    <col min="5302" max="5302" width="6.28515625" style="595" customWidth="1"/>
    <col min="5303" max="5303" width="14.140625" style="595" customWidth="1"/>
    <col min="5304" max="5304" width="5.85546875" style="595" customWidth="1"/>
    <col min="5305" max="5305" width="14.85546875" style="595" customWidth="1"/>
    <col min="5306" max="5306" width="6.85546875" style="595" customWidth="1"/>
    <col min="5307" max="5307" width="14.28515625" style="595" customWidth="1"/>
    <col min="5308" max="5308" width="7.28515625" style="595" customWidth="1"/>
    <col min="5309" max="5309" width="14.28515625" style="595" customWidth="1"/>
    <col min="5310" max="5310" width="6.42578125" style="595" customWidth="1"/>
    <col min="5311" max="5311" width="14" style="595" customWidth="1"/>
    <col min="5312" max="5312" width="7" style="595" customWidth="1"/>
    <col min="5313" max="5313" width="14" style="595" customWidth="1"/>
    <col min="5314" max="5314" width="6.42578125" style="595" customWidth="1"/>
    <col min="5315" max="5315" width="14.140625" style="595" customWidth="1"/>
    <col min="5316" max="5316" width="6.28515625" style="595" customWidth="1"/>
    <col min="5317" max="5317" width="14.140625" style="595" customWidth="1"/>
    <col min="5318" max="5318" width="7" style="595" customWidth="1"/>
    <col min="5319" max="5319" width="14.140625" style="595" customWidth="1"/>
    <col min="5320" max="5320" width="7.42578125" style="595" customWidth="1"/>
    <col min="5321" max="5321" width="14.5703125" style="595" customWidth="1"/>
    <col min="5322" max="5322" width="6.7109375" style="595" customWidth="1"/>
    <col min="5323" max="5323" width="14.140625" style="595" customWidth="1"/>
    <col min="5324" max="5324" width="7" style="595" customWidth="1"/>
    <col min="5325" max="5325" width="14.5703125" style="595" customWidth="1"/>
    <col min="5326" max="5326" width="7.42578125" style="595" customWidth="1"/>
    <col min="5327" max="5327" width="14.5703125" style="595" customWidth="1"/>
    <col min="5328" max="5328" width="6.42578125" style="595" customWidth="1"/>
    <col min="5329" max="5329" width="14.7109375" style="595" customWidth="1"/>
    <col min="5330" max="5330" width="6.85546875" style="595" customWidth="1"/>
    <col min="5331" max="5331" width="14.5703125" style="595" customWidth="1"/>
    <col min="5332" max="5332" width="7.140625" style="595" customWidth="1"/>
    <col min="5333" max="5333" width="14.5703125" style="595" customWidth="1"/>
    <col min="5334" max="5334" width="6.7109375" style="595" customWidth="1"/>
    <col min="5335" max="5335" width="14.140625" style="595" customWidth="1"/>
    <col min="5336" max="5336" width="5.85546875" style="595" customWidth="1"/>
    <col min="5337" max="5337" width="14" style="595" customWidth="1"/>
    <col min="5338" max="5338" width="8.28515625" style="595" customWidth="1"/>
    <col min="5339" max="5339" width="14.7109375" style="595" customWidth="1"/>
    <col min="5340" max="5340" width="7.140625" style="595" customWidth="1"/>
    <col min="5341" max="5341" width="14.7109375" style="595" customWidth="1"/>
    <col min="5342" max="5342" width="7.140625" style="595" customWidth="1"/>
    <col min="5343" max="5343" width="14" style="595" customWidth="1"/>
    <col min="5344" max="5344" width="6.42578125" style="595" customWidth="1"/>
    <col min="5345" max="5345" width="14" style="595" customWidth="1"/>
    <col min="5346" max="5346" width="6.28515625" style="595" customWidth="1"/>
    <col min="5347" max="5347" width="14.42578125" style="595" customWidth="1"/>
    <col min="5348" max="5348" width="6.28515625" style="595" customWidth="1"/>
    <col min="5349" max="5349" width="14.85546875" style="595" customWidth="1"/>
    <col min="5350" max="5350" width="7.28515625" style="595" customWidth="1"/>
    <col min="5351" max="5351" width="14.42578125" style="595" customWidth="1"/>
    <col min="5352" max="5352" width="7.28515625" style="595" customWidth="1"/>
    <col min="5353" max="5353" width="14.7109375" style="595" customWidth="1"/>
    <col min="5354" max="5354" width="6" style="595" customWidth="1"/>
    <col min="5355" max="5355" width="14.5703125" style="595" customWidth="1"/>
    <col min="5356" max="5356" width="6.42578125" style="595" customWidth="1"/>
    <col min="5357" max="5357" width="14.140625" style="595" customWidth="1"/>
    <col min="5358" max="5358" width="7.5703125" style="595" customWidth="1"/>
    <col min="5359" max="5359" width="14.5703125" style="595" customWidth="1"/>
    <col min="5360" max="5360" width="6.7109375" style="595" customWidth="1"/>
    <col min="5361" max="5361" width="15" style="595" customWidth="1"/>
    <col min="5362" max="5362" width="9.140625" style="595"/>
    <col min="5363" max="5363" width="14" style="595" customWidth="1"/>
    <col min="5364" max="5364" width="9.140625" style="595"/>
    <col min="5365" max="5365" width="14" style="595" customWidth="1"/>
    <col min="5366" max="5370" width="9.140625" style="595"/>
    <col min="5371" max="5371" width="41.28515625" style="595" customWidth="1"/>
    <col min="5372" max="5443" width="9.140625" style="595"/>
    <col min="5444" max="5444" width="21.140625" style="595" customWidth="1"/>
    <col min="5445" max="5445" width="7.28515625" style="595" customWidth="1"/>
    <col min="5446" max="5446" width="15" style="595" customWidth="1"/>
    <col min="5447" max="5447" width="23.28515625" style="595" customWidth="1"/>
    <col min="5448" max="5448" width="25.5703125" style="595" customWidth="1"/>
    <col min="5449" max="5449" width="7" style="595" bestFit="1" customWidth="1"/>
    <col min="5450" max="5450" width="6.42578125" style="595" bestFit="1" customWidth="1"/>
    <col min="5451" max="5451" width="7.85546875" style="595" customWidth="1"/>
    <col min="5452" max="5452" width="8.7109375" style="595" customWidth="1"/>
    <col min="5453" max="5453" width="7" style="595" bestFit="1" customWidth="1"/>
    <col min="5454" max="5454" width="6.42578125" style="595" bestFit="1" customWidth="1"/>
    <col min="5455" max="5455" width="6.85546875" style="595" customWidth="1"/>
    <col min="5456" max="5456" width="7.140625" style="595" customWidth="1"/>
    <col min="5457" max="5457" width="7" style="595" bestFit="1" customWidth="1"/>
    <col min="5458" max="5458" width="6.42578125" style="595" bestFit="1" customWidth="1"/>
    <col min="5459" max="5459" width="6" style="595" customWidth="1"/>
    <col min="5460" max="5460" width="9.7109375" style="595" customWidth="1"/>
    <col min="5461" max="5461" width="7" style="595" bestFit="1" customWidth="1"/>
    <col min="5462" max="5462" width="6.42578125" style="595" bestFit="1" customWidth="1"/>
    <col min="5463" max="5463" width="7.7109375" style="595" customWidth="1"/>
    <col min="5464" max="5468" width="7.28515625" style="595" customWidth="1"/>
    <col min="5469" max="5469" width="7" style="595" customWidth="1"/>
    <col min="5470" max="5471" width="5.140625" style="595" bestFit="1" customWidth="1"/>
    <col min="5472" max="5472" width="20.5703125" style="595" customWidth="1"/>
    <col min="5473" max="5473" width="8.85546875" style="595" customWidth="1"/>
    <col min="5474" max="5474" width="18.7109375" style="595" customWidth="1"/>
    <col min="5475" max="5475" width="9.7109375" style="595" customWidth="1"/>
    <col min="5476" max="5476" width="8.85546875" style="595" customWidth="1"/>
    <col min="5477" max="5477" width="10.7109375" style="595" customWidth="1"/>
    <col min="5478" max="5478" width="35.85546875" style="595" customWidth="1"/>
    <col min="5479" max="5479" width="18.7109375" style="595" customWidth="1"/>
    <col min="5480" max="5480" width="9.140625" style="595"/>
    <col min="5481" max="5481" width="9.28515625" style="595" bestFit="1" customWidth="1"/>
    <col min="5482" max="5482" width="9.140625" style="595"/>
    <col min="5483" max="5483" width="9" style="595" customWidth="1"/>
    <col min="5484" max="5484" width="9.5703125" style="595" customWidth="1"/>
    <col min="5485" max="5485" width="11.28515625" style="595" customWidth="1"/>
    <col min="5486" max="5486" width="9.140625" style="595"/>
    <col min="5487" max="5487" width="12.7109375" style="595" customWidth="1"/>
    <col min="5488" max="5488" width="9.140625" style="595"/>
    <col min="5489" max="5489" width="20.5703125" style="595" customWidth="1"/>
    <col min="5490" max="5490" width="15.7109375" style="595" customWidth="1"/>
    <col min="5491" max="5491" width="20.7109375" style="595" customWidth="1"/>
    <col min="5492" max="5492" width="18.28515625" style="595" customWidth="1"/>
    <col min="5493" max="5495" width="9.140625" style="595"/>
    <col min="5496" max="5496" width="13.5703125" style="595" customWidth="1"/>
    <col min="5497" max="5497" width="14.7109375" style="595" customWidth="1"/>
    <col min="5498" max="5498" width="7.28515625" style="595" customWidth="1"/>
    <col min="5499" max="5499" width="17.7109375" style="595" customWidth="1"/>
    <col min="5500" max="5500" width="13.5703125" style="595" customWidth="1"/>
    <col min="5501" max="5501" width="15.5703125" style="595" customWidth="1"/>
    <col min="5502" max="5502" width="16.28515625" style="595" customWidth="1"/>
    <col min="5503" max="5503" width="15.140625" style="595" customWidth="1"/>
    <col min="5504" max="5504" width="9.140625" style="595"/>
    <col min="5505" max="5505" width="14.140625" style="595" customWidth="1"/>
    <col min="5506" max="5506" width="6.5703125" style="595" customWidth="1"/>
    <col min="5507" max="5507" width="14.5703125" style="595" customWidth="1"/>
    <col min="5508" max="5508" width="6.42578125" style="595" customWidth="1"/>
    <col min="5509" max="5509" width="12.85546875" style="595" customWidth="1"/>
    <col min="5510" max="5510" width="7.85546875" style="595" customWidth="1"/>
    <col min="5511" max="5511" width="10.7109375" style="595" customWidth="1"/>
    <col min="5512" max="5512" width="7.140625" style="595" customWidth="1"/>
    <col min="5513" max="5513" width="11.85546875" style="595" customWidth="1"/>
    <col min="5514" max="5514" width="7.42578125" style="595" customWidth="1"/>
    <col min="5515" max="5515" width="12.140625" style="595" customWidth="1"/>
    <col min="5516" max="5516" width="8.42578125" style="595" customWidth="1"/>
    <col min="5517" max="5517" width="11.85546875" style="595" customWidth="1"/>
    <col min="5518" max="5518" width="6.85546875" style="595" customWidth="1"/>
    <col min="5519" max="5519" width="11.42578125" style="595" customWidth="1"/>
    <col min="5520" max="5520" width="9" style="595" customWidth="1"/>
    <col min="5521" max="5521" width="12.42578125" style="595" customWidth="1"/>
    <col min="5522" max="5522" width="5.85546875" style="595" customWidth="1"/>
    <col min="5523" max="5523" width="13.28515625" style="595" customWidth="1"/>
    <col min="5524" max="5524" width="8.85546875" style="595" customWidth="1"/>
    <col min="5525" max="5525" width="12" style="595" customWidth="1"/>
    <col min="5526" max="5526" width="7.5703125" style="595" customWidth="1"/>
    <col min="5527" max="5527" width="11.28515625" style="595" customWidth="1"/>
    <col min="5528" max="5528" width="6.5703125" style="595" customWidth="1"/>
    <col min="5529" max="5529" width="12.140625" style="595" customWidth="1"/>
    <col min="5530" max="5530" width="7.42578125" style="595" customWidth="1"/>
    <col min="5531" max="5531" width="12.42578125" style="595" customWidth="1"/>
    <col min="5532" max="5532" width="7.5703125" style="595" customWidth="1"/>
    <col min="5533" max="5533" width="11.28515625" style="595" customWidth="1"/>
    <col min="5534" max="5534" width="7.140625" style="595" customWidth="1"/>
    <col min="5535" max="5535" width="10.85546875" style="595" customWidth="1"/>
    <col min="5536" max="5536" width="6.140625" style="595" customWidth="1"/>
    <col min="5537" max="5537" width="10.7109375" style="595" customWidth="1"/>
    <col min="5538" max="5538" width="6.85546875" style="595" customWidth="1"/>
    <col min="5539" max="5539" width="10.7109375" style="595" customWidth="1"/>
    <col min="5540" max="5540" width="7" style="595" customWidth="1"/>
    <col min="5541" max="5541" width="11.85546875" style="595" customWidth="1"/>
    <col min="5542" max="5542" width="7.42578125" style="595" customWidth="1"/>
    <col min="5543" max="5543" width="10.7109375" style="595" customWidth="1"/>
    <col min="5544" max="5544" width="8.42578125" style="595" customWidth="1"/>
    <col min="5545" max="5545" width="11.140625" style="595" customWidth="1"/>
    <col min="5546" max="5546" width="8" style="595" customWidth="1"/>
    <col min="5547" max="5547" width="10.85546875" style="595" customWidth="1"/>
    <col min="5548" max="5548" width="7.5703125" style="595" customWidth="1"/>
    <col min="5549" max="5549" width="14.28515625" style="595" customWidth="1"/>
    <col min="5550" max="5550" width="6.5703125" style="595" customWidth="1"/>
    <col min="5551" max="5551" width="14.140625" style="595" customWidth="1"/>
    <col min="5552" max="5552" width="6.5703125" style="595" customWidth="1"/>
    <col min="5553" max="5553" width="14.28515625" style="595" customWidth="1"/>
    <col min="5554" max="5554" width="7.85546875" style="595" customWidth="1"/>
    <col min="5555" max="5555" width="14.140625" style="595" customWidth="1"/>
    <col min="5556" max="5556" width="6.85546875" style="595" customWidth="1"/>
    <col min="5557" max="5557" width="14.140625" style="595" customWidth="1"/>
    <col min="5558" max="5558" width="6.28515625" style="595" customWidth="1"/>
    <col min="5559" max="5559" width="14.140625" style="595" customWidth="1"/>
    <col min="5560" max="5560" width="5.85546875" style="595" customWidth="1"/>
    <col min="5561" max="5561" width="14.85546875" style="595" customWidth="1"/>
    <col min="5562" max="5562" width="6.85546875" style="595" customWidth="1"/>
    <col min="5563" max="5563" width="14.28515625" style="595" customWidth="1"/>
    <col min="5564" max="5564" width="7.28515625" style="595" customWidth="1"/>
    <col min="5565" max="5565" width="14.28515625" style="595" customWidth="1"/>
    <col min="5566" max="5566" width="6.42578125" style="595" customWidth="1"/>
    <col min="5567" max="5567" width="14" style="595" customWidth="1"/>
    <col min="5568" max="5568" width="7" style="595" customWidth="1"/>
    <col min="5569" max="5569" width="14" style="595" customWidth="1"/>
    <col min="5570" max="5570" width="6.42578125" style="595" customWidth="1"/>
    <col min="5571" max="5571" width="14.140625" style="595" customWidth="1"/>
    <col min="5572" max="5572" width="6.28515625" style="595" customWidth="1"/>
    <col min="5573" max="5573" width="14.140625" style="595" customWidth="1"/>
    <col min="5574" max="5574" width="7" style="595" customWidth="1"/>
    <col min="5575" max="5575" width="14.140625" style="595" customWidth="1"/>
    <col min="5576" max="5576" width="7.42578125" style="595" customWidth="1"/>
    <col min="5577" max="5577" width="14.5703125" style="595" customWidth="1"/>
    <col min="5578" max="5578" width="6.7109375" style="595" customWidth="1"/>
    <col min="5579" max="5579" width="14.140625" style="595" customWidth="1"/>
    <col min="5580" max="5580" width="7" style="595" customWidth="1"/>
    <col min="5581" max="5581" width="14.5703125" style="595" customWidth="1"/>
    <col min="5582" max="5582" width="7.42578125" style="595" customWidth="1"/>
    <col min="5583" max="5583" width="14.5703125" style="595" customWidth="1"/>
    <col min="5584" max="5584" width="6.42578125" style="595" customWidth="1"/>
    <col min="5585" max="5585" width="14.7109375" style="595" customWidth="1"/>
    <col min="5586" max="5586" width="6.85546875" style="595" customWidth="1"/>
    <col min="5587" max="5587" width="14.5703125" style="595" customWidth="1"/>
    <col min="5588" max="5588" width="7.140625" style="595" customWidth="1"/>
    <col min="5589" max="5589" width="14.5703125" style="595" customWidth="1"/>
    <col min="5590" max="5590" width="6.7109375" style="595" customWidth="1"/>
    <col min="5591" max="5591" width="14.140625" style="595" customWidth="1"/>
    <col min="5592" max="5592" width="5.85546875" style="595" customWidth="1"/>
    <col min="5593" max="5593" width="14" style="595" customWidth="1"/>
    <col min="5594" max="5594" width="8.28515625" style="595" customWidth="1"/>
    <col min="5595" max="5595" width="14.7109375" style="595" customWidth="1"/>
    <col min="5596" max="5596" width="7.140625" style="595" customWidth="1"/>
    <col min="5597" max="5597" width="14.7109375" style="595" customWidth="1"/>
    <col min="5598" max="5598" width="7.140625" style="595" customWidth="1"/>
    <col min="5599" max="5599" width="14" style="595" customWidth="1"/>
    <col min="5600" max="5600" width="6.42578125" style="595" customWidth="1"/>
    <col min="5601" max="5601" width="14" style="595" customWidth="1"/>
    <col min="5602" max="5602" width="6.28515625" style="595" customWidth="1"/>
    <col min="5603" max="5603" width="14.42578125" style="595" customWidth="1"/>
    <col min="5604" max="5604" width="6.28515625" style="595" customWidth="1"/>
    <col min="5605" max="5605" width="14.85546875" style="595" customWidth="1"/>
    <col min="5606" max="5606" width="7.28515625" style="595" customWidth="1"/>
    <col min="5607" max="5607" width="14.42578125" style="595" customWidth="1"/>
    <col min="5608" max="5608" width="7.28515625" style="595" customWidth="1"/>
    <col min="5609" max="5609" width="14.7109375" style="595" customWidth="1"/>
    <col min="5610" max="5610" width="6" style="595" customWidth="1"/>
    <col min="5611" max="5611" width="14.5703125" style="595" customWidth="1"/>
    <col min="5612" max="5612" width="6.42578125" style="595" customWidth="1"/>
    <col min="5613" max="5613" width="14.140625" style="595" customWidth="1"/>
    <col min="5614" max="5614" width="7.5703125" style="595" customWidth="1"/>
    <col min="5615" max="5615" width="14.5703125" style="595" customWidth="1"/>
    <col min="5616" max="5616" width="6.7109375" style="595" customWidth="1"/>
    <col min="5617" max="5617" width="15" style="595" customWidth="1"/>
    <col min="5618" max="5618" width="9.140625" style="595"/>
    <col min="5619" max="5619" width="14" style="595" customWidth="1"/>
    <col min="5620" max="5620" width="9.140625" style="595"/>
    <col min="5621" max="5621" width="14" style="595" customWidth="1"/>
    <col min="5622" max="5626" width="9.140625" style="595"/>
    <col min="5627" max="5627" width="41.28515625" style="595" customWidth="1"/>
    <col min="5628" max="5699" width="9.140625" style="595"/>
    <col min="5700" max="5700" width="21.140625" style="595" customWidth="1"/>
    <col min="5701" max="5701" width="7.28515625" style="595" customWidth="1"/>
    <col min="5702" max="5702" width="15" style="595" customWidth="1"/>
    <col min="5703" max="5703" width="23.28515625" style="595" customWidth="1"/>
    <col min="5704" max="5704" width="25.5703125" style="595" customWidth="1"/>
    <col min="5705" max="5705" width="7" style="595" bestFit="1" customWidth="1"/>
    <col min="5706" max="5706" width="6.42578125" style="595" bestFit="1" customWidth="1"/>
    <col min="5707" max="5707" width="7.85546875" style="595" customWidth="1"/>
    <col min="5708" max="5708" width="8.7109375" style="595" customWidth="1"/>
    <col min="5709" max="5709" width="7" style="595" bestFit="1" customWidth="1"/>
    <col min="5710" max="5710" width="6.42578125" style="595" bestFit="1" customWidth="1"/>
    <col min="5711" max="5711" width="6.85546875" style="595" customWidth="1"/>
    <col min="5712" max="5712" width="7.140625" style="595" customWidth="1"/>
    <col min="5713" max="5713" width="7" style="595" bestFit="1" customWidth="1"/>
    <col min="5714" max="5714" width="6.42578125" style="595" bestFit="1" customWidth="1"/>
    <col min="5715" max="5715" width="6" style="595" customWidth="1"/>
    <col min="5716" max="5716" width="9.7109375" style="595" customWidth="1"/>
    <col min="5717" max="5717" width="7" style="595" bestFit="1" customWidth="1"/>
    <col min="5718" max="5718" width="6.42578125" style="595" bestFit="1" customWidth="1"/>
    <col min="5719" max="5719" width="7.7109375" style="595" customWidth="1"/>
    <col min="5720" max="5724" width="7.28515625" style="595" customWidth="1"/>
    <col min="5725" max="5725" width="7" style="595" customWidth="1"/>
    <col min="5726" max="5727" width="5.140625" style="595" bestFit="1" customWidth="1"/>
    <col min="5728" max="5728" width="20.5703125" style="595" customWidth="1"/>
    <col min="5729" max="5729" width="8.85546875" style="595" customWidth="1"/>
    <col min="5730" max="5730" width="18.7109375" style="595" customWidth="1"/>
    <col min="5731" max="5731" width="9.7109375" style="595" customWidth="1"/>
    <col min="5732" max="5732" width="8.85546875" style="595" customWidth="1"/>
    <col min="5733" max="5733" width="10.7109375" style="595" customWidth="1"/>
    <col min="5734" max="5734" width="35.85546875" style="595" customWidth="1"/>
    <col min="5735" max="5735" width="18.7109375" style="595" customWidth="1"/>
    <col min="5736" max="5736" width="9.140625" style="595"/>
    <col min="5737" max="5737" width="9.28515625" style="595" bestFit="1" customWidth="1"/>
    <col min="5738" max="5738" width="9.140625" style="595"/>
    <col min="5739" max="5739" width="9" style="595" customWidth="1"/>
    <col min="5740" max="5740" width="9.5703125" style="595" customWidth="1"/>
    <col min="5741" max="5741" width="11.28515625" style="595" customWidth="1"/>
    <col min="5742" max="5742" width="9.140625" style="595"/>
    <col min="5743" max="5743" width="12.7109375" style="595" customWidth="1"/>
    <col min="5744" max="5744" width="9.140625" style="595"/>
    <col min="5745" max="5745" width="20.5703125" style="595" customWidth="1"/>
    <col min="5746" max="5746" width="15.7109375" style="595" customWidth="1"/>
    <col min="5747" max="5747" width="20.7109375" style="595" customWidth="1"/>
    <col min="5748" max="5748" width="18.28515625" style="595" customWidth="1"/>
    <col min="5749" max="5751" width="9.140625" style="595"/>
    <col min="5752" max="5752" width="13.5703125" style="595" customWidth="1"/>
    <col min="5753" max="5753" width="14.7109375" style="595" customWidth="1"/>
    <col min="5754" max="5754" width="7.28515625" style="595" customWidth="1"/>
    <col min="5755" max="5755" width="17.7109375" style="595" customWidth="1"/>
    <col min="5756" max="5756" width="13.5703125" style="595" customWidth="1"/>
    <col min="5757" max="5757" width="15.5703125" style="595" customWidth="1"/>
    <col min="5758" max="5758" width="16.28515625" style="595" customWidth="1"/>
    <col min="5759" max="5759" width="15.140625" style="595" customWidth="1"/>
    <col min="5760" max="5760" width="9.140625" style="595"/>
    <col min="5761" max="5761" width="14.140625" style="595" customWidth="1"/>
    <col min="5762" max="5762" width="6.5703125" style="595" customWidth="1"/>
    <col min="5763" max="5763" width="14.5703125" style="595" customWidth="1"/>
    <col min="5764" max="5764" width="6.42578125" style="595" customWidth="1"/>
    <col min="5765" max="5765" width="12.85546875" style="595" customWidth="1"/>
    <col min="5766" max="5766" width="7.85546875" style="595" customWidth="1"/>
    <col min="5767" max="5767" width="10.7109375" style="595" customWidth="1"/>
    <col min="5768" max="5768" width="7.140625" style="595" customWidth="1"/>
    <col min="5769" max="5769" width="11.85546875" style="595" customWidth="1"/>
    <col min="5770" max="5770" width="7.42578125" style="595" customWidth="1"/>
    <col min="5771" max="5771" width="12.140625" style="595" customWidth="1"/>
    <col min="5772" max="5772" width="8.42578125" style="595" customWidth="1"/>
    <col min="5773" max="5773" width="11.85546875" style="595" customWidth="1"/>
    <col min="5774" max="5774" width="6.85546875" style="595" customWidth="1"/>
    <col min="5775" max="5775" width="11.42578125" style="595" customWidth="1"/>
    <col min="5776" max="5776" width="9" style="595" customWidth="1"/>
    <col min="5777" max="5777" width="12.42578125" style="595" customWidth="1"/>
    <col min="5778" max="5778" width="5.85546875" style="595" customWidth="1"/>
    <col min="5779" max="5779" width="13.28515625" style="595" customWidth="1"/>
    <col min="5780" max="5780" width="8.85546875" style="595" customWidth="1"/>
    <col min="5781" max="5781" width="12" style="595" customWidth="1"/>
    <col min="5782" max="5782" width="7.5703125" style="595" customWidth="1"/>
    <col min="5783" max="5783" width="11.28515625" style="595" customWidth="1"/>
    <col min="5784" max="5784" width="6.5703125" style="595" customWidth="1"/>
    <col min="5785" max="5785" width="12.140625" style="595" customWidth="1"/>
    <col min="5786" max="5786" width="7.42578125" style="595" customWidth="1"/>
    <col min="5787" max="5787" width="12.42578125" style="595" customWidth="1"/>
    <col min="5788" max="5788" width="7.5703125" style="595" customWidth="1"/>
    <col min="5789" max="5789" width="11.28515625" style="595" customWidth="1"/>
    <col min="5790" max="5790" width="7.140625" style="595" customWidth="1"/>
    <col min="5791" max="5791" width="10.85546875" style="595" customWidth="1"/>
    <col min="5792" max="5792" width="6.140625" style="595" customWidth="1"/>
    <col min="5793" max="5793" width="10.7109375" style="595" customWidth="1"/>
    <col min="5794" max="5794" width="6.85546875" style="595" customWidth="1"/>
    <col min="5795" max="5795" width="10.7109375" style="595" customWidth="1"/>
    <col min="5796" max="5796" width="7" style="595" customWidth="1"/>
    <col min="5797" max="5797" width="11.85546875" style="595" customWidth="1"/>
    <col min="5798" max="5798" width="7.42578125" style="595" customWidth="1"/>
    <col min="5799" max="5799" width="10.7109375" style="595" customWidth="1"/>
    <col min="5800" max="5800" width="8.42578125" style="595" customWidth="1"/>
    <col min="5801" max="5801" width="11.140625" style="595" customWidth="1"/>
    <col min="5802" max="5802" width="8" style="595" customWidth="1"/>
    <col min="5803" max="5803" width="10.85546875" style="595" customWidth="1"/>
    <col min="5804" max="5804" width="7.5703125" style="595" customWidth="1"/>
    <col min="5805" max="5805" width="14.28515625" style="595" customWidth="1"/>
    <col min="5806" max="5806" width="6.5703125" style="595" customWidth="1"/>
    <col min="5807" max="5807" width="14.140625" style="595" customWidth="1"/>
    <col min="5808" max="5808" width="6.5703125" style="595" customWidth="1"/>
    <col min="5809" max="5809" width="14.28515625" style="595" customWidth="1"/>
    <col min="5810" max="5810" width="7.85546875" style="595" customWidth="1"/>
    <col min="5811" max="5811" width="14.140625" style="595" customWidth="1"/>
    <col min="5812" max="5812" width="6.85546875" style="595" customWidth="1"/>
    <col min="5813" max="5813" width="14.140625" style="595" customWidth="1"/>
    <col min="5814" max="5814" width="6.28515625" style="595" customWidth="1"/>
    <col min="5815" max="5815" width="14.140625" style="595" customWidth="1"/>
    <col min="5816" max="5816" width="5.85546875" style="595" customWidth="1"/>
    <col min="5817" max="5817" width="14.85546875" style="595" customWidth="1"/>
    <col min="5818" max="5818" width="6.85546875" style="595" customWidth="1"/>
    <col min="5819" max="5819" width="14.28515625" style="595" customWidth="1"/>
    <col min="5820" max="5820" width="7.28515625" style="595" customWidth="1"/>
    <col min="5821" max="5821" width="14.28515625" style="595" customWidth="1"/>
    <col min="5822" max="5822" width="6.42578125" style="595" customWidth="1"/>
    <col min="5823" max="5823" width="14" style="595" customWidth="1"/>
    <col min="5824" max="5824" width="7" style="595" customWidth="1"/>
    <col min="5825" max="5825" width="14" style="595" customWidth="1"/>
    <col min="5826" max="5826" width="6.42578125" style="595" customWidth="1"/>
    <col min="5827" max="5827" width="14.140625" style="595" customWidth="1"/>
    <col min="5828" max="5828" width="6.28515625" style="595" customWidth="1"/>
    <col min="5829" max="5829" width="14.140625" style="595" customWidth="1"/>
    <col min="5830" max="5830" width="7" style="595" customWidth="1"/>
    <col min="5831" max="5831" width="14.140625" style="595" customWidth="1"/>
    <col min="5832" max="5832" width="7.42578125" style="595" customWidth="1"/>
    <col min="5833" max="5833" width="14.5703125" style="595" customWidth="1"/>
    <col min="5834" max="5834" width="6.7109375" style="595" customWidth="1"/>
    <col min="5835" max="5835" width="14.140625" style="595" customWidth="1"/>
    <col min="5836" max="5836" width="7" style="595" customWidth="1"/>
    <col min="5837" max="5837" width="14.5703125" style="595" customWidth="1"/>
    <col min="5838" max="5838" width="7.42578125" style="595" customWidth="1"/>
    <col min="5839" max="5839" width="14.5703125" style="595" customWidth="1"/>
    <col min="5840" max="5840" width="6.42578125" style="595" customWidth="1"/>
    <col min="5841" max="5841" width="14.7109375" style="595" customWidth="1"/>
    <col min="5842" max="5842" width="6.85546875" style="595" customWidth="1"/>
    <col min="5843" max="5843" width="14.5703125" style="595" customWidth="1"/>
    <col min="5844" max="5844" width="7.140625" style="595" customWidth="1"/>
    <col min="5845" max="5845" width="14.5703125" style="595" customWidth="1"/>
    <col min="5846" max="5846" width="6.7109375" style="595" customWidth="1"/>
    <col min="5847" max="5847" width="14.140625" style="595" customWidth="1"/>
    <col min="5848" max="5848" width="5.85546875" style="595" customWidth="1"/>
    <col min="5849" max="5849" width="14" style="595" customWidth="1"/>
    <col min="5850" max="5850" width="8.28515625" style="595" customWidth="1"/>
    <col min="5851" max="5851" width="14.7109375" style="595" customWidth="1"/>
    <col min="5852" max="5852" width="7.140625" style="595" customWidth="1"/>
    <col min="5853" max="5853" width="14.7109375" style="595" customWidth="1"/>
    <col min="5854" max="5854" width="7.140625" style="595" customWidth="1"/>
    <col min="5855" max="5855" width="14" style="595" customWidth="1"/>
    <col min="5856" max="5856" width="6.42578125" style="595" customWidth="1"/>
    <col min="5857" max="5857" width="14" style="595" customWidth="1"/>
    <col min="5858" max="5858" width="6.28515625" style="595" customWidth="1"/>
    <col min="5859" max="5859" width="14.42578125" style="595" customWidth="1"/>
    <col min="5860" max="5860" width="6.28515625" style="595" customWidth="1"/>
    <col min="5861" max="5861" width="14.85546875" style="595" customWidth="1"/>
    <col min="5862" max="5862" width="7.28515625" style="595" customWidth="1"/>
    <col min="5863" max="5863" width="14.42578125" style="595" customWidth="1"/>
    <col min="5864" max="5864" width="7.28515625" style="595" customWidth="1"/>
    <col min="5865" max="5865" width="14.7109375" style="595" customWidth="1"/>
    <col min="5866" max="5866" width="6" style="595" customWidth="1"/>
    <col min="5867" max="5867" width="14.5703125" style="595" customWidth="1"/>
    <col min="5868" max="5868" width="6.42578125" style="595" customWidth="1"/>
    <col min="5869" max="5869" width="14.140625" style="595" customWidth="1"/>
    <col min="5870" max="5870" width="7.5703125" style="595" customWidth="1"/>
    <col min="5871" max="5871" width="14.5703125" style="595" customWidth="1"/>
    <col min="5872" max="5872" width="6.7109375" style="595" customWidth="1"/>
    <col min="5873" max="5873" width="15" style="595" customWidth="1"/>
    <col min="5874" max="5874" width="9.140625" style="595"/>
    <col min="5875" max="5875" width="14" style="595" customWidth="1"/>
    <col min="5876" max="5876" width="9.140625" style="595"/>
    <col min="5877" max="5877" width="14" style="595" customWidth="1"/>
    <col min="5878" max="5882" width="9.140625" style="595"/>
    <col min="5883" max="5883" width="41.28515625" style="595" customWidth="1"/>
    <col min="5884" max="5955" width="9.140625" style="595"/>
    <col min="5956" max="5956" width="21.140625" style="595" customWidth="1"/>
    <col min="5957" max="5957" width="7.28515625" style="595" customWidth="1"/>
    <col min="5958" max="5958" width="15" style="595" customWidth="1"/>
    <col min="5959" max="5959" width="23.28515625" style="595" customWidth="1"/>
    <col min="5960" max="5960" width="25.5703125" style="595" customWidth="1"/>
    <col min="5961" max="5961" width="7" style="595" bestFit="1" customWidth="1"/>
    <col min="5962" max="5962" width="6.42578125" style="595" bestFit="1" customWidth="1"/>
    <col min="5963" max="5963" width="7.85546875" style="595" customWidth="1"/>
    <col min="5964" max="5964" width="8.7109375" style="595" customWidth="1"/>
    <col min="5965" max="5965" width="7" style="595" bestFit="1" customWidth="1"/>
    <col min="5966" max="5966" width="6.42578125" style="595" bestFit="1" customWidth="1"/>
    <col min="5967" max="5967" width="6.85546875" style="595" customWidth="1"/>
    <col min="5968" max="5968" width="7.140625" style="595" customWidth="1"/>
    <col min="5969" max="5969" width="7" style="595" bestFit="1" customWidth="1"/>
    <col min="5970" max="5970" width="6.42578125" style="595" bestFit="1" customWidth="1"/>
    <col min="5971" max="5971" width="6" style="595" customWidth="1"/>
    <col min="5972" max="5972" width="9.7109375" style="595" customWidth="1"/>
    <col min="5973" max="5973" width="7" style="595" bestFit="1" customWidth="1"/>
    <col min="5974" max="5974" width="6.42578125" style="595" bestFit="1" customWidth="1"/>
    <col min="5975" max="5975" width="7.7109375" style="595" customWidth="1"/>
    <col min="5976" max="5980" width="7.28515625" style="595" customWidth="1"/>
    <col min="5981" max="5981" width="7" style="595" customWidth="1"/>
    <col min="5982" max="5983" width="5.140625" style="595" bestFit="1" customWidth="1"/>
    <col min="5984" max="5984" width="20.5703125" style="595" customWidth="1"/>
    <col min="5985" max="5985" width="8.85546875" style="595" customWidth="1"/>
    <col min="5986" max="5986" width="18.7109375" style="595" customWidth="1"/>
    <col min="5987" max="5987" width="9.7109375" style="595" customWidth="1"/>
    <col min="5988" max="5988" width="8.85546875" style="595" customWidth="1"/>
    <col min="5989" max="5989" width="10.7109375" style="595" customWidth="1"/>
    <col min="5990" max="5990" width="35.85546875" style="595" customWidth="1"/>
    <col min="5991" max="5991" width="18.7109375" style="595" customWidth="1"/>
    <col min="5992" max="5992" width="9.140625" style="595"/>
    <col min="5993" max="5993" width="9.28515625" style="595" bestFit="1" customWidth="1"/>
    <col min="5994" max="5994" width="9.140625" style="595"/>
    <col min="5995" max="5995" width="9" style="595" customWidth="1"/>
    <col min="5996" max="5996" width="9.5703125" style="595" customWidth="1"/>
    <col min="5997" max="5997" width="11.28515625" style="595" customWidth="1"/>
    <col min="5998" max="5998" width="9.140625" style="595"/>
    <col min="5999" max="5999" width="12.7109375" style="595" customWidth="1"/>
    <col min="6000" max="6000" width="9.140625" style="595"/>
    <col min="6001" max="6001" width="20.5703125" style="595" customWidth="1"/>
    <col min="6002" max="6002" width="15.7109375" style="595" customWidth="1"/>
    <col min="6003" max="6003" width="20.7109375" style="595" customWidth="1"/>
    <col min="6004" max="6004" width="18.28515625" style="595" customWidth="1"/>
    <col min="6005" max="6007" width="9.140625" style="595"/>
    <col min="6008" max="6008" width="13.5703125" style="595" customWidth="1"/>
    <col min="6009" max="6009" width="14.7109375" style="595" customWidth="1"/>
    <col min="6010" max="6010" width="7.28515625" style="595" customWidth="1"/>
    <col min="6011" max="6011" width="17.7109375" style="595" customWidth="1"/>
    <col min="6012" max="6012" width="13.5703125" style="595" customWidth="1"/>
    <col min="6013" max="6013" width="15.5703125" style="595" customWidth="1"/>
    <col min="6014" max="6014" width="16.28515625" style="595" customWidth="1"/>
    <col min="6015" max="6015" width="15.140625" style="595" customWidth="1"/>
    <col min="6016" max="6016" width="9.140625" style="595"/>
    <col min="6017" max="6017" width="14.140625" style="595" customWidth="1"/>
    <col min="6018" max="6018" width="6.5703125" style="595" customWidth="1"/>
    <col min="6019" max="6019" width="14.5703125" style="595" customWidth="1"/>
    <col min="6020" max="6020" width="6.42578125" style="595" customWidth="1"/>
    <col min="6021" max="6021" width="12.85546875" style="595" customWidth="1"/>
    <col min="6022" max="6022" width="7.85546875" style="595" customWidth="1"/>
    <col min="6023" max="6023" width="10.7109375" style="595" customWidth="1"/>
    <col min="6024" max="6024" width="7.140625" style="595" customWidth="1"/>
    <col min="6025" max="6025" width="11.85546875" style="595" customWidth="1"/>
    <col min="6026" max="6026" width="7.42578125" style="595" customWidth="1"/>
    <col min="6027" max="6027" width="12.140625" style="595" customWidth="1"/>
    <col min="6028" max="6028" width="8.42578125" style="595" customWidth="1"/>
    <col min="6029" max="6029" width="11.85546875" style="595" customWidth="1"/>
    <col min="6030" max="6030" width="6.85546875" style="595" customWidth="1"/>
    <col min="6031" max="6031" width="11.42578125" style="595" customWidth="1"/>
    <col min="6032" max="6032" width="9" style="595" customWidth="1"/>
    <col min="6033" max="6033" width="12.42578125" style="595" customWidth="1"/>
    <col min="6034" max="6034" width="5.85546875" style="595" customWidth="1"/>
    <col min="6035" max="6035" width="13.28515625" style="595" customWidth="1"/>
    <col min="6036" max="6036" width="8.85546875" style="595" customWidth="1"/>
    <col min="6037" max="6037" width="12" style="595" customWidth="1"/>
    <col min="6038" max="6038" width="7.5703125" style="595" customWidth="1"/>
    <col min="6039" max="6039" width="11.28515625" style="595" customWidth="1"/>
    <col min="6040" max="6040" width="6.5703125" style="595" customWidth="1"/>
    <col min="6041" max="6041" width="12.140625" style="595" customWidth="1"/>
    <col min="6042" max="6042" width="7.42578125" style="595" customWidth="1"/>
    <col min="6043" max="6043" width="12.42578125" style="595" customWidth="1"/>
    <col min="6044" max="6044" width="7.5703125" style="595" customWidth="1"/>
    <col min="6045" max="6045" width="11.28515625" style="595" customWidth="1"/>
    <col min="6046" max="6046" width="7.140625" style="595" customWidth="1"/>
    <col min="6047" max="6047" width="10.85546875" style="595" customWidth="1"/>
    <col min="6048" max="6048" width="6.140625" style="595" customWidth="1"/>
    <col min="6049" max="6049" width="10.7109375" style="595" customWidth="1"/>
    <col min="6050" max="6050" width="6.85546875" style="595" customWidth="1"/>
    <col min="6051" max="6051" width="10.7109375" style="595" customWidth="1"/>
    <col min="6052" max="6052" width="7" style="595" customWidth="1"/>
    <col min="6053" max="6053" width="11.85546875" style="595" customWidth="1"/>
    <col min="6054" max="6054" width="7.42578125" style="595" customWidth="1"/>
    <col min="6055" max="6055" width="10.7109375" style="595" customWidth="1"/>
    <col min="6056" max="6056" width="8.42578125" style="595" customWidth="1"/>
    <col min="6057" max="6057" width="11.140625" style="595" customWidth="1"/>
    <col min="6058" max="6058" width="8" style="595" customWidth="1"/>
    <col min="6059" max="6059" width="10.85546875" style="595" customWidth="1"/>
    <col min="6060" max="6060" width="7.5703125" style="595" customWidth="1"/>
    <col min="6061" max="6061" width="14.28515625" style="595" customWidth="1"/>
    <col min="6062" max="6062" width="6.5703125" style="595" customWidth="1"/>
    <col min="6063" max="6063" width="14.140625" style="595" customWidth="1"/>
    <col min="6064" max="6064" width="6.5703125" style="595" customWidth="1"/>
    <col min="6065" max="6065" width="14.28515625" style="595" customWidth="1"/>
    <col min="6066" max="6066" width="7.85546875" style="595" customWidth="1"/>
    <col min="6067" max="6067" width="14.140625" style="595" customWidth="1"/>
    <col min="6068" max="6068" width="6.85546875" style="595" customWidth="1"/>
    <col min="6069" max="6069" width="14.140625" style="595" customWidth="1"/>
    <col min="6070" max="6070" width="6.28515625" style="595" customWidth="1"/>
    <col min="6071" max="6071" width="14.140625" style="595" customWidth="1"/>
    <col min="6072" max="6072" width="5.85546875" style="595" customWidth="1"/>
    <col min="6073" max="6073" width="14.85546875" style="595" customWidth="1"/>
    <col min="6074" max="6074" width="6.85546875" style="595" customWidth="1"/>
    <col min="6075" max="6075" width="14.28515625" style="595" customWidth="1"/>
    <col min="6076" max="6076" width="7.28515625" style="595" customWidth="1"/>
    <col min="6077" max="6077" width="14.28515625" style="595" customWidth="1"/>
    <col min="6078" max="6078" width="6.42578125" style="595" customWidth="1"/>
    <col min="6079" max="6079" width="14" style="595" customWidth="1"/>
    <col min="6080" max="6080" width="7" style="595" customWidth="1"/>
    <col min="6081" max="6081" width="14" style="595" customWidth="1"/>
    <col min="6082" max="6082" width="6.42578125" style="595" customWidth="1"/>
    <col min="6083" max="6083" width="14.140625" style="595" customWidth="1"/>
    <col min="6084" max="6084" width="6.28515625" style="595" customWidth="1"/>
    <col min="6085" max="6085" width="14.140625" style="595" customWidth="1"/>
    <col min="6086" max="6086" width="7" style="595" customWidth="1"/>
    <col min="6087" max="6087" width="14.140625" style="595" customWidth="1"/>
    <col min="6088" max="6088" width="7.42578125" style="595" customWidth="1"/>
    <col min="6089" max="6089" width="14.5703125" style="595" customWidth="1"/>
    <col min="6090" max="6090" width="6.7109375" style="595" customWidth="1"/>
    <col min="6091" max="6091" width="14.140625" style="595" customWidth="1"/>
    <col min="6092" max="6092" width="7" style="595" customWidth="1"/>
    <col min="6093" max="6093" width="14.5703125" style="595" customWidth="1"/>
    <col min="6094" max="6094" width="7.42578125" style="595" customWidth="1"/>
    <col min="6095" max="6095" width="14.5703125" style="595" customWidth="1"/>
    <col min="6096" max="6096" width="6.42578125" style="595" customWidth="1"/>
    <col min="6097" max="6097" width="14.7109375" style="595" customWidth="1"/>
    <col min="6098" max="6098" width="6.85546875" style="595" customWidth="1"/>
    <col min="6099" max="6099" width="14.5703125" style="595" customWidth="1"/>
    <col min="6100" max="6100" width="7.140625" style="595" customWidth="1"/>
    <col min="6101" max="6101" width="14.5703125" style="595" customWidth="1"/>
    <col min="6102" max="6102" width="6.7109375" style="595" customWidth="1"/>
    <col min="6103" max="6103" width="14.140625" style="595" customWidth="1"/>
    <col min="6104" max="6104" width="5.85546875" style="595" customWidth="1"/>
    <col min="6105" max="6105" width="14" style="595" customWidth="1"/>
    <col min="6106" max="6106" width="8.28515625" style="595" customWidth="1"/>
    <col min="6107" max="6107" width="14.7109375" style="595" customWidth="1"/>
    <col min="6108" max="6108" width="7.140625" style="595" customWidth="1"/>
    <col min="6109" max="6109" width="14.7109375" style="595" customWidth="1"/>
    <col min="6110" max="6110" width="7.140625" style="595" customWidth="1"/>
    <col min="6111" max="6111" width="14" style="595" customWidth="1"/>
    <col min="6112" max="6112" width="6.42578125" style="595" customWidth="1"/>
    <col min="6113" max="6113" width="14" style="595" customWidth="1"/>
    <col min="6114" max="6114" width="6.28515625" style="595" customWidth="1"/>
    <col min="6115" max="6115" width="14.42578125" style="595" customWidth="1"/>
    <col min="6116" max="6116" width="6.28515625" style="595" customWidth="1"/>
    <col min="6117" max="6117" width="14.85546875" style="595" customWidth="1"/>
    <col min="6118" max="6118" width="7.28515625" style="595" customWidth="1"/>
    <col min="6119" max="6119" width="14.42578125" style="595" customWidth="1"/>
    <col min="6120" max="6120" width="7.28515625" style="595" customWidth="1"/>
    <col min="6121" max="6121" width="14.7109375" style="595" customWidth="1"/>
    <col min="6122" max="6122" width="6" style="595" customWidth="1"/>
    <col min="6123" max="6123" width="14.5703125" style="595" customWidth="1"/>
    <col min="6124" max="6124" width="6.42578125" style="595" customWidth="1"/>
    <col min="6125" max="6125" width="14.140625" style="595" customWidth="1"/>
    <col min="6126" max="6126" width="7.5703125" style="595" customWidth="1"/>
    <col min="6127" max="6127" width="14.5703125" style="595" customWidth="1"/>
    <col min="6128" max="6128" width="6.7109375" style="595" customWidth="1"/>
    <col min="6129" max="6129" width="15" style="595" customWidth="1"/>
    <col min="6130" max="6130" width="9.140625" style="595"/>
    <col min="6131" max="6131" width="14" style="595" customWidth="1"/>
    <col min="6132" max="6132" width="9.140625" style="595"/>
    <col min="6133" max="6133" width="14" style="595" customWidth="1"/>
    <col min="6134" max="6138" width="9.140625" style="595"/>
    <col min="6139" max="6139" width="41.28515625" style="595" customWidth="1"/>
    <col min="6140" max="6211" width="9.140625" style="595"/>
    <col min="6212" max="6212" width="21.140625" style="595" customWidth="1"/>
    <col min="6213" max="6213" width="7.28515625" style="595" customWidth="1"/>
    <col min="6214" max="6214" width="15" style="595" customWidth="1"/>
    <col min="6215" max="6215" width="23.28515625" style="595" customWidth="1"/>
    <col min="6216" max="6216" width="25.5703125" style="595" customWidth="1"/>
    <col min="6217" max="6217" width="7" style="595" bestFit="1" customWidth="1"/>
    <col min="6218" max="6218" width="6.42578125" style="595" bestFit="1" customWidth="1"/>
    <col min="6219" max="6219" width="7.85546875" style="595" customWidth="1"/>
    <col min="6220" max="6220" width="8.7109375" style="595" customWidth="1"/>
    <col min="6221" max="6221" width="7" style="595" bestFit="1" customWidth="1"/>
    <col min="6222" max="6222" width="6.42578125" style="595" bestFit="1" customWidth="1"/>
    <col min="6223" max="6223" width="6.85546875" style="595" customWidth="1"/>
    <col min="6224" max="6224" width="7.140625" style="595" customWidth="1"/>
    <col min="6225" max="6225" width="7" style="595" bestFit="1" customWidth="1"/>
    <col min="6226" max="6226" width="6.42578125" style="595" bestFit="1" customWidth="1"/>
    <col min="6227" max="6227" width="6" style="595" customWidth="1"/>
    <col min="6228" max="6228" width="9.7109375" style="595" customWidth="1"/>
    <col min="6229" max="6229" width="7" style="595" bestFit="1" customWidth="1"/>
    <col min="6230" max="6230" width="6.42578125" style="595" bestFit="1" customWidth="1"/>
    <col min="6231" max="6231" width="7.7109375" style="595" customWidth="1"/>
    <col min="6232" max="6236" width="7.28515625" style="595" customWidth="1"/>
    <col min="6237" max="6237" width="7" style="595" customWidth="1"/>
    <col min="6238" max="6239" width="5.140625" style="595" bestFit="1" customWidth="1"/>
    <col min="6240" max="6240" width="20.5703125" style="595" customWidth="1"/>
    <col min="6241" max="6241" width="8.85546875" style="595" customWidth="1"/>
    <col min="6242" max="6242" width="18.7109375" style="595" customWidth="1"/>
    <col min="6243" max="6243" width="9.7109375" style="595" customWidth="1"/>
    <col min="6244" max="6244" width="8.85546875" style="595" customWidth="1"/>
    <col min="6245" max="6245" width="10.7109375" style="595" customWidth="1"/>
    <col min="6246" max="6246" width="35.85546875" style="595" customWidth="1"/>
    <col min="6247" max="6247" width="18.7109375" style="595" customWidth="1"/>
    <col min="6248" max="6248" width="9.140625" style="595"/>
    <col min="6249" max="6249" width="9.28515625" style="595" bestFit="1" customWidth="1"/>
    <col min="6250" max="6250" width="9.140625" style="595"/>
    <col min="6251" max="6251" width="9" style="595" customWidth="1"/>
    <col min="6252" max="6252" width="9.5703125" style="595" customWidth="1"/>
    <col min="6253" max="6253" width="11.28515625" style="595" customWidth="1"/>
    <col min="6254" max="6254" width="9.140625" style="595"/>
    <col min="6255" max="6255" width="12.7109375" style="595" customWidth="1"/>
    <col min="6256" max="6256" width="9.140625" style="595"/>
    <col min="6257" max="6257" width="20.5703125" style="595" customWidth="1"/>
    <col min="6258" max="6258" width="15.7109375" style="595" customWidth="1"/>
    <col min="6259" max="6259" width="20.7109375" style="595" customWidth="1"/>
    <col min="6260" max="6260" width="18.28515625" style="595" customWidth="1"/>
    <col min="6261" max="6263" width="9.140625" style="595"/>
    <col min="6264" max="6264" width="13.5703125" style="595" customWidth="1"/>
    <col min="6265" max="6265" width="14.7109375" style="595" customWidth="1"/>
    <col min="6266" max="6266" width="7.28515625" style="595" customWidth="1"/>
    <col min="6267" max="6267" width="17.7109375" style="595" customWidth="1"/>
    <col min="6268" max="6268" width="13.5703125" style="595" customWidth="1"/>
    <col min="6269" max="6269" width="15.5703125" style="595" customWidth="1"/>
    <col min="6270" max="6270" width="16.28515625" style="595" customWidth="1"/>
    <col min="6271" max="6271" width="15.140625" style="595" customWidth="1"/>
    <col min="6272" max="6272" width="9.140625" style="595"/>
    <col min="6273" max="6273" width="14.140625" style="595" customWidth="1"/>
    <col min="6274" max="6274" width="6.5703125" style="595" customWidth="1"/>
    <col min="6275" max="6275" width="14.5703125" style="595" customWidth="1"/>
    <col min="6276" max="6276" width="6.42578125" style="595" customWidth="1"/>
    <col min="6277" max="6277" width="12.85546875" style="595" customWidth="1"/>
    <col min="6278" max="6278" width="7.85546875" style="595" customWidth="1"/>
    <col min="6279" max="6279" width="10.7109375" style="595" customWidth="1"/>
    <col min="6280" max="6280" width="7.140625" style="595" customWidth="1"/>
    <col min="6281" max="6281" width="11.85546875" style="595" customWidth="1"/>
    <col min="6282" max="6282" width="7.42578125" style="595" customWidth="1"/>
    <col min="6283" max="6283" width="12.140625" style="595" customWidth="1"/>
    <col min="6284" max="6284" width="8.42578125" style="595" customWidth="1"/>
    <col min="6285" max="6285" width="11.85546875" style="595" customWidth="1"/>
    <col min="6286" max="6286" width="6.85546875" style="595" customWidth="1"/>
    <col min="6287" max="6287" width="11.42578125" style="595" customWidth="1"/>
    <col min="6288" max="6288" width="9" style="595" customWidth="1"/>
    <col min="6289" max="6289" width="12.42578125" style="595" customWidth="1"/>
    <col min="6290" max="6290" width="5.85546875" style="595" customWidth="1"/>
    <col min="6291" max="6291" width="13.28515625" style="595" customWidth="1"/>
    <col min="6292" max="6292" width="8.85546875" style="595" customWidth="1"/>
    <col min="6293" max="6293" width="12" style="595" customWidth="1"/>
    <col min="6294" max="6294" width="7.5703125" style="595" customWidth="1"/>
    <col min="6295" max="6295" width="11.28515625" style="595" customWidth="1"/>
    <col min="6296" max="6296" width="6.5703125" style="595" customWidth="1"/>
    <col min="6297" max="6297" width="12.140625" style="595" customWidth="1"/>
    <col min="6298" max="6298" width="7.42578125" style="595" customWidth="1"/>
    <col min="6299" max="6299" width="12.42578125" style="595" customWidth="1"/>
    <col min="6300" max="6300" width="7.5703125" style="595" customWidth="1"/>
    <col min="6301" max="6301" width="11.28515625" style="595" customWidth="1"/>
    <col min="6302" max="6302" width="7.140625" style="595" customWidth="1"/>
    <col min="6303" max="6303" width="10.85546875" style="595" customWidth="1"/>
    <col min="6304" max="6304" width="6.140625" style="595" customWidth="1"/>
    <col min="6305" max="6305" width="10.7109375" style="595" customWidth="1"/>
    <col min="6306" max="6306" width="6.85546875" style="595" customWidth="1"/>
    <col min="6307" max="6307" width="10.7109375" style="595" customWidth="1"/>
    <col min="6308" max="6308" width="7" style="595" customWidth="1"/>
    <col min="6309" max="6309" width="11.85546875" style="595" customWidth="1"/>
    <col min="6310" max="6310" width="7.42578125" style="595" customWidth="1"/>
    <col min="6311" max="6311" width="10.7109375" style="595" customWidth="1"/>
    <col min="6312" max="6312" width="8.42578125" style="595" customWidth="1"/>
    <col min="6313" max="6313" width="11.140625" style="595" customWidth="1"/>
    <col min="6314" max="6314" width="8" style="595" customWidth="1"/>
    <col min="6315" max="6315" width="10.85546875" style="595" customWidth="1"/>
    <col min="6316" max="6316" width="7.5703125" style="595" customWidth="1"/>
    <col min="6317" max="6317" width="14.28515625" style="595" customWidth="1"/>
    <col min="6318" max="6318" width="6.5703125" style="595" customWidth="1"/>
    <col min="6319" max="6319" width="14.140625" style="595" customWidth="1"/>
    <col min="6320" max="6320" width="6.5703125" style="595" customWidth="1"/>
    <col min="6321" max="6321" width="14.28515625" style="595" customWidth="1"/>
    <col min="6322" max="6322" width="7.85546875" style="595" customWidth="1"/>
    <col min="6323" max="6323" width="14.140625" style="595" customWidth="1"/>
    <col min="6324" max="6324" width="6.85546875" style="595" customWidth="1"/>
    <col min="6325" max="6325" width="14.140625" style="595" customWidth="1"/>
    <col min="6326" max="6326" width="6.28515625" style="595" customWidth="1"/>
    <col min="6327" max="6327" width="14.140625" style="595" customWidth="1"/>
    <col min="6328" max="6328" width="5.85546875" style="595" customWidth="1"/>
    <col min="6329" max="6329" width="14.85546875" style="595" customWidth="1"/>
    <col min="6330" max="6330" width="6.85546875" style="595" customWidth="1"/>
    <col min="6331" max="6331" width="14.28515625" style="595" customWidth="1"/>
    <col min="6332" max="6332" width="7.28515625" style="595" customWidth="1"/>
    <col min="6333" max="6333" width="14.28515625" style="595" customWidth="1"/>
    <col min="6334" max="6334" width="6.42578125" style="595" customWidth="1"/>
    <col min="6335" max="6335" width="14" style="595" customWidth="1"/>
    <col min="6336" max="6336" width="7" style="595" customWidth="1"/>
    <col min="6337" max="6337" width="14" style="595" customWidth="1"/>
    <col min="6338" max="6338" width="6.42578125" style="595" customWidth="1"/>
    <col min="6339" max="6339" width="14.140625" style="595" customWidth="1"/>
    <col min="6340" max="6340" width="6.28515625" style="595" customWidth="1"/>
    <col min="6341" max="6341" width="14.140625" style="595" customWidth="1"/>
    <col min="6342" max="6342" width="7" style="595" customWidth="1"/>
    <col min="6343" max="6343" width="14.140625" style="595" customWidth="1"/>
    <col min="6344" max="6344" width="7.42578125" style="595" customWidth="1"/>
    <col min="6345" max="6345" width="14.5703125" style="595" customWidth="1"/>
    <col min="6346" max="6346" width="6.7109375" style="595" customWidth="1"/>
    <col min="6347" max="6347" width="14.140625" style="595" customWidth="1"/>
    <col min="6348" max="6348" width="7" style="595" customWidth="1"/>
    <col min="6349" max="6349" width="14.5703125" style="595" customWidth="1"/>
    <col min="6350" max="6350" width="7.42578125" style="595" customWidth="1"/>
    <col min="6351" max="6351" width="14.5703125" style="595" customWidth="1"/>
    <col min="6352" max="6352" width="6.42578125" style="595" customWidth="1"/>
    <col min="6353" max="6353" width="14.7109375" style="595" customWidth="1"/>
    <col min="6354" max="6354" width="6.85546875" style="595" customWidth="1"/>
    <col min="6355" max="6355" width="14.5703125" style="595" customWidth="1"/>
    <col min="6356" max="6356" width="7.140625" style="595" customWidth="1"/>
    <col min="6357" max="6357" width="14.5703125" style="595" customWidth="1"/>
    <col min="6358" max="6358" width="6.7109375" style="595" customWidth="1"/>
    <col min="6359" max="6359" width="14.140625" style="595" customWidth="1"/>
    <col min="6360" max="6360" width="5.85546875" style="595" customWidth="1"/>
    <col min="6361" max="6361" width="14" style="595" customWidth="1"/>
    <col min="6362" max="6362" width="8.28515625" style="595" customWidth="1"/>
    <col min="6363" max="6363" width="14.7109375" style="595" customWidth="1"/>
    <col min="6364" max="6364" width="7.140625" style="595" customWidth="1"/>
    <col min="6365" max="6365" width="14.7109375" style="595" customWidth="1"/>
    <col min="6366" max="6366" width="7.140625" style="595" customWidth="1"/>
    <col min="6367" max="6367" width="14" style="595" customWidth="1"/>
    <col min="6368" max="6368" width="6.42578125" style="595" customWidth="1"/>
    <col min="6369" max="6369" width="14" style="595" customWidth="1"/>
    <col min="6370" max="6370" width="6.28515625" style="595" customWidth="1"/>
    <col min="6371" max="6371" width="14.42578125" style="595" customWidth="1"/>
    <col min="6372" max="6372" width="6.28515625" style="595" customWidth="1"/>
    <col min="6373" max="6373" width="14.85546875" style="595" customWidth="1"/>
    <col min="6374" max="6374" width="7.28515625" style="595" customWidth="1"/>
    <col min="6375" max="6375" width="14.42578125" style="595" customWidth="1"/>
    <col min="6376" max="6376" width="7.28515625" style="595" customWidth="1"/>
    <col min="6377" max="6377" width="14.7109375" style="595" customWidth="1"/>
    <col min="6378" max="6378" width="6" style="595" customWidth="1"/>
    <col min="6379" max="6379" width="14.5703125" style="595" customWidth="1"/>
    <col min="6380" max="6380" width="6.42578125" style="595" customWidth="1"/>
    <col min="6381" max="6381" width="14.140625" style="595" customWidth="1"/>
    <col min="6382" max="6382" width="7.5703125" style="595" customWidth="1"/>
    <col min="6383" max="6383" width="14.5703125" style="595" customWidth="1"/>
    <col min="6384" max="6384" width="6.7109375" style="595" customWidth="1"/>
    <col min="6385" max="6385" width="15" style="595" customWidth="1"/>
    <col min="6386" max="6386" width="9.140625" style="595"/>
    <col min="6387" max="6387" width="14" style="595" customWidth="1"/>
    <col min="6388" max="6388" width="9.140625" style="595"/>
    <col min="6389" max="6389" width="14" style="595" customWidth="1"/>
    <col min="6390" max="6394" width="9.140625" style="595"/>
    <col min="6395" max="6395" width="41.28515625" style="595" customWidth="1"/>
    <col min="6396" max="6467" width="9.140625" style="595"/>
    <col min="6468" max="6468" width="21.140625" style="595" customWidth="1"/>
    <col min="6469" max="6469" width="7.28515625" style="595" customWidth="1"/>
    <col min="6470" max="6470" width="15" style="595" customWidth="1"/>
    <col min="6471" max="6471" width="23.28515625" style="595" customWidth="1"/>
    <col min="6472" max="6472" width="25.5703125" style="595" customWidth="1"/>
    <col min="6473" max="6473" width="7" style="595" bestFit="1" customWidth="1"/>
    <col min="6474" max="6474" width="6.42578125" style="595" bestFit="1" customWidth="1"/>
    <col min="6475" max="6475" width="7.85546875" style="595" customWidth="1"/>
    <col min="6476" max="6476" width="8.7109375" style="595" customWidth="1"/>
    <col min="6477" max="6477" width="7" style="595" bestFit="1" customWidth="1"/>
    <col min="6478" max="6478" width="6.42578125" style="595" bestFit="1" customWidth="1"/>
    <col min="6479" max="6479" width="6.85546875" style="595" customWidth="1"/>
    <col min="6480" max="6480" width="7.140625" style="595" customWidth="1"/>
    <col min="6481" max="6481" width="7" style="595" bestFit="1" customWidth="1"/>
    <col min="6482" max="6482" width="6.42578125" style="595" bestFit="1" customWidth="1"/>
    <col min="6483" max="6483" width="6" style="595" customWidth="1"/>
    <col min="6484" max="6484" width="9.7109375" style="595" customWidth="1"/>
    <col min="6485" max="6485" width="7" style="595" bestFit="1" customWidth="1"/>
    <col min="6486" max="6486" width="6.42578125" style="595" bestFit="1" customWidth="1"/>
    <col min="6487" max="6487" width="7.7109375" style="595" customWidth="1"/>
    <col min="6488" max="6492" width="7.28515625" style="595" customWidth="1"/>
    <col min="6493" max="6493" width="7" style="595" customWidth="1"/>
    <col min="6494" max="6495" width="5.140625" style="595" bestFit="1" customWidth="1"/>
    <col min="6496" max="6496" width="20.5703125" style="595" customWidth="1"/>
    <col min="6497" max="6497" width="8.85546875" style="595" customWidth="1"/>
    <col min="6498" max="6498" width="18.7109375" style="595" customWidth="1"/>
    <col min="6499" max="6499" width="9.7109375" style="595" customWidth="1"/>
    <col min="6500" max="6500" width="8.85546875" style="595" customWidth="1"/>
    <col min="6501" max="6501" width="10.7109375" style="595" customWidth="1"/>
    <col min="6502" max="6502" width="35.85546875" style="595" customWidth="1"/>
    <col min="6503" max="6503" width="18.7109375" style="595" customWidth="1"/>
    <col min="6504" max="6504" width="9.140625" style="595"/>
    <col min="6505" max="6505" width="9.28515625" style="595" bestFit="1" customWidth="1"/>
    <col min="6506" max="6506" width="9.140625" style="595"/>
    <col min="6507" max="6507" width="9" style="595" customWidth="1"/>
    <col min="6508" max="6508" width="9.5703125" style="595" customWidth="1"/>
    <col min="6509" max="6509" width="11.28515625" style="595" customWidth="1"/>
    <col min="6510" max="6510" width="9.140625" style="595"/>
    <col min="6511" max="6511" width="12.7109375" style="595" customWidth="1"/>
    <col min="6512" max="6512" width="9.140625" style="595"/>
    <col min="6513" max="6513" width="20.5703125" style="595" customWidth="1"/>
    <col min="6514" max="6514" width="15.7109375" style="595" customWidth="1"/>
    <col min="6515" max="6515" width="20.7109375" style="595" customWidth="1"/>
    <col min="6516" max="6516" width="18.28515625" style="595" customWidth="1"/>
    <col min="6517" max="6519" width="9.140625" style="595"/>
    <col min="6520" max="6520" width="13.5703125" style="595" customWidth="1"/>
    <col min="6521" max="6521" width="14.7109375" style="595" customWidth="1"/>
    <col min="6522" max="6522" width="7.28515625" style="595" customWidth="1"/>
    <col min="6523" max="6523" width="17.7109375" style="595" customWidth="1"/>
    <col min="6524" max="6524" width="13.5703125" style="595" customWidth="1"/>
    <col min="6525" max="6525" width="15.5703125" style="595" customWidth="1"/>
    <col min="6526" max="6526" width="16.28515625" style="595" customWidth="1"/>
    <col min="6527" max="6527" width="15.140625" style="595" customWidth="1"/>
    <col min="6528" max="6528" width="9.140625" style="595"/>
    <col min="6529" max="6529" width="14.140625" style="595" customWidth="1"/>
    <col min="6530" max="6530" width="6.5703125" style="595" customWidth="1"/>
    <col min="6531" max="6531" width="14.5703125" style="595" customWidth="1"/>
    <col min="6532" max="6532" width="6.42578125" style="595" customWidth="1"/>
    <col min="6533" max="6533" width="12.85546875" style="595" customWidth="1"/>
    <col min="6534" max="6534" width="7.85546875" style="595" customWidth="1"/>
    <col min="6535" max="6535" width="10.7109375" style="595" customWidth="1"/>
    <col min="6536" max="6536" width="7.140625" style="595" customWidth="1"/>
    <col min="6537" max="6537" width="11.85546875" style="595" customWidth="1"/>
    <col min="6538" max="6538" width="7.42578125" style="595" customWidth="1"/>
    <col min="6539" max="6539" width="12.140625" style="595" customWidth="1"/>
    <col min="6540" max="6540" width="8.42578125" style="595" customWidth="1"/>
    <col min="6541" max="6541" width="11.85546875" style="595" customWidth="1"/>
    <col min="6542" max="6542" width="6.85546875" style="595" customWidth="1"/>
    <col min="6543" max="6543" width="11.42578125" style="595" customWidth="1"/>
    <col min="6544" max="6544" width="9" style="595" customWidth="1"/>
    <col min="6545" max="6545" width="12.42578125" style="595" customWidth="1"/>
    <col min="6546" max="6546" width="5.85546875" style="595" customWidth="1"/>
    <col min="6547" max="6547" width="13.28515625" style="595" customWidth="1"/>
    <col min="6548" max="6548" width="8.85546875" style="595" customWidth="1"/>
    <col min="6549" max="6549" width="12" style="595" customWidth="1"/>
    <col min="6550" max="6550" width="7.5703125" style="595" customWidth="1"/>
    <col min="6551" max="6551" width="11.28515625" style="595" customWidth="1"/>
    <col min="6552" max="6552" width="6.5703125" style="595" customWidth="1"/>
    <col min="6553" max="6553" width="12.140625" style="595" customWidth="1"/>
    <col min="6554" max="6554" width="7.42578125" style="595" customWidth="1"/>
    <col min="6555" max="6555" width="12.42578125" style="595" customWidth="1"/>
    <col min="6556" max="6556" width="7.5703125" style="595" customWidth="1"/>
    <col min="6557" max="6557" width="11.28515625" style="595" customWidth="1"/>
    <col min="6558" max="6558" width="7.140625" style="595" customWidth="1"/>
    <col min="6559" max="6559" width="10.85546875" style="595" customWidth="1"/>
    <col min="6560" max="6560" width="6.140625" style="595" customWidth="1"/>
    <col min="6561" max="6561" width="10.7109375" style="595" customWidth="1"/>
    <col min="6562" max="6562" width="6.85546875" style="595" customWidth="1"/>
    <col min="6563" max="6563" width="10.7109375" style="595" customWidth="1"/>
    <col min="6564" max="6564" width="7" style="595" customWidth="1"/>
    <col min="6565" max="6565" width="11.85546875" style="595" customWidth="1"/>
    <col min="6566" max="6566" width="7.42578125" style="595" customWidth="1"/>
    <col min="6567" max="6567" width="10.7109375" style="595" customWidth="1"/>
    <col min="6568" max="6568" width="8.42578125" style="595" customWidth="1"/>
    <col min="6569" max="6569" width="11.140625" style="595" customWidth="1"/>
    <col min="6570" max="6570" width="8" style="595" customWidth="1"/>
    <col min="6571" max="6571" width="10.85546875" style="595" customWidth="1"/>
    <col min="6572" max="6572" width="7.5703125" style="595" customWidth="1"/>
    <col min="6573" max="6573" width="14.28515625" style="595" customWidth="1"/>
    <col min="6574" max="6574" width="6.5703125" style="595" customWidth="1"/>
    <col min="6575" max="6575" width="14.140625" style="595" customWidth="1"/>
    <col min="6576" max="6576" width="6.5703125" style="595" customWidth="1"/>
    <col min="6577" max="6577" width="14.28515625" style="595" customWidth="1"/>
    <col min="6578" max="6578" width="7.85546875" style="595" customWidth="1"/>
    <col min="6579" max="6579" width="14.140625" style="595" customWidth="1"/>
    <col min="6580" max="6580" width="6.85546875" style="595" customWidth="1"/>
    <col min="6581" max="6581" width="14.140625" style="595" customWidth="1"/>
    <col min="6582" max="6582" width="6.28515625" style="595" customWidth="1"/>
    <col min="6583" max="6583" width="14.140625" style="595" customWidth="1"/>
    <col min="6584" max="6584" width="5.85546875" style="595" customWidth="1"/>
    <col min="6585" max="6585" width="14.85546875" style="595" customWidth="1"/>
    <col min="6586" max="6586" width="6.85546875" style="595" customWidth="1"/>
    <col min="6587" max="6587" width="14.28515625" style="595" customWidth="1"/>
    <col min="6588" max="6588" width="7.28515625" style="595" customWidth="1"/>
    <col min="6589" max="6589" width="14.28515625" style="595" customWidth="1"/>
    <col min="6590" max="6590" width="6.42578125" style="595" customWidth="1"/>
    <col min="6591" max="6591" width="14" style="595" customWidth="1"/>
    <col min="6592" max="6592" width="7" style="595" customWidth="1"/>
    <col min="6593" max="6593" width="14" style="595" customWidth="1"/>
    <col min="6594" max="6594" width="6.42578125" style="595" customWidth="1"/>
    <col min="6595" max="6595" width="14.140625" style="595" customWidth="1"/>
    <col min="6596" max="6596" width="6.28515625" style="595" customWidth="1"/>
    <col min="6597" max="6597" width="14.140625" style="595" customWidth="1"/>
    <col min="6598" max="6598" width="7" style="595" customWidth="1"/>
    <col min="6599" max="6599" width="14.140625" style="595" customWidth="1"/>
    <col min="6600" max="6600" width="7.42578125" style="595" customWidth="1"/>
    <col min="6601" max="6601" width="14.5703125" style="595" customWidth="1"/>
    <col min="6602" max="6602" width="6.7109375" style="595" customWidth="1"/>
    <col min="6603" max="6603" width="14.140625" style="595" customWidth="1"/>
    <col min="6604" max="6604" width="7" style="595" customWidth="1"/>
    <col min="6605" max="6605" width="14.5703125" style="595" customWidth="1"/>
    <col min="6606" max="6606" width="7.42578125" style="595" customWidth="1"/>
    <col min="6607" max="6607" width="14.5703125" style="595" customWidth="1"/>
    <col min="6608" max="6608" width="6.42578125" style="595" customWidth="1"/>
    <col min="6609" max="6609" width="14.7109375" style="595" customWidth="1"/>
    <col min="6610" max="6610" width="6.85546875" style="595" customWidth="1"/>
    <col min="6611" max="6611" width="14.5703125" style="595" customWidth="1"/>
    <col min="6612" max="6612" width="7.140625" style="595" customWidth="1"/>
    <col min="6613" max="6613" width="14.5703125" style="595" customWidth="1"/>
    <col min="6614" max="6614" width="6.7109375" style="595" customWidth="1"/>
    <col min="6615" max="6615" width="14.140625" style="595" customWidth="1"/>
    <col min="6616" max="6616" width="5.85546875" style="595" customWidth="1"/>
    <col min="6617" max="6617" width="14" style="595" customWidth="1"/>
    <col min="6618" max="6618" width="8.28515625" style="595" customWidth="1"/>
    <col min="6619" max="6619" width="14.7109375" style="595" customWidth="1"/>
    <col min="6620" max="6620" width="7.140625" style="595" customWidth="1"/>
    <col min="6621" max="6621" width="14.7109375" style="595" customWidth="1"/>
    <col min="6622" max="6622" width="7.140625" style="595" customWidth="1"/>
    <col min="6623" max="6623" width="14" style="595" customWidth="1"/>
    <col min="6624" max="6624" width="6.42578125" style="595" customWidth="1"/>
    <col min="6625" max="6625" width="14" style="595" customWidth="1"/>
    <col min="6626" max="6626" width="6.28515625" style="595" customWidth="1"/>
    <col min="6627" max="6627" width="14.42578125" style="595" customWidth="1"/>
    <col min="6628" max="6628" width="6.28515625" style="595" customWidth="1"/>
    <col min="6629" max="6629" width="14.85546875" style="595" customWidth="1"/>
    <col min="6630" max="6630" width="7.28515625" style="595" customWidth="1"/>
    <col min="6631" max="6631" width="14.42578125" style="595" customWidth="1"/>
    <col min="6632" max="6632" width="7.28515625" style="595" customWidth="1"/>
    <col min="6633" max="6633" width="14.7109375" style="595" customWidth="1"/>
    <col min="6634" max="6634" width="6" style="595" customWidth="1"/>
    <col min="6635" max="6635" width="14.5703125" style="595" customWidth="1"/>
    <col min="6636" max="6636" width="6.42578125" style="595" customWidth="1"/>
    <col min="6637" max="6637" width="14.140625" style="595" customWidth="1"/>
    <col min="6638" max="6638" width="7.5703125" style="595" customWidth="1"/>
    <col min="6639" max="6639" width="14.5703125" style="595" customWidth="1"/>
    <col min="6640" max="6640" width="6.7109375" style="595" customWidth="1"/>
    <col min="6641" max="6641" width="15" style="595" customWidth="1"/>
    <col min="6642" max="6642" width="9.140625" style="595"/>
    <col min="6643" max="6643" width="14" style="595" customWidth="1"/>
    <col min="6644" max="6644" width="9.140625" style="595"/>
    <col min="6645" max="6645" width="14" style="595" customWidth="1"/>
    <col min="6646" max="6650" width="9.140625" style="595"/>
    <col min="6651" max="6651" width="41.28515625" style="595" customWidth="1"/>
    <col min="6652" max="6723" width="9.140625" style="595"/>
    <col min="6724" max="6724" width="21.140625" style="595" customWidth="1"/>
    <col min="6725" max="6725" width="7.28515625" style="595" customWidth="1"/>
    <col min="6726" max="6726" width="15" style="595" customWidth="1"/>
    <col min="6727" max="6727" width="23.28515625" style="595" customWidth="1"/>
    <col min="6728" max="6728" width="25.5703125" style="595" customWidth="1"/>
    <col min="6729" max="6729" width="7" style="595" bestFit="1" customWidth="1"/>
    <col min="6730" max="6730" width="6.42578125" style="595" bestFit="1" customWidth="1"/>
    <col min="6731" max="6731" width="7.85546875" style="595" customWidth="1"/>
    <col min="6732" max="6732" width="8.7109375" style="595" customWidth="1"/>
    <col min="6733" max="6733" width="7" style="595" bestFit="1" customWidth="1"/>
    <col min="6734" max="6734" width="6.42578125" style="595" bestFit="1" customWidth="1"/>
    <col min="6735" max="6735" width="6.85546875" style="595" customWidth="1"/>
    <col min="6736" max="6736" width="7.140625" style="595" customWidth="1"/>
    <col min="6737" max="6737" width="7" style="595" bestFit="1" customWidth="1"/>
    <col min="6738" max="6738" width="6.42578125" style="595" bestFit="1" customWidth="1"/>
    <col min="6739" max="6739" width="6" style="595" customWidth="1"/>
    <col min="6740" max="6740" width="9.7109375" style="595" customWidth="1"/>
    <col min="6741" max="6741" width="7" style="595" bestFit="1" customWidth="1"/>
    <col min="6742" max="6742" width="6.42578125" style="595" bestFit="1" customWidth="1"/>
    <col min="6743" max="6743" width="7.7109375" style="595" customWidth="1"/>
    <col min="6744" max="6748" width="7.28515625" style="595" customWidth="1"/>
    <col min="6749" max="6749" width="7" style="595" customWidth="1"/>
    <col min="6750" max="6751" width="5.140625" style="595" bestFit="1" customWidth="1"/>
    <col min="6752" max="6752" width="20.5703125" style="595" customWidth="1"/>
    <col min="6753" max="6753" width="8.85546875" style="595" customWidth="1"/>
    <col min="6754" max="6754" width="18.7109375" style="595" customWidth="1"/>
    <col min="6755" max="6755" width="9.7109375" style="595" customWidth="1"/>
    <col min="6756" max="6756" width="8.85546875" style="595" customWidth="1"/>
    <col min="6757" max="6757" width="10.7109375" style="595" customWidth="1"/>
    <col min="6758" max="6758" width="35.85546875" style="595" customWidth="1"/>
    <col min="6759" max="6759" width="18.7109375" style="595" customWidth="1"/>
    <col min="6760" max="6760" width="9.140625" style="595"/>
    <col min="6761" max="6761" width="9.28515625" style="595" bestFit="1" customWidth="1"/>
    <col min="6762" max="6762" width="9.140625" style="595"/>
    <col min="6763" max="6763" width="9" style="595" customWidth="1"/>
    <col min="6764" max="6764" width="9.5703125" style="595" customWidth="1"/>
    <col min="6765" max="6765" width="11.28515625" style="595" customWidth="1"/>
    <col min="6766" max="6766" width="9.140625" style="595"/>
    <col min="6767" max="6767" width="12.7109375" style="595" customWidth="1"/>
    <col min="6768" max="6768" width="9.140625" style="595"/>
    <col min="6769" max="6769" width="20.5703125" style="595" customWidth="1"/>
    <col min="6770" max="6770" width="15.7109375" style="595" customWidth="1"/>
    <col min="6771" max="6771" width="20.7109375" style="595" customWidth="1"/>
    <col min="6772" max="6772" width="18.28515625" style="595" customWidth="1"/>
    <col min="6773" max="6775" width="9.140625" style="595"/>
    <col min="6776" max="6776" width="13.5703125" style="595" customWidth="1"/>
    <col min="6777" max="6777" width="14.7109375" style="595" customWidth="1"/>
    <col min="6778" max="6778" width="7.28515625" style="595" customWidth="1"/>
    <col min="6779" max="6779" width="17.7109375" style="595" customWidth="1"/>
    <col min="6780" max="6780" width="13.5703125" style="595" customWidth="1"/>
    <col min="6781" max="6781" width="15.5703125" style="595" customWidth="1"/>
    <col min="6782" max="6782" width="16.28515625" style="595" customWidth="1"/>
    <col min="6783" max="6783" width="15.140625" style="595" customWidth="1"/>
    <col min="6784" max="6784" width="9.140625" style="595"/>
    <col min="6785" max="6785" width="14.140625" style="595" customWidth="1"/>
    <col min="6786" max="6786" width="6.5703125" style="595" customWidth="1"/>
    <col min="6787" max="6787" width="14.5703125" style="595" customWidth="1"/>
    <col min="6788" max="6788" width="6.42578125" style="595" customWidth="1"/>
    <col min="6789" max="6789" width="12.85546875" style="595" customWidth="1"/>
    <col min="6790" max="6790" width="7.85546875" style="595" customWidth="1"/>
    <col min="6791" max="6791" width="10.7109375" style="595" customWidth="1"/>
    <col min="6792" max="6792" width="7.140625" style="595" customWidth="1"/>
    <col min="6793" max="6793" width="11.85546875" style="595" customWidth="1"/>
    <col min="6794" max="6794" width="7.42578125" style="595" customWidth="1"/>
    <col min="6795" max="6795" width="12.140625" style="595" customWidth="1"/>
    <col min="6796" max="6796" width="8.42578125" style="595" customWidth="1"/>
    <col min="6797" max="6797" width="11.85546875" style="595" customWidth="1"/>
    <col min="6798" max="6798" width="6.85546875" style="595" customWidth="1"/>
    <col min="6799" max="6799" width="11.42578125" style="595" customWidth="1"/>
    <col min="6800" max="6800" width="9" style="595" customWidth="1"/>
    <col min="6801" max="6801" width="12.42578125" style="595" customWidth="1"/>
    <col min="6802" max="6802" width="5.85546875" style="595" customWidth="1"/>
    <col min="6803" max="6803" width="13.28515625" style="595" customWidth="1"/>
    <col min="6804" max="6804" width="8.85546875" style="595" customWidth="1"/>
    <col min="6805" max="6805" width="12" style="595" customWidth="1"/>
    <col min="6806" max="6806" width="7.5703125" style="595" customWidth="1"/>
    <col min="6807" max="6807" width="11.28515625" style="595" customWidth="1"/>
    <col min="6808" max="6808" width="6.5703125" style="595" customWidth="1"/>
    <col min="6809" max="6809" width="12.140625" style="595" customWidth="1"/>
    <col min="6810" max="6810" width="7.42578125" style="595" customWidth="1"/>
    <col min="6811" max="6811" width="12.42578125" style="595" customWidth="1"/>
    <col min="6812" max="6812" width="7.5703125" style="595" customWidth="1"/>
    <col min="6813" max="6813" width="11.28515625" style="595" customWidth="1"/>
    <col min="6814" max="6814" width="7.140625" style="595" customWidth="1"/>
    <col min="6815" max="6815" width="10.85546875" style="595" customWidth="1"/>
    <col min="6816" max="6816" width="6.140625" style="595" customWidth="1"/>
    <col min="6817" max="6817" width="10.7109375" style="595" customWidth="1"/>
    <col min="6818" max="6818" width="6.85546875" style="595" customWidth="1"/>
    <col min="6819" max="6819" width="10.7109375" style="595" customWidth="1"/>
    <col min="6820" max="6820" width="7" style="595" customWidth="1"/>
    <col min="6821" max="6821" width="11.85546875" style="595" customWidth="1"/>
    <col min="6822" max="6822" width="7.42578125" style="595" customWidth="1"/>
    <col min="6823" max="6823" width="10.7109375" style="595" customWidth="1"/>
    <col min="6824" max="6824" width="8.42578125" style="595" customWidth="1"/>
    <col min="6825" max="6825" width="11.140625" style="595" customWidth="1"/>
    <col min="6826" max="6826" width="8" style="595" customWidth="1"/>
    <col min="6827" max="6827" width="10.85546875" style="595" customWidth="1"/>
    <col min="6828" max="6828" width="7.5703125" style="595" customWidth="1"/>
    <col min="6829" max="6829" width="14.28515625" style="595" customWidth="1"/>
    <col min="6830" max="6830" width="6.5703125" style="595" customWidth="1"/>
    <col min="6831" max="6831" width="14.140625" style="595" customWidth="1"/>
    <col min="6832" max="6832" width="6.5703125" style="595" customWidth="1"/>
    <col min="6833" max="6833" width="14.28515625" style="595" customWidth="1"/>
    <col min="6834" max="6834" width="7.85546875" style="595" customWidth="1"/>
    <col min="6835" max="6835" width="14.140625" style="595" customWidth="1"/>
    <col min="6836" max="6836" width="6.85546875" style="595" customWidth="1"/>
    <col min="6837" max="6837" width="14.140625" style="595" customWidth="1"/>
    <col min="6838" max="6838" width="6.28515625" style="595" customWidth="1"/>
    <col min="6839" max="6839" width="14.140625" style="595" customWidth="1"/>
    <col min="6840" max="6840" width="5.85546875" style="595" customWidth="1"/>
    <col min="6841" max="6841" width="14.85546875" style="595" customWidth="1"/>
    <col min="6842" max="6842" width="6.85546875" style="595" customWidth="1"/>
    <col min="6843" max="6843" width="14.28515625" style="595" customWidth="1"/>
    <col min="6844" max="6844" width="7.28515625" style="595" customWidth="1"/>
    <col min="6845" max="6845" width="14.28515625" style="595" customWidth="1"/>
    <col min="6846" max="6846" width="6.42578125" style="595" customWidth="1"/>
    <col min="6847" max="6847" width="14" style="595" customWidth="1"/>
    <col min="6848" max="6848" width="7" style="595" customWidth="1"/>
    <col min="6849" max="6849" width="14" style="595" customWidth="1"/>
    <col min="6850" max="6850" width="6.42578125" style="595" customWidth="1"/>
    <col min="6851" max="6851" width="14.140625" style="595" customWidth="1"/>
    <col min="6852" max="6852" width="6.28515625" style="595" customWidth="1"/>
    <col min="6853" max="6853" width="14.140625" style="595" customWidth="1"/>
    <col min="6854" max="6854" width="7" style="595" customWidth="1"/>
    <col min="6855" max="6855" width="14.140625" style="595" customWidth="1"/>
    <col min="6856" max="6856" width="7.42578125" style="595" customWidth="1"/>
    <col min="6857" max="6857" width="14.5703125" style="595" customWidth="1"/>
    <col min="6858" max="6858" width="6.7109375" style="595" customWidth="1"/>
    <col min="6859" max="6859" width="14.140625" style="595" customWidth="1"/>
    <col min="6860" max="6860" width="7" style="595" customWidth="1"/>
    <col min="6861" max="6861" width="14.5703125" style="595" customWidth="1"/>
    <col min="6862" max="6862" width="7.42578125" style="595" customWidth="1"/>
    <col min="6863" max="6863" width="14.5703125" style="595" customWidth="1"/>
    <col min="6864" max="6864" width="6.42578125" style="595" customWidth="1"/>
    <col min="6865" max="6865" width="14.7109375" style="595" customWidth="1"/>
    <col min="6866" max="6866" width="6.85546875" style="595" customWidth="1"/>
    <col min="6867" max="6867" width="14.5703125" style="595" customWidth="1"/>
    <col min="6868" max="6868" width="7.140625" style="595" customWidth="1"/>
    <col min="6869" max="6869" width="14.5703125" style="595" customWidth="1"/>
    <col min="6870" max="6870" width="6.7109375" style="595" customWidth="1"/>
    <col min="6871" max="6871" width="14.140625" style="595" customWidth="1"/>
    <col min="6872" max="6872" width="5.85546875" style="595" customWidth="1"/>
    <col min="6873" max="6873" width="14" style="595" customWidth="1"/>
    <col min="6874" max="6874" width="8.28515625" style="595" customWidth="1"/>
    <col min="6875" max="6875" width="14.7109375" style="595" customWidth="1"/>
    <col min="6876" max="6876" width="7.140625" style="595" customWidth="1"/>
    <col min="6877" max="6877" width="14.7109375" style="595" customWidth="1"/>
    <col min="6878" max="6878" width="7.140625" style="595" customWidth="1"/>
    <col min="6879" max="6879" width="14" style="595" customWidth="1"/>
    <col min="6880" max="6880" width="6.42578125" style="595" customWidth="1"/>
    <col min="6881" max="6881" width="14" style="595" customWidth="1"/>
    <col min="6882" max="6882" width="6.28515625" style="595" customWidth="1"/>
    <col min="6883" max="6883" width="14.42578125" style="595" customWidth="1"/>
    <col min="6884" max="6884" width="6.28515625" style="595" customWidth="1"/>
    <col min="6885" max="6885" width="14.85546875" style="595" customWidth="1"/>
    <col min="6886" max="6886" width="7.28515625" style="595" customWidth="1"/>
    <col min="6887" max="6887" width="14.42578125" style="595" customWidth="1"/>
    <col min="6888" max="6888" width="7.28515625" style="595" customWidth="1"/>
    <col min="6889" max="6889" width="14.7109375" style="595" customWidth="1"/>
    <col min="6890" max="6890" width="6" style="595" customWidth="1"/>
    <col min="6891" max="6891" width="14.5703125" style="595" customWidth="1"/>
    <col min="6892" max="6892" width="6.42578125" style="595" customWidth="1"/>
    <col min="6893" max="6893" width="14.140625" style="595" customWidth="1"/>
    <col min="6894" max="6894" width="7.5703125" style="595" customWidth="1"/>
    <col min="6895" max="6895" width="14.5703125" style="595" customWidth="1"/>
    <col min="6896" max="6896" width="6.7109375" style="595" customWidth="1"/>
    <col min="6897" max="6897" width="15" style="595" customWidth="1"/>
    <col min="6898" max="6898" width="9.140625" style="595"/>
    <col min="6899" max="6899" width="14" style="595" customWidth="1"/>
    <col min="6900" max="6900" width="9.140625" style="595"/>
    <col min="6901" max="6901" width="14" style="595" customWidth="1"/>
    <col min="6902" max="6906" width="9.140625" style="595"/>
    <col min="6907" max="6907" width="41.28515625" style="595" customWidth="1"/>
    <col min="6908" max="6979" width="9.140625" style="595"/>
    <col min="6980" max="6980" width="21.140625" style="595" customWidth="1"/>
    <col min="6981" max="6981" width="7.28515625" style="595" customWidth="1"/>
    <col min="6982" max="6982" width="15" style="595" customWidth="1"/>
    <col min="6983" max="6983" width="23.28515625" style="595" customWidth="1"/>
    <col min="6984" max="6984" width="25.5703125" style="595" customWidth="1"/>
    <col min="6985" max="6985" width="7" style="595" bestFit="1" customWidth="1"/>
    <col min="6986" max="6986" width="6.42578125" style="595" bestFit="1" customWidth="1"/>
    <col min="6987" max="6987" width="7.85546875" style="595" customWidth="1"/>
    <col min="6988" max="6988" width="8.7109375" style="595" customWidth="1"/>
    <col min="6989" max="6989" width="7" style="595" bestFit="1" customWidth="1"/>
    <col min="6990" max="6990" width="6.42578125" style="595" bestFit="1" customWidth="1"/>
    <col min="6991" max="6991" width="6.85546875" style="595" customWidth="1"/>
    <col min="6992" max="6992" width="7.140625" style="595" customWidth="1"/>
    <col min="6993" max="6993" width="7" style="595" bestFit="1" customWidth="1"/>
    <col min="6994" max="6994" width="6.42578125" style="595" bestFit="1" customWidth="1"/>
    <col min="6995" max="6995" width="6" style="595" customWidth="1"/>
    <col min="6996" max="6996" width="9.7109375" style="595" customWidth="1"/>
    <col min="6997" max="6997" width="7" style="595" bestFit="1" customWidth="1"/>
    <col min="6998" max="6998" width="6.42578125" style="595" bestFit="1" customWidth="1"/>
    <col min="6999" max="6999" width="7.7109375" style="595" customWidth="1"/>
    <col min="7000" max="7004" width="7.28515625" style="595" customWidth="1"/>
    <col min="7005" max="7005" width="7" style="595" customWidth="1"/>
    <col min="7006" max="7007" width="5.140625" style="595" bestFit="1" customWidth="1"/>
    <col min="7008" max="7008" width="20.5703125" style="595" customWidth="1"/>
    <col min="7009" max="7009" width="8.85546875" style="595" customWidth="1"/>
    <col min="7010" max="7010" width="18.7109375" style="595" customWidth="1"/>
    <col min="7011" max="7011" width="9.7109375" style="595" customWidth="1"/>
    <col min="7012" max="7012" width="8.85546875" style="595" customWidth="1"/>
    <col min="7013" max="7013" width="10.7109375" style="595" customWidth="1"/>
    <col min="7014" max="7014" width="35.85546875" style="595" customWidth="1"/>
    <col min="7015" max="7015" width="18.7109375" style="595" customWidth="1"/>
    <col min="7016" max="7016" width="9.140625" style="595"/>
    <col min="7017" max="7017" width="9.28515625" style="595" bestFit="1" customWidth="1"/>
    <col min="7018" max="7018" width="9.140625" style="595"/>
    <col min="7019" max="7019" width="9" style="595" customWidth="1"/>
    <col min="7020" max="7020" width="9.5703125" style="595" customWidth="1"/>
    <col min="7021" max="7021" width="11.28515625" style="595" customWidth="1"/>
    <col min="7022" max="7022" width="9.140625" style="595"/>
    <col min="7023" max="7023" width="12.7109375" style="595" customWidth="1"/>
    <col min="7024" max="7024" width="9.140625" style="595"/>
    <col min="7025" max="7025" width="20.5703125" style="595" customWidth="1"/>
    <col min="7026" max="7026" width="15.7109375" style="595" customWidth="1"/>
    <col min="7027" max="7027" width="20.7109375" style="595" customWidth="1"/>
    <col min="7028" max="7028" width="18.28515625" style="595" customWidth="1"/>
    <col min="7029" max="7031" width="9.140625" style="595"/>
    <col min="7032" max="7032" width="13.5703125" style="595" customWidth="1"/>
    <col min="7033" max="7033" width="14.7109375" style="595" customWidth="1"/>
    <col min="7034" max="7034" width="7.28515625" style="595" customWidth="1"/>
    <col min="7035" max="7035" width="17.7109375" style="595" customWidth="1"/>
    <col min="7036" max="7036" width="13.5703125" style="595" customWidth="1"/>
    <col min="7037" max="7037" width="15.5703125" style="595" customWidth="1"/>
    <col min="7038" max="7038" width="16.28515625" style="595" customWidth="1"/>
    <col min="7039" max="7039" width="15.140625" style="595" customWidth="1"/>
    <col min="7040" max="7040" width="9.140625" style="595"/>
    <col min="7041" max="7041" width="14.140625" style="595" customWidth="1"/>
    <col min="7042" max="7042" width="6.5703125" style="595" customWidth="1"/>
    <col min="7043" max="7043" width="14.5703125" style="595" customWidth="1"/>
    <col min="7044" max="7044" width="6.42578125" style="595" customWidth="1"/>
    <col min="7045" max="7045" width="12.85546875" style="595" customWidth="1"/>
    <col min="7046" max="7046" width="7.85546875" style="595" customWidth="1"/>
    <col min="7047" max="7047" width="10.7109375" style="595" customWidth="1"/>
    <col min="7048" max="7048" width="7.140625" style="595" customWidth="1"/>
    <col min="7049" max="7049" width="11.85546875" style="595" customWidth="1"/>
    <col min="7050" max="7050" width="7.42578125" style="595" customWidth="1"/>
    <col min="7051" max="7051" width="12.140625" style="595" customWidth="1"/>
    <col min="7052" max="7052" width="8.42578125" style="595" customWidth="1"/>
    <col min="7053" max="7053" width="11.85546875" style="595" customWidth="1"/>
    <col min="7054" max="7054" width="6.85546875" style="595" customWidth="1"/>
    <col min="7055" max="7055" width="11.42578125" style="595" customWidth="1"/>
    <col min="7056" max="7056" width="9" style="595" customWidth="1"/>
    <col min="7057" max="7057" width="12.42578125" style="595" customWidth="1"/>
    <col min="7058" max="7058" width="5.85546875" style="595" customWidth="1"/>
    <col min="7059" max="7059" width="13.28515625" style="595" customWidth="1"/>
    <col min="7060" max="7060" width="8.85546875" style="595" customWidth="1"/>
    <col min="7061" max="7061" width="12" style="595" customWidth="1"/>
    <col min="7062" max="7062" width="7.5703125" style="595" customWidth="1"/>
    <col min="7063" max="7063" width="11.28515625" style="595" customWidth="1"/>
    <col min="7064" max="7064" width="6.5703125" style="595" customWidth="1"/>
    <col min="7065" max="7065" width="12.140625" style="595" customWidth="1"/>
    <col min="7066" max="7066" width="7.42578125" style="595" customWidth="1"/>
    <col min="7067" max="7067" width="12.42578125" style="595" customWidth="1"/>
    <col min="7068" max="7068" width="7.5703125" style="595" customWidth="1"/>
    <col min="7069" max="7069" width="11.28515625" style="595" customWidth="1"/>
    <col min="7070" max="7070" width="7.140625" style="595" customWidth="1"/>
    <col min="7071" max="7071" width="10.85546875" style="595" customWidth="1"/>
    <col min="7072" max="7072" width="6.140625" style="595" customWidth="1"/>
    <col min="7073" max="7073" width="10.7109375" style="595" customWidth="1"/>
    <col min="7074" max="7074" width="6.85546875" style="595" customWidth="1"/>
    <col min="7075" max="7075" width="10.7109375" style="595" customWidth="1"/>
    <col min="7076" max="7076" width="7" style="595" customWidth="1"/>
    <col min="7077" max="7077" width="11.85546875" style="595" customWidth="1"/>
    <col min="7078" max="7078" width="7.42578125" style="595" customWidth="1"/>
    <col min="7079" max="7079" width="10.7109375" style="595" customWidth="1"/>
    <col min="7080" max="7080" width="8.42578125" style="595" customWidth="1"/>
    <col min="7081" max="7081" width="11.140625" style="595" customWidth="1"/>
    <col min="7082" max="7082" width="8" style="595" customWidth="1"/>
    <col min="7083" max="7083" width="10.85546875" style="595" customWidth="1"/>
    <col min="7084" max="7084" width="7.5703125" style="595" customWidth="1"/>
    <col min="7085" max="7085" width="14.28515625" style="595" customWidth="1"/>
    <col min="7086" max="7086" width="6.5703125" style="595" customWidth="1"/>
    <col min="7087" max="7087" width="14.140625" style="595" customWidth="1"/>
    <col min="7088" max="7088" width="6.5703125" style="595" customWidth="1"/>
    <col min="7089" max="7089" width="14.28515625" style="595" customWidth="1"/>
    <col min="7090" max="7090" width="7.85546875" style="595" customWidth="1"/>
    <col min="7091" max="7091" width="14.140625" style="595" customWidth="1"/>
    <col min="7092" max="7092" width="6.85546875" style="595" customWidth="1"/>
    <col min="7093" max="7093" width="14.140625" style="595" customWidth="1"/>
    <col min="7094" max="7094" width="6.28515625" style="595" customWidth="1"/>
    <col min="7095" max="7095" width="14.140625" style="595" customWidth="1"/>
    <col min="7096" max="7096" width="5.85546875" style="595" customWidth="1"/>
    <col min="7097" max="7097" width="14.85546875" style="595" customWidth="1"/>
    <col min="7098" max="7098" width="6.85546875" style="595" customWidth="1"/>
    <col min="7099" max="7099" width="14.28515625" style="595" customWidth="1"/>
    <col min="7100" max="7100" width="7.28515625" style="595" customWidth="1"/>
    <col min="7101" max="7101" width="14.28515625" style="595" customWidth="1"/>
    <col min="7102" max="7102" width="6.42578125" style="595" customWidth="1"/>
    <col min="7103" max="7103" width="14" style="595" customWidth="1"/>
    <col min="7104" max="7104" width="7" style="595" customWidth="1"/>
    <col min="7105" max="7105" width="14" style="595" customWidth="1"/>
    <col min="7106" max="7106" width="6.42578125" style="595" customWidth="1"/>
    <col min="7107" max="7107" width="14.140625" style="595" customWidth="1"/>
    <col min="7108" max="7108" width="6.28515625" style="595" customWidth="1"/>
    <col min="7109" max="7109" width="14.140625" style="595" customWidth="1"/>
    <col min="7110" max="7110" width="7" style="595" customWidth="1"/>
    <col min="7111" max="7111" width="14.140625" style="595" customWidth="1"/>
    <col min="7112" max="7112" width="7.42578125" style="595" customWidth="1"/>
    <col min="7113" max="7113" width="14.5703125" style="595" customWidth="1"/>
    <col min="7114" max="7114" width="6.7109375" style="595" customWidth="1"/>
    <col min="7115" max="7115" width="14.140625" style="595" customWidth="1"/>
    <col min="7116" max="7116" width="7" style="595" customWidth="1"/>
    <col min="7117" max="7117" width="14.5703125" style="595" customWidth="1"/>
    <col min="7118" max="7118" width="7.42578125" style="595" customWidth="1"/>
    <col min="7119" max="7119" width="14.5703125" style="595" customWidth="1"/>
    <col min="7120" max="7120" width="6.42578125" style="595" customWidth="1"/>
    <col min="7121" max="7121" width="14.7109375" style="595" customWidth="1"/>
    <col min="7122" max="7122" width="6.85546875" style="595" customWidth="1"/>
    <col min="7123" max="7123" width="14.5703125" style="595" customWidth="1"/>
    <col min="7124" max="7124" width="7.140625" style="595" customWidth="1"/>
    <col min="7125" max="7125" width="14.5703125" style="595" customWidth="1"/>
    <col min="7126" max="7126" width="6.7109375" style="595" customWidth="1"/>
    <col min="7127" max="7127" width="14.140625" style="595" customWidth="1"/>
    <col min="7128" max="7128" width="5.85546875" style="595" customWidth="1"/>
    <col min="7129" max="7129" width="14" style="595" customWidth="1"/>
    <col min="7130" max="7130" width="8.28515625" style="595" customWidth="1"/>
    <col min="7131" max="7131" width="14.7109375" style="595" customWidth="1"/>
    <col min="7132" max="7132" width="7.140625" style="595" customWidth="1"/>
    <col min="7133" max="7133" width="14.7109375" style="595" customWidth="1"/>
    <col min="7134" max="7134" width="7.140625" style="595" customWidth="1"/>
    <col min="7135" max="7135" width="14" style="595" customWidth="1"/>
    <col min="7136" max="7136" width="6.42578125" style="595" customWidth="1"/>
    <col min="7137" max="7137" width="14" style="595" customWidth="1"/>
    <col min="7138" max="7138" width="6.28515625" style="595" customWidth="1"/>
    <col min="7139" max="7139" width="14.42578125" style="595" customWidth="1"/>
    <col min="7140" max="7140" width="6.28515625" style="595" customWidth="1"/>
    <col min="7141" max="7141" width="14.85546875" style="595" customWidth="1"/>
    <col min="7142" max="7142" width="7.28515625" style="595" customWidth="1"/>
    <col min="7143" max="7143" width="14.42578125" style="595" customWidth="1"/>
    <col min="7144" max="7144" width="7.28515625" style="595" customWidth="1"/>
    <col min="7145" max="7145" width="14.7109375" style="595" customWidth="1"/>
    <col min="7146" max="7146" width="6" style="595" customWidth="1"/>
    <col min="7147" max="7147" width="14.5703125" style="595" customWidth="1"/>
    <col min="7148" max="7148" width="6.42578125" style="595" customWidth="1"/>
    <col min="7149" max="7149" width="14.140625" style="595" customWidth="1"/>
    <col min="7150" max="7150" width="7.5703125" style="595" customWidth="1"/>
    <col min="7151" max="7151" width="14.5703125" style="595" customWidth="1"/>
    <col min="7152" max="7152" width="6.7109375" style="595" customWidth="1"/>
    <col min="7153" max="7153" width="15" style="595" customWidth="1"/>
    <col min="7154" max="7154" width="9.140625" style="595"/>
    <col min="7155" max="7155" width="14" style="595" customWidth="1"/>
    <col min="7156" max="7156" width="9.140625" style="595"/>
    <col min="7157" max="7157" width="14" style="595" customWidth="1"/>
    <col min="7158" max="7162" width="9.140625" style="595"/>
    <col min="7163" max="7163" width="41.28515625" style="595" customWidth="1"/>
    <col min="7164" max="7235" width="9.140625" style="595"/>
    <col min="7236" max="7236" width="21.140625" style="595" customWidth="1"/>
    <col min="7237" max="7237" width="7.28515625" style="595" customWidth="1"/>
    <col min="7238" max="7238" width="15" style="595" customWidth="1"/>
    <col min="7239" max="7239" width="23.28515625" style="595" customWidth="1"/>
    <col min="7240" max="7240" width="25.5703125" style="595" customWidth="1"/>
    <col min="7241" max="7241" width="7" style="595" bestFit="1" customWidth="1"/>
    <col min="7242" max="7242" width="6.42578125" style="595" bestFit="1" customWidth="1"/>
    <col min="7243" max="7243" width="7.85546875" style="595" customWidth="1"/>
    <col min="7244" max="7244" width="8.7109375" style="595" customWidth="1"/>
    <col min="7245" max="7245" width="7" style="595" bestFit="1" customWidth="1"/>
    <col min="7246" max="7246" width="6.42578125" style="595" bestFit="1" customWidth="1"/>
    <col min="7247" max="7247" width="6.85546875" style="595" customWidth="1"/>
    <col min="7248" max="7248" width="7.140625" style="595" customWidth="1"/>
    <col min="7249" max="7249" width="7" style="595" bestFit="1" customWidth="1"/>
    <col min="7250" max="7250" width="6.42578125" style="595" bestFit="1" customWidth="1"/>
    <col min="7251" max="7251" width="6" style="595" customWidth="1"/>
    <col min="7252" max="7252" width="9.7109375" style="595" customWidth="1"/>
    <col min="7253" max="7253" width="7" style="595" bestFit="1" customWidth="1"/>
    <col min="7254" max="7254" width="6.42578125" style="595" bestFit="1" customWidth="1"/>
    <col min="7255" max="7255" width="7.7109375" style="595" customWidth="1"/>
    <col min="7256" max="7260" width="7.28515625" style="595" customWidth="1"/>
    <col min="7261" max="7261" width="7" style="595" customWidth="1"/>
    <col min="7262" max="7263" width="5.140625" style="595" bestFit="1" customWidth="1"/>
    <col min="7264" max="7264" width="20.5703125" style="595" customWidth="1"/>
    <col min="7265" max="7265" width="8.85546875" style="595" customWidth="1"/>
    <col min="7266" max="7266" width="18.7109375" style="595" customWidth="1"/>
    <col min="7267" max="7267" width="9.7109375" style="595" customWidth="1"/>
    <col min="7268" max="7268" width="8.85546875" style="595" customWidth="1"/>
    <col min="7269" max="7269" width="10.7109375" style="595" customWidth="1"/>
    <col min="7270" max="7270" width="35.85546875" style="595" customWidth="1"/>
    <col min="7271" max="7271" width="18.7109375" style="595" customWidth="1"/>
    <col min="7272" max="7272" width="9.140625" style="595"/>
    <col min="7273" max="7273" width="9.28515625" style="595" bestFit="1" customWidth="1"/>
    <col min="7274" max="7274" width="9.140625" style="595"/>
    <col min="7275" max="7275" width="9" style="595" customWidth="1"/>
    <col min="7276" max="7276" width="9.5703125" style="595" customWidth="1"/>
    <col min="7277" max="7277" width="11.28515625" style="595" customWidth="1"/>
    <col min="7278" max="7278" width="9.140625" style="595"/>
    <col min="7279" max="7279" width="12.7109375" style="595" customWidth="1"/>
    <col min="7280" max="7280" width="9.140625" style="595"/>
    <col min="7281" max="7281" width="20.5703125" style="595" customWidth="1"/>
    <col min="7282" max="7282" width="15.7109375" style="595" customWidth="1"/>
    <col min="7283" max="7283" width="20.7109375" style="595" customWidth="1"/>
    <col min="7284" max="7284" width="18.28515625" style="595" customWidth="1"/>
    <col min="7285" max="7287" width="9.140625" style="595"/>
    <col min="7288" max="7288" width="13.5703125" style="595" customWidth="1"/>
    <col min="7289" max="7289" width="14.7109375" style="595" customWidth="1"/>
    <col min="7290" max="7290" width="7.28515625" style="595" customWidth="1"/>
    <col min="7291" max="7291" width="17.7109375" style="595" customWidth="1"/>
    <col min="7292" max="7292" width="13.5703125" style="595" customWidth="1"/>
    <col min="7293" max="7293" width="15.5703125" style="595" customWidth="1"/>
    <col min="7294" max="7294" width="16.28515625" style="595" customWidth="1"/>
    <col min="7295" max="7295" width="15.140625" style="595" customWidth="1"/>
    <col min="7296" max="7296" width="9.140625" style="595"/>
    <col min="7297" max="7297" width="14.140625" style="595" customWidth="1"/>
    <col min="7298" max="7298" width="6.5703125" style="595" customWidth="1"/>
    <col min="7299" max="7299" width="14.5703125" style="595" customWidth="1"/>
    <col min="7300" max="7300" width="6.42578125" style="595" customWidth="1"/>
    <col min="7301" max="7301" width="12.85546875" style="595" customWidth="1"/>
    <col min="7302" max="7302" width="7.85546875" style="595" customWidth="1"/>
    <col min="7303" max="7303" width="10.7109375" style="595" customWidth="1"/>
    <col min="7304" max="7304" width="7.140625" style="595" customWidth="1"/>
    <col min="7305" max="7305" width="11.85546875" style="595" customWidth="1"/>
    <col min="7306" max="7306" width="7.42578125" style="595" customWidth="1"/>
    <col min="7307" max="7307" width="12.140625" style="595" customWidth="1"/>
    <col min="7308" max="7308" width="8.42578125" style="595" customWidth="1"/>
    <col min="7309" max="7309" width="11.85546875" style="595" customWidth="1"/>
    <col min="7310" max="7310" width="6.85546875" style="595" customWidth="1"/>
    <col min="7311" max="7311" width="11.42578125" style="595" customWidth="1"/>
    <col min="7312" max="7312" width="9" style="595" customWidth="1"/>
    <col min="7313" max="7313" width="12.42578125" style="595" customWidth="1"/>
    <col min="7314" max="7314" width="5.85546875" style="595" customWidth="1"/>
    <col min="7315" max="7315" width="13.28515625" style="595" customWidth="1"/>
    <col min="7316" max="7316" width="8.85546875" style="595" customWidth="1"/>
    <col min="7317" max="7317" width="12" style="595" customWidth="1"/>
    <col min="7318" max="7318" width="7.5703125" style="595" customWidth="1"/>
    <col min="7319" max="7319" width="11.28515625" style="595" customWidth="1"/>
    <col min="7320" max="7320" width="6.5703125" style="595" customWidth="1"/>
    <col min="7321" max="7321" width="12.140625" style="595" customWidth="1"/>
    <col min="7322" max="7322" width="7.42578125" style="595" customWidth="1"/>
    <col min="7323" max="7323" width="12.42578125" style="595" customWidth="1"/>
    <col min="7324" max="7324" width="7.5703125" style="595" customWidth="1"/>
    <col min="7325" max="7325" width="11.28515625" style="595" customWidth="1"/>
    <col min="7326" max="7326" width="7.140625" style="595" customWidth="1"/>
    <col min="7327" max="7327" width="10.85546875" style="595" customWidth="1"/>
    <col min="7328" max="7328" width="6.140625" style="595" customWidth="1"/>
    <col min="7329" max="7329" width="10.7109375" style="595" customWidth="1"/>
    <col min="7330" max="7330" width="6.85546875" style="595" customWidth="1"/>
    <col min="7331" max="7331" width="10.7109375" style="595" customWidth="1"/>
    <col min="7332" max="7332" width="7" style="595" customWidth="1"/>
    <col min="7333" max="7333" width="11.85546875" style="595" customWidth="1"/>
    <col min="7334" max="7334" width="7.42578125" style="595" customWidth="1"/>
    <col min="7335" max="7335" width="10.7109375" style="595" customWidth="1"/>
    <col min="7336" max="7336" width="8.42578125" style="595" customWidth="1"/>
    <col min="7337" max="7337" width="11.140625" style="595" customWidth="1"/>
    <col min="7338" max="7338" width="8" style="595" customWidth="1"/>
    <col min="7339" max="7339" width="10.85546875" style="595" customWidth="1"/>
    <col min="7340" max="7340" width="7.5703125" style="595" customWidth="1"/>
    <col min="7341" max="7341" width="14.28515625" style="595" customWidth="1"/>
    <col min="7342" max="7342" width="6.5703125" style="595" customWidth="1"/>
    <col min="7343" max="7343" width="14.140625" style="595" customWidth="1"/>
    <col min="7344" max="7344" width="6.5703125" style="595" customWidth="1"/>
    <col min="7345" max="7345" width="14.28515625" style="595" customWidth="1"/>
    <col min="7346" max="7346" width="7.85546875" style="595" customWidth="1"/>
    <col min="7347" max="7347" width="14.140625" style="595" customWidth="1"/>
    <col min="7348" max="7348" width="6.85546875" style="595" customWidth="1"/>
    <col min="7349" max="7349" width="14.140625" style="595" customWidth="1"/>
    <col min="7350" max="7350" width="6.28515625" style="595" customWidth="1"/>
    <col min="7351" max="7351" width="14.140625" style="595" customWidth="1"/>
    <col min="7352" max="7352" width="5.85546875" style="595" customWidth="1"/>
    <col min="7353" max="7353" width="14.85546875" style="595" customWidth="1"/>
    <col min="7354" max="7354" width="6.85546875" style="595" customWidth="1"/>
    <col min="7355" max="7355" width="14.28515625" style="595" customWidth="1"/>
    <col min="7356" max="7356" width="7.28515625" style="595" customWidth="1"/>
    <col min="7357" max="7357" width="14.28515625" style="595" customWidth="1"/>
    <col min="7358" max="7358" width="6.42578125" style="595" customWidth="1"/>
    <col min="7359" max="7359" width="14" style="595" customWidth="1"/>
    <col min="7360" max="7360" width="7" style="595" customWidth="1"/>
    <col min="7361" max="7361" width="14" style="595" customWidth="1"/>
    <col min="7362" max="7362" width="6.42578125" style="595" customWidth="1"/>
    <col min="7363" max="7363" width="14.140625" style="595" customWidth="1"/>
    <col min="7364" max="7364" width="6.28515625" style="595" customWidth="1"/>
    <col min="7365" max="7365" width="14.140625" style="595" customWidth="1"/>
    <col min="7366" max="7366" width="7" style="595" customWidth="1"/>
    <col min="7367" max="7367" width="14.140625" style="595" customWidth="1"/>
    <col min="7368" max="7368" width="7.42578125" style="595" customWidth="1"/>
    <col min="7369" max="7369" width="14.5703125" style="595" customWidth="1"/>
    <col min="7370" max="7370" width="6.7109375" style="595" customWidth="1"/>
    <col min="7371" max="7371" width="14.140625" style="595" customWidth="1"/>
    <col min="7372" max="7372" width="7" style="595" customWidth="1"/>
    <col min="7373" max="7373" width="14.5703125" style="595" customWidth="1"/>
    <col min="7374" max="7374" width="7.42578125" style="595" customWidth="1"/>
    <col min="7375" max="7375" width="14.5703125" style="595" customWidth="1"/>
    <col min="7376" max="7376" width="6.42578125" style="595" customWidth="1"/>
    <col min="7377" max="7377" width="14.7109375" style="595" customWidth="1"/>
    <col min="7378" max="7378" width="6.85546875" style="595" customWidth="1"/>
    <col min="7379" max="7379" width="14.5703125" style="595" customWidth="1"/>
    <col min="7380" max="7380" width="7.140625" style="595" customWidth="1"/>
    <col min="7381" max="7381" width="14.5703125" style="595" customWidth="1"/>
    <col min="7382" max="7382" width="6.7109375" style="595" customWidth="1"/>
    <col min="7383" max="7383" width="14.140625" style="595" customWidth="1"/>
    <col min="7384" max="7384" width="5.85546875" style="595" customWidth="1"/>
    <col min="7385" max="7385" width="14" style="595" customWidth="1"/>
    <col min="7386" max="7386" width="8.28515625" style="595" customWidth="1"/>
    <col min="7387" max="7387" width="14.7109375" style="595" customWidth="1"/>
    <col min="7388" max="7388" width="7.140625" style="595" customWidth="1"/>
    <col min="7389" max="7389" width="14.7109375" style="595" customWidth="1"/>
    <col min="7390" max="7390" width="7.140625" style="595" customWidth="1"/>
    <col min="7391" max="7391" width="14" style="595" customWidth="1"/>
    <col min="7392" max="7392" width="6.42578125" style="595" customWidth="1"/>
    <col min="7393" max="7393" width="14" style="595" customWidth="1"/>
    <col min="7394" max="7394" width="6.28515625" style="595" customWidth="1"/>
    <col min="7395" max="7395" width="14.42578125" style="595" customWidth="1"/>
    <col min="7396" max="7396" width="6.28515625" style="595" customWidth="1"/>
    <col min="7397" max="7397" width="14.85546875" style="595" customWidth="1"/>
    <col min="7398" max="7398" width="7.28515625" style="595" customWidth="1"/>
    <col min="7399" max="7399" width="14.42578125" style="595" customWidth="1"/>
    <col min="7400" max="7400" width="7.28515625" style="595" customWidth="1"/>
    <col min="7401" max="7401" width="14.7109375" style="595" customWidth="1"/>
    <col min="7402" max="7402" width="6" style="595" customWidth="1"/>
    <col min="7403" max="7403" width="14.5703125" style="595" customWidth="1"/>
    <col min="7404" max="7404" width="6.42578125" style="595" customWidth="1"/>
    <col min="7405" max="7405" width="14.140625" style="595" customWidth="1"/>
    <col min="7406" max="7406" width="7.5703125" style="595" customWidth="1"/>
    <col min="7407" max="7407" width="14.5703125" style="595" customWidth="1"/>
    <col min="7408" max="7408" width="6.7109375" style="595" customWidth="1"/>
    <col min="7409" max="7409" width="15" style="595" customWidth="1"/>
    <col min="7410" max="7410" width="9.140625" style="595"/>
    <col min="7411" max="7411" width="14" style="595" customWidth="1"/>
    <col min="7412" max="7412" width="9.140625" style="595"/>
    <col min="7413" max="7413" width="14" style="595" customWidth="1"/>
    <col min="7414" max="7418" width="9.140625" style="595"/>
    <col min="7419" max="7419" width="41.28515625" style="595" customWidth="1"/>
    <col min="7420" max="7491" width="9.140625" style="595"/>
    <col min="7492" max="7492" width="21.140625" style="595" customWidth="1"/>
    <col min="7493" max="7493" width="7.28515625" style="595" customWidth="1"/>
    <col min="7494" max="7494" width="15" style="595" customWidth="1"/>
    <col min="7495" max="7495" width="23.28515625" style="595" customWidth="1"/>
    <col min="7496" max="7496" width="25.5703125" style="595" customWidth="1"/>
    <col min="7497" max="7497" width="7" style="595" bestFit="1" customWidth="1"/>
    <col min="7498" max="7498" width="6.42578125" style="595" bestFit="1" customWidth="1"/>
    <col min="7499" max="7499" width="7.85546875" style="595" customWidth="1"/>
    <col min="7500" max="7500" width="8.7109375" style="595" customWidth="1"/>
    <col min="7501" max="7501" width="7" style="595" bestFit="1" customWidth="1"/>
    <col min="7502" max="7502" width="6.42578125" style="595" bestFit="1" customWidth="1"/>
    <col min="7503" max="7503" width="6.85546875" style="595" customWidth="1"/>
    <col min="7504" max="7504" width="7.140625" style="595" customWidth="1"/>
    <col min="7505" max="7505" width="7" style="595" bestFit="1" customWidth="1"/>
    <col min="7506" max="7506" width="6.42578125" style="595" bestFit="1" customWidth="1"/>
    <col min="7507" max="7507" width="6" style="595" customWidth="1"/>
    <col min="7508" max="7508" width="9.7109375" style="595" customWidth="1"/>
    <col min="7509" max="7509" width="7" style="595" bestFit="1" customWidth="1"/>
    <col min="7510" max="7510" width="6.42578125" style="595" bestFit="1" customWidth="1"/>
    <col min="7511" max="7511" width="7.7109375" style="595" customWidth="1"/>
    <col min="7512" max="7516" width="7.28515625" style="595" customWidth="1"/>
    <col min="7517" max="7517" width="7" style="595" customWidth="1"/>
    <col min="7518" max="7519" width="5.140625" style="595" bestFit="1" customWidth="1"/>
    <col min="7520" max="7520" width="20.5703125" style="595" customWidth="1"/>
    <col min="7521" max="7521" width="8.85546875" style="595" customWidth="1"/>
    <col min="7522" max="7522" width="18.7109375" style="595" customWidth="1"/>
    <col min="7523" max="7523" width="9.7109375" style="595" customWidth="1"/>
    <col min="7524" max="7524" width="8.85546875" style="595" customWidth="1"/>
    <col min="7525" max="7525" width="10.7109375" style="595" customWidth="1"/>
    <col min="7526" max="7526" width="35.85546875" style="595" customWidth="1"/>
    <col min="7527" max="7527" width="18.7109375" style="595" customWidth="1"/>
    <col min="7528" max="7528" width="9.140625" style="595"/>
    <col min="7529" max="7529" width="9.28515625" style="595" bestFit="1" customWidth="1"/>
    <col min="7530" max="7530" width="9.140625" style="595"/>
    <col min="7531" max="7531" width="9" style="595" customWidth="1"/>
    <col min="7532" max="7532" width="9.5703125" style="595" customWidth="1"/>
    <col min="7533" max="7533" width="11.28515625" style="595" customWidth="1"/>
    <col min="7534" max="7534" width="9.140625" style="595"/>
    <col min="7535" max="7535" width="12.7109375" style="595" customWidth="1"/>
    <col min="7536" max="7536" width="9.140625" style="595"/>
    <col min="7537" max="7537" width="20.5703125" style="595" customWidth="1"/>
    <col min="7538" max="7538" width="15.7109375" style="595" customWidth="1"/>
    <col min="7539" max="7539" width="20.7109375" style="595" customWidth="1"/>
    <col min="7540" max="7540" width="18.28515625" style="595" customWidth="1"/>
    <col min="7541" max="7543" width="9.140625" style="595"/>
    <col min="7544" max="7544" width="13.5703125" style="595" customWidth="1"/>
    <col min="7545" max="7545" width="14.7109375" style="595" customWidth="1"/>
    <col min="7546" max="7546" width="7.28515625" style="595" customWidth="1"/>
    <col min="7547" max="7547" width="17.7109375" style="595" customWidth="1"/>
    <col min="7548" max="7548" width="13.5703125" style="595" customWidth="1"/>
    <col min="7549" max="7549" width="15.5703125" style="595" customWidth="1"/>
    <col min="7550" max="7550" width="16.28515625" style="595" customWidth="1"/>
    <col min="7551" max="7551" width="15.140625" style="595" customWidth="1"/>
    <col min="7552" max="7552" width="9.140625" style="595"/>
    <col min="7553" max="7553" width="14.140625" style="595" customWidth="1"/>
    <col min="7554" max="7554" width="6.5703125" style="595" customWidth="1"/>
    <col min="7555" max="7555" width="14.5703125" style="595" customWidth="1"/>
    <col min="7556" max="7556" width="6.42578125" style="595" customWidth="1"/>
    <col min="7557" max="7557" width="12.85546875" style="595" customWidth="1"/>
    <col min="7558" max="7558" width="7.85546875" style="595" customWidth="1"/>
    <col min="7559" max="7559" width="10.7109375" style="595" customWidth="1"/>
    <col min="7560" max="7560" width="7.140625" style="595" customWidth="1"/>
    <col min="7561" max="7561" width="11.85546875" style="595" customWidth="1"/>
    <col min="7562" max="7562" width="7.42578125" style="595" customWidth="1"/>
    <col min="7563" max="7563" width="12.140625" style="595" customWidth="1"/>
    <col min="7564" max="7564" width="8.42578125" style="595" customWidth="1"/>
    <col min="7565" max="7565" width="11.85546875" style="595" customWidth="1"/>
    <col min="7566" max="7566" width="6.85546875" style="595" customWidth="1"/>
    <col min="7567" max="7567" width="11.42578125" style="595" customWidth="1"/>
    <col min="7568" max="7568" width="9" style="595" customWidth="1"/>
    <col min="7569" max="7569" width="12.42578125" style="595" customWidth="1"/>
    <col min="7570" max="7570" width="5.85546875" style="595" customWidth="1"/>
    <col min="7571" max="7571" width="13.28515625" style="595" customWidth="1"/>
    <col min="7572" max="7572" width="8.85546875" style="595" customWidth="1"/>
    <col min="7573" max="7573" width="12" style="595" customWidth="1"/>
    <col min="7574" max="7574" width="7.5703125" style="595" customWidth="1"/>
    <col min="7575" max="7575" width="11.28515625" style="595" customWidth="1"/>
    <col min="7576" max="7576" width="6.5703125" style="595" customWidth="1"/>
    <col min="7577" max="7577" width="12.140625" style="595" customWidth="1"/>
    <col min="7578" max="7578" width="7.42578125" style="595" customWidth="1"/>
    <col min="7579" max="7579" width="12.42578125" style="595" customWidth="1"/>
    <col min="7580" max="7580" width="7.5703125" style="595" customWidth="1"/>
    <col min="7581" max="7581" width="11.28515625" style="595" customWidth="1"/>
    <col min="7582" max="7582" width="7.140625" style="595" customWidth="1"/>
    <col min="7583" max="7583" width="10.85546875" style="595" customWidth="1"/>
    <col min="7584" max="7584" width="6.140625" style="595" customWidth="1"/>
    <col min="7585" max="7585" width="10.7109375" style="595" customWidth="1"/>
    <col min="7586" max="7586" width="6.85546875" style="595" customWidth="1"/>
    <col min="7587" max="7587" width="10.7109375" style="595" customWidth="1"/>
    <col min="7588" max="7588" width="7" style="595" customWidth="1"/>
    <col min="7589" max="7589" width="11.85546875" style="595" customWidth="1"/>
    <col min="7590" max="7590" width="7.42578125" style="595" customWidth="1"/>
    <col min="7591" max="7591" width="10.7109375" style="595" customWidth="1"/>
    <col min="7592" max="7592" width="8.42578125" style="595" customWidth="1"/>
    <col min="7593" max="7593" width="11.140625" style="595" customWidth="1"/>
    <col min="7594" max="7594" width="8" style="595" customWidth="1"/>
    <col min="7595" max="7595" width="10.85546875" style="595" customWidth="1"/>
    <col min="7596" max="7596" width="7.5703125" style="595" customWidth="1"/>
    <col min="7597" max="7597" width="14.28515625" style="595" customWidth="1"/>
    <col min="7598" max="7598" width="6.5703125" style="595" customWidth="1"/>
    <col min="7599" max="7599" width="14.140625" style="595" customWidth="1"/>
    <col min="7600" max="7600" width="6.5703125" style="595" customWidth="1"/>
    <col min="7601" max="7601" width="14.28515625" style="595" customWidth="1"/>
    <col min="7602" max="7602" width="7.85546875" style="595" customWidth="1"/>
    <col min="7603" max="7603" width="14.140625" style="595" customWidth="1"/>
    <col min="7604" max="7604" width="6.85546875" style="595" customWidth="1"/>
    <col min="7605" max="7605" width="14.140625" style="595" customWidth="1"/>
    <col min="7606" max="7606" width="6.28515625" style="595" customWidth="1"/>
    <col min="7607" max="7607" width="14.140625" style="595" customWidth="1"/>
    <col min="7608" max="7608" width="5.85546875" style="595" customWidth="1"/>
    <col min="7609" max="7609" width="14.85546875" style="595" customWidth="1"/>
    <col min="7610" max="7610" width="6.85546875" style="595" customWidth="1"/>
    <col min="7611" max="7611" width="14.28515625" style="595" customWidth="1"/>
    <col min="7612" max="7612" width="7.28515625" style="595" customWidth="1"/>
    <col min="7613" max="7613" width="14.28515625" style="595" customWidth="1"/>
    <col min="7614" max="7614" width="6.42578125" style="595" customWidth="1"/>
    <col min="7615" max="7615" width="14" style="595" customWidth="1"/>
    <col min="7616" max="7616" width="7" style="595" customWidth="1"/>
    <col min="7617" max="7617" width="14" style="595" customWidth="1"/>
    <col min="7618" max="7618" width="6.42578125" style="595" customWidth="1"/>
    <col min="7619" max="7619" width="14.140625" style="595" customWidth="1"/>
    <col min="7620" max="7620" width="6.28515625" style="595" customWidth="1"/>
    <col min="7621" max="7621" width="14.140625" style="595" customWidth="1"/>
    <col min="7622" max="7622" width="7" style="595" customWidth="1"/>
    <col min="7623" max="7623" width="14.140625" style="595" customWidth="1"/>
    <col min="7624" max="7624" width="7.42578125" style="595" customWidth="1"/>
    <col min="7625" max="7625" width="14.5703125" style="595" customWidth="1"/>
    <col min="7626" max="7626" width="6.7109375" style="595" customWidth="1"/>
    <col min="7627" max="7627" width="14.140625" style="595" customWidth="1"/>
    <col min="7628" max="7628" width="7" style="595" customWidth="1"/>
    <col min="7629" max="7629" width="14.5703125" style="595" customWidth="1"/>
    <col min="7630" max="7630" width="7.42578125" style="595" customWidth="1"/>
    <col min="7631" max="7631" width="14.5703125" style="595" customWidth="1"/>
    <col min="7632" max="7632" width="6.42578125" style="595" customWidth="1"/>
    <col min="7633" max="7633" width="14.7109375" style="595" customWidth="1"/>
    <col min="7634" max="7634" width="6.85546875" style="595" customWidth="1"/>
    <col min="7635" max="7635" width="14.5703125" style="595" customWidth="1"/>
    <col min="7636" max="7636" width="7.140625" style="595" customWidth="1"/>
    <col min="7637" max="7637" width="14.5703125" style="595" customWidth="1"/>
    <col min="7638" max="7638" width="6.7109375" style="595" customWidth="1"/>
    <col min="7639" max="7639" width="14.140625" style="595" customWidth="1"/>
    <col min="7640" max="7640" width="5.85546875" style="595" customWidth="1"/>
    <col min="7641" max="7641" width="14" style="595" customWidth="1"/>
    <col min="7642" max="7642" width="8.28515625" style="595" customWidth="1"/>
    <col min="7643" max="7643" width="14.7109375" style="595" customWidth="1"/>
    <col min="7644" max="7644" width="7.140625" style="595" customWidth="1"/>
    <col min="7645" max="7645" width="14.7109375" style="595" customWidth="1"/>
    <col min="7646" max="7646" width="7.140625" style="595" customWidth="1"/>
    <col min="7647" max="7647" width="14" style="595" customWidth="1"/>
    <col min="7648" max="7648" width="6.42578125" style="595" customWidth="1"/>
    <col min="7649" max="7649" width="14" style="595" customWidth="1"/>
    <col min="7650" max="7650" width="6.28515625" style="595" customWidth="1"/>
    <col min="7651" max="7651" width="14.42578125" style="595" customWidth="1"/>
    <col min="7652" max="7652" width="6.28515625" style="595" customWidth="1"/>
    <col min="7653" max="7653" width="14.85546875" style="595" customWidth="1"/>
    <col min="7654" max="7654" width="7.28515625" style="595" customWidth="1"/>
    <col min="7655" max="7655" width="14.42578125" style="595" customWidth="1"/>
    <col min="7656" max="7656" width="7.28515625" style="595" customWidth="1"/>
    <col min="7657" max="7657" width="14.7109375" style="595" customWidth="1"/>
    <col min="7658" max="7658" width="6" style="595" customWidth="1"/>
    <col min="7659" max="7659" width="14.5703125" style="595" customWidth="1"/>
    <col min="7660" max="7660" width="6.42578125" style="595" customWidth="1"/>
    <col min="7661" max="7661" width="14.140625" style="595" customWidth="1"/>
    <col min="7662" max="7662" width="7.5703125" style="595" customWidth="1"/>
    <col min="7663" max="7663" width="14.5703125" style="595" customWidth="1"/>
    <col min="7664" max="7664" width="6.7109375" style="595" customWidth="1"/>
    <col min="7665" max="7665" width="15" style="595" customWidth="1"/>
    <col min="7666" max="7666" width="9.140625" style="595"/>
    <col min="7667" max="7667" width="14" style="595" customWidth="1"/>
    <col min="7668" max="7668" width="9.140625" style="595"/>
    <col min="7669" max="7669" width="14" style="595" customWidth="1"/>
    <col min="7670" max="7674" width="9.140625" style="595"/>
    <col min="7675" max="7675" width="41.28515625" style="595" customWidth="1"/>
    <col min="7676" max="7747" width="9.140625" style="595"/>
    <col min="7748" max="7748" width="21.140625" style="595" customWidth="1"/>
    <col min="7749" max="7749" width="7.28515625" style="595" customWidth="1"/>
    <col min="7750" max="7750" width="15" style="595" customWidth="1"/>
    <col min="7751" max="7751" width="23.28515625" style="595" customWidth="1"/>
    <col min="7752" max="7752" width="25.5703125" style="595" customWidth="1"/>
    <col min="7753" max="7753" width="7" style="595" bestFit="1" customWidth="1"/>
    <col min="7754" max="7754" width="6.42578125" style="595" bestFit="1" customWidth="1"/>
    <col min="7755" max="7755" width="7.85546875" style="595" customWidth="1"/>
    <col min="7756" max="7756" width="8.7109375" style="595" customWidth="1"/>
    <col min="7757" max="7757" width="7" style="595" bestFit="1" customWidth="1"/>
    <col min="7758" max="7758" width="6.42578125" style="595" bestFit="1" customWidth="1"/>
    <col min="7759" max="7759" width="6.85546875" style="595" customWidth="1"/>
    <col min="7760" max="7760" width="7.140625" style="595" customWidth="1"/>
    <col min="7761" max="7761" width="7" style="595" bestFit="1" customWidth="1"/>
    <col min="7762" max="7762" width="6.42578125" style="595" bestFit="1" customWidth="1"/>
    <col min="7763" max="7763" width="6" style="595" customWidth="1"/>
    <col min="7764" max="7764" width="9.7109375" style="595" customWidth="1"/>
    <col min="7765" max="7765" width="7" style="595" bestFit="1" customWidth="1"/>
    <col min="7766" max="7766" width="6.42578125" style="595" bestFit="1" customWidth="1"/>
    <col min="7767" max="7767" width="7.7109375" style="595" customWidth="1"/>
    <col min="7768" max="7772" width="7.28515625" style="595" customWidth="1"/>
    <col min="7773" max="7773" width="7" style="595" customWidth="1"/>
    <col min="7774" max="7775" width="5.140625" style="595" bestFit="1" customWidth="1"/>
    <col min="7776" max="7776" width="20.5703125" style="595" customWidth="1"/>
    <col min="7777" max="7777" width="8.85546875" style="595" customWidth="1"/>
    <col min="7778" max="7778" width="18.7109375" style="595" customWidth="1"/>
    <col min="7779" max="7779" width="9.7109375" style="595" customWidth="1"/>
    <col min="7780" max="7780" width="8.85546875" style="595" customWidth="1"/>
    <col min="7781" max="7781" width="10.7109375" style="595" customWidth="1"/>
    <col min="7782" max="7782" width="35.85546875" style="595" customWidth="1"/>
    <col min="7783" max="7783" width="18.7109375" style="595" customWidth="1"/>
    <col min="7784" max="7784" width="9.140625" style="595"/>
    <col min="7785" max="7785" width="9.28515625" style="595" bestFit="1" customWidth="1"/>
    <col min="7786" max="7786" width="9.140625" style="595"/>
    <col min="7787" max="7787" width="9" style="595" customWidth="1"/>
    <col min="7788" max="7788" width="9.5703125" style="595" customWidth="1"/>
    <col min="7789" max="7789" width="11.28515625" style="595" customWidth="1"/>
    <col min="7790" max="7790" width="9.140625" style="595"/>
    <col min="7791" max="7791" width="12.7109375" style="595" customWidth="1"/>
    <col min="7792" max="7792" width="9.140625" style="595"/>
    <col min="7793" max="7793" width="20.5703125" style="595" customWidth="1"/>
    <col min="7794" max="7794" width="15.7109375" style="595" customWidth="1"/>
    <col min="7795" max="7795" width="20.7109375" style="595" customWidth="1"/>
    <col min="7796" max="7796" width="18.28515625" style="595" customWidth="1"/>
    <col min="7797" max="7799" width="9.140625" style="595"/>
    <col min="7800" max="7800" width="13.5703125" style="595" customWidth="1"/>
    <col min="7801" max="7801" width="14.7109375" style="595" customWidth="1"/>
    <col min="7802" max="7802" width="7.28515625" style="595" customWidth="1"/>
    <col min="7803" max="7803" width="17.7109375" style="595" customWidth="1"/>
    <col min="7804" max="7804" width="13.5703125" style="595" customWidth="1"/>
    <col min="7805" max="7805" width="15.5703125" style="595" customWidth="1"/>
    <col min="7806" max="7806" width="16.28515625" style="595" customWidth="1"/>
    <col min="7807" max="7807" width="15.140625" style="595" customWidth="1"/>
    <col min="7808" max="7808" width="9.140625" style="595"/>
    <col min="7809" max="7809" width="14.140625" style="595" customWidth="1"/>
    <col min="7810" max="7810" width="6.5703125" style="595" customWidth="1"/>
    <col min="7811" max="7811" width="14.5703125" style="595" customWidth="1"/>
    <col min="7812" max="7812" width="6.42578125" style="595" customWidth="1"/>
    <col min="7813" max="7813" width="12.85546875" style="595" customWidth="1"/>
    <col min="7814" max="7814" width="7.85546875" style="595" customWidth="1"/>
    <col min="7815" max="7815" width="10.7109375" style="595" customWidth="1"/>
    <col min="7816" max="7816" width="7.140625" style="595" customWidth="1"/>
    <col min="7817" max="7817" width="11.85546875" style="595" customWidth="1"/>
    <col min="7818" max="7818" width="7.42578125" style="595" customWidth="1"/>
    <col min="7819" max="7819" width="12.140625" style="595" customWidth="1"/>
    <col min="7820" max="7820" width="8.42578125" style="595" customWidth="1"/>
    <col min="7821" max="7821" width="11.85546875" style="595" customWidth="1"/>
    <col min="7822" max="7822" width="6.85546875" style="595" customWidth="1"/>
    <col min="7823" max="7823" width="11.42578125" style="595" customWidth="1"/>
    <col min="7824" max="7824" width="9" style="595" customWidth="1"/>
    <col min="7825" max="7825" width="12.42578125" style="595" customWidth="1"/>
    <col min="7826" max="7826" width="5.85546875" style="595" customWidth="1"/>
    <col min="7827" max="7827" width="13.28515625" style="595" customWidth="1"/>
    <col min="7828" max="7828" width="8.85546875" style="595" customWidth="1"/>
    <col min="7829" max="7829" width="12" style="595" customWidth="1"/>
    <col min="7830" max="7830" width="7.5703125" style="595" customWidth="1"/>
    <col min="7831" max="7831" width="11.28515625" style="595" customWidth="1"/>
    <col min="7832" max="7832" width="6.5703125" style="595" customWidth="1"/>
    <col min="7833" max="7833" width="12.140625" style="595" customWidth="1"/>
    <col min="7834" max="7834" width="7.42578125" style="595" customWidth="1"/>
    <col min="7835" max="7835" width="12.42578125" style="595" customWidth="1"/>
    <col min="7836" max="7836" width="7.5703125" style="595" customWidth="1"/>
    <col min="7837" max="7837" width="11.28515625" style="595" customWidth="1"/>
    <col min="7838" max="7838" width="7.140625" style="595" customWidth="1"/>
    <col min="7839" max="7839" width="10.85546875" style="595" customWidth="1"/>
    <col min="7840" max="7840" width="6.140625" style="595" customWidth="1"/>
    <col min="7841" max="7841" width="10.7109375" style="595" customWidth="1"/>
    <col min="7842" max="7842" width="6.85546875" style="595" customWidth="1"/>
    <col min="7843" max="7843" width="10.7109375" style="595" customWidth="1"/>
    <col min="7844" max="7844" width="7" style="595" customWidth="1"/>
    <col min="7845" max="7845" width="11.85546875" style="595" customWidth="1"/>
    <col min="7846" max="7846" width="7.42578125" style="595" customWidth="1"/>
    <col min="7847" max="7847" width="10.7109375" style="595" customWidth="1"/>
    <col min="7848" max="7848" width="8.42578125" style="595" customWidth="1"/>
    <col min="7849" max="7849" width="11.140625" style="595" customWidth="1"/>
    <col min="7850" max="7850" width="8" style="595" customWidth="1"/>
    <col min="7851" max="7851" width="10.85546875" style="595" customWidth="1"/>
    <col min="7852" max="7852" width="7.5703125" style="595" customWidth="1"/>
    <col min="7853" max="7853" width="14.28515625" style="595" customWidth="1"/>
    <col min="7854" max="7854" width="6.5703125" style="595" customWidth="1"/>
    <col min="7855" max="7855" width="14.140625" style="595" customWidth="1"/>
    <col min="7856" max="7856" width="6.5703125" style="595" customWidth="1"/>
    <col min="7857" max="7857" width="14.28515625" style="595" customWidth="1"/>
    <col min="7858" max="7858" width="7.85546875" style="595" customWidth="1"/>
    <col min="7859" max="7859" width="14.140625" style="595" customWidth="1"/>
    <col min="7860" max="7860" width="6.85546875" style="595" customWidth="1"/>
    <col min="7861" max="7861" width="14.140625" style="595" customWidth="1"/>
    <col min="7862" max="7862" width="6.28515625" style="595" customWidth="1"/>
    <col min="7863" max="7863" width="14.140625" style="595" customWidth="1"/>
    <col min="7864" max="7864" width="5.85546875" style="595" customWidth="1"/>
    <col min="7865" max="7865" width="14.85546875" style="595" customWidth="1"/>
    <col min="7866" max="7866" width="6.85546875" style="595" customWidth="1"/>
    <col min="7867" max="7867" width="14.28515625" style="595" customWidth="1"/>
    <col min="7868" max="7868" width="7.28515625" style="595" customWidth="1"/>
    <col min="7869" max="7869" width="14.28515625" style="595" customWidth="1"/>
    <col min="7870" max="7870" width="6.42578125" style="595" customWidth="1"/>
    <col min="7871" max="7871" width="14" style="595" customWidth="1"/>
    <col min="7872" max="7872" width="7" style="595" customWidth="1"/>
    <col min="7873" max="7873" width="14" style="595" customWidth="1"/>
    <col min="7874" max="7874" width="6.42578125" style="595" customWidth="1"/>
    <col min="7875" max="7875" width="14.140625" style="595" customWidth="1"/>
    <col min="7876" max="7876" width="6.28515625" style="595" customWidth="1"/>
    <col min="7877" max="7877" width="14.140625" style="595" customWidth="1"/>
    <col min="7878" max="7878" width="7" style="595" customWidth="1"/>
    <col min="7879" max="7879" width="14.140625" style="595" customWidth="1"/>
    <col min="7880" max="7880" width="7.42578125" style="595" customWidth="1"/>
    <col min="7881" max="7881" width="14.5703125" style="595" customWidth="1"/>
    <col min="7882" max="7882" width="6.7109375" style="595" customWidth="1"/>
    <col min="7883" max="7883" width="14.140625" style="595" customWidth="1"/>
    <col min="7884" max="7884" width="7" style="595" customWidth="1"/>
    <col min="7885" max="7885" width="14.5703125" style="595" customWidth="1"/>
    <col min="7886" max="7886" width="7.42578125" style="595" customWidth="1"/>
    <col min="7887" max="7887" width="14.5703125" style="595" customWidth="1"/>
    <col min="7888" max="7888" width="6.42578125" style="595" customWidth="1"/>
    <col min="7889" max="7889" width="14.7109375" style="595" customWidth="1"/>
    <col min="7890" max="7890" width="6.85546875" style="595" customWidth="1"/>
    <col min="7891" max="7891" width="14.5703125" style="595" customWidth="1"/>
    <col min="7892" max="7892" width="7.140625" style="595" customWidth="1"/>
    <col min="7893" max="7893" width="14.5703125" style="595" customWidth="1"/>
    <col min="7894" max="7894" width="6.7109375" style="595" customWidth="1"/>
    <col min="7895" max="7895" width="14.140625" style="595" customWidth="1"/>
    <col min="7896" max="7896" width="5.85546875" style="595" customWidth="1"/>
    <col min="7897" max="7897" width="14" style="595" customWidth="1"/>
    <col min="7898" max="7898" width="8.28515625" style="595" customWidth="1"/>
    <col min="7899" max="7899" width="14.7109375" style="595" customWidth="1"/>
    <col min="7900" max="7900" width="7.140625" style="595" customWidth="1"/>
    <col min="7901" max="7901" width="14.7109375" style="595" customWidth="1"/>
    <col min="7902" max="7902" width="7.140625" style="595" customWidth="1"/>
    <col min="7903" max="7903" width="14" style="595" customWidth="1"/>
    <col min="7904" max="7904" width="6.42578125" style="595" customWidth="1"/>
    <col min="7905" max="7905" width="14" style="595" customWidth="1"/>
    <col min="7906" max="7906" width="6.28515625" style="595" customWidth="1"/>
    <col min="7907" max="7907" width="14.42578125" style="595" customWidth="1"/>
    <col min="7908" max="7908" width="6.28515625" style="595" customWidth="1"/>
    <col min="7909" max="7909" width="14.85546875" style="595" customWidth="1"/>
    <col min="7910" max="7910" width="7.28515625" style="595" customWidth="1"/>
    <col min="7911" max="7911" width="14.42578125" style="595" customWidth="1"/>
    <col min="7912" max="7912" width="7.28515625" style="595" customWidth="1"/>
    <col min="7913" max="7913" width="14.7109375" style="595" customWidth="1"/>
    <col min="7914" max="7914" width="6" style="595" customWidth="1"/>
    <col min="7915" max="7915" width="14.5703125" style="595" customWidth="1"/>
    <col min="7916" max="7916" width="6.42578125" style="595" customWidth="1"/>
    <col min="7917" max="7917" width="14.140625" style="595" customWidth="1"/>
    <col min="7918" max="7918" width="7.5703125" style="595" customWidth="1"/>
    <col min="7919" max="7919" width="14.5703125" style="595" customWidth="1"/>
    <col min="7920" max="7920" width="6.7109375" style="595" customWidth="1"/>
    <col min="7921" max="7921" width="15" style="595" customWidth="1"/>
    <col min="7922" max="7922" width="9.140625" style="595"/>
    <col min="7923" max="7923" width="14" style="595" customWidth="1"/>
    <col min="7924" max="7924" width="9.140625" style="595"/>
    <col min="7925" max="7925" width="14" style="595" customWidth="1"/>
    <col min="7926" max="7930" width="9.140625" style="595"/>
    <col min="7931" max="7931" width="41.28515625" style="595" customWidth="1"/>
    <col min="7932" max="8003" width="9.140625" style="595"/>
    <col min="8004" max="8004" width="21.140625" style="595" customWidth="1"/>
    <col min="8005" max="8005" width="7.28515625" style="595" customWidth="1"/>
    <col min="8006" max="8006" width="15" style="595" customWidth="1"/>
    <col min="8007" max="8007" width="23.28515625" style="595" customWidth="1"/>
    <col min="8008" max="8008" width="25.5703125" style="595" customWidth="1"/>
    <col min="8009" max="8009" width="7" style="595" bestFit="1" customWidth="1"/>
    <col min="8010" max="8010" width="6.42578125" style="595" bestFit="1" customWidth="1"/>
    <col min="8011" max="8011" width="7.85546875" style="595" customWidth="1"/>
    <col min="8012" max="8012" width="8.7109375" style="595" customWidth="1"/>
    <col min="8013" max="8013" width="7" style="595" bestFit="1" customWidth="1"/>
    <col min="8014" max="8014" width="6.42578125" style="595" bestFit="1" customWidth="1"/>
    <col min="8015" max="8015" width="6.85546875" style="595" customWidth="1"/>
    <col min="8016" max="8016" width="7.140625" style="595" customWidth="1"/>
    <col min="8017" max="8017" width="7" style="595" bestFit="1" customWidth="1"/>
    <col min="8018" max="8018" width="6.42578125" style="595" bestFit="1" customWidth="1"/>
    <col min="8019" max="8019" width="6" style="595" customWidth="1"/>
    <col min="8020" max="8020" width="9.7109375" style="595" customWidth="1"/>
    <col min="8021" max="8021" width="7" style="595" bestFit="1" customWidth="1"/>
    <col min="8022" max="8022" width="6.42578125" style="595" bestFit="1" customWidth="1"/>
    <col min="8023" max="8023" width="7.7109375" style="595" customWidth="1"/>
    <col min="8024" max="8028" width="7.28515625" style="595" customWidth="1"/>
    <col min="8029" max="8029" width="7" style="595" customWidth="1"/>
    <col min="8030" max="8031" width="5.140625" style="595" bestFit="1" customWidth="1"/>
    <col min="8032" max="8032" width="20.5703125" style="595" customWidth="1"/>
    <col min="8033" max="8033" width="8.85546875" style="595" customWidth="1"/>
    <col min="8034" max="8034" width="18.7109375" style="595" customWidth="1"/>
    <col min="8035" max="8035" width="9.7109375" style="595" customWidth="1"/>
    <col min="8036" max="8036" width="8.85546875" style="595" customWidth="1"/>
    <col min="8037" max="8037" width="10.7109375" style="595" customWidth="1"/>
    <col min="8038" max="8038" width="35.85546875" style="595" customWidth="1"/>
    <col min="8039" max="8039" width="18.7109375" style="595" customWidth="1"/>
    <col min="8040" max="8040" width="9.140625" style="595"/>
    <col min="8041" max="8041" width="9.28515625" style="595" bestFit="1" customWidth="1"/>
    <col min="8042" max="8042" width="9.140625" style="595"/>
    <col min="8043" max="8043" width="9" style="595" customWidth="1"/>
    <col min="8044" max="8044" width="9.5703125" style="595" customWidth="1"/>
    <col min="8045" max="8045" width="11.28515625" style="595" customWidth="1"/>
    <col min="8046" max="8046" width="9.140625" style="595"/>
    <col min="8047" max="8047" width="12.7109375" style="595" customWidth="1"/>
    <col min="8048" max="8048" width="9.140625" style="595"/>
    <col min="8049" max="8049" width="20.5703125" style="595" customWidth="1"/>
    <col min="8050" max="8050" width="15.7109375" style="595" customWidth="1"/>
    <col min="8051" max="8051" width="20.7109375" style="595" customWidth="1"/>
    <col min="8052" max="8052" width="18.28515625" style="595" customWidth="1"/>
    <col min="8053" max="8055" width="9.140625" style="595"/>
    <col min="8056" max="8056" width="13.5703125" style="595" customWidth="1"/>
    <col min="8057" max="8057" width="14.7109375" style="595" customWidth="1"/>
    <col min="8058" max="8058" width="7.28515625" style="595" customWidth="1"/>
    <col min="8059" max="8059" width="17.7109375" style="595" customWidth="1"/>
    <col min="8060" max="8060" width="13.5703125" style="595" customWidth="1"/>
    <col min="8061" max="8061" width="15.5703125" style="595" customWidth="1"/>
    <col min="8062" max="8062" width="16.28515625" style="595" customWidth="1"/>
    <col min="8063" max="8063" width="15.140625" style="595" customWidth="1"/>
    <col min="8064" max="8064" width="9.140625" style="595"/>
    <col min="8065" max="8065" width="14.140625" style="595" customWidth="1"/>
    <col min="8066" max="8066" width="6.5703125" style="595" customWidth="1"/>
    <col min="8067" max="8067" width="14.5703125" style="595" customWidth="1"/>
    <col min="8068" max="8068" width="6.42578125" style="595" customWidth="1"/>
    <col min="8069" max="8069" width="12.85546875" style="595" customWidth="1"/>
    <col min="8070" max="8070" width="7.85546875" style="595" customWidth="1"/>
    <col min="8071" max="8071" width="10.7109375" style="595" customWidth="1"/>
    <col min="8072" max="8072" width="7.140625" style="595" customWidth="1"/>
    <col min="8073" max="8073" width="11.85546875" style="595" customWidth="1"/>
    <col min="8074" max="8074" width="7.42578125" style="595" customWidth="1"/>
    <col min="8075" max="8075" width="12.140625" style="595" customWidth="1"/>
    <col min="8076" max="8076" width="8.42578125" style="595" customWidth="1"/>
    <col min="8077" max="8077" width="11.85546875" style="595" customWidth="1"/>
    <col min="8078" max="8078" width="6.85546875" style="595" customWidth="1"/>
    <col min="8079" max="8079" width="11.42578125" style="595" customWidth="1"/>
    <col min="8080" max="8080" width="9" style="595" customWidth="1"/>
    <col min="8081" max="8081" width="12.42578125" style="595" customWidth="1"/>
    <col min="8082" max="8082" width="5.85546875" style="595" customWidth="1"/>
    <col min="8083" max="8083" width="13.28515625" style="595" customWidth="1"/>
    <col min="8084" max="8084" width="8.85546875" style="595" customWidth="1"/>
    <col min="8085" max="8085" width="12" style="595" customWidth="1"/>
    <col min="8086" max="8086" width="7.5703125" style="595" customWidth="1"/>
    <col min="8087" max="8087" width="11.28515625" style="595" customWidth="1"/>
    <col min="8088" max="8088" width="6.5703125" style="595" customWidth="1"/>
    <col min="8089" max="8089" width="12.140625" style="595" customWidth="1"/>
    <col min="8090" max="8090" width="7.42578125" style="595" customWidth="1"/>
    <col min="8091" max="8091" width="12.42578125" style="595" customWidth="1"/>
    <col min="8092" max="8092" width="7.5703125" style="595" customWidth="1"/>
    <col min="8093" max="8093" width="11.28515625" style="595" customWidth="1"/>
    <col min="8094" max="8094" width="7.140625" style="595" customWidth="1"/>
    <col min="8095" max="8095" width="10.85546875" style="595" customWidth="1"/>
    <col min="8096" max="8096" width="6.140625" style="595" customWidth="1"/>
    <col min="8097" max="8097" width="10.7109375" style="595" customWidth="1"/>
    <col min="8098" max="8098" width="6.85546875" style="595" customWidth="1"/>
    <col min="8099" max="8099" width="10.7109375" style="595" customWidth="1"/>
    <col min="8100" max="8100" width="7" style="595" customWidth="1"/>
    <col min="8101" max="8101" width="11.85546875" style="595" customWidth="1"/>
    <col min="8102" max="8102" width="7.42578125" style="595" customWidth="1"/>
    <col min="8103" max="8103" width="10.7109375" style="595" customWidth="1"/>
    <col min="8104" max="8104" width="8.42578125" style="595" customWidth="1"/>
    <col min="8105" max="8105" width="11.140625" style="595" customWidth="1"/>
    <col min="8106" max="8106" width="8" style="595" customWidth="1"/>
    <col min="8107" max="8107" width="10.85546875" style="595" customWidth="1"/>
    <col min="8108" max="8108" width="7.5703125" style="595" customWidth="1"/>
    <col min="8109" max="8109" width="14.28515625" style="595" customWidth="1"/>
    <col min="8110" max="8110" width="6.5703125" style="595" customWidth="1"/>
    <col min="8111" max="8111" width="14.140625" style="595" customWidth="1"/>
    <col min="8112" max="8112" width="6.5703125" style="595" customWidth="1"/>
    <col min="8113" max="8113" width="14.28515625" style="595" customWidth="1"/>
    <col min="8114" max="8114" width="7.85546875" style="595" customWidth="1"/>
    <col min="8115" max="8115" width="14.140625" style="595" customWidth="1"/>
    <col min="8116" max="8116" width="6.85546875" style="595" customWidth="1"/>
    <col min="8117" max="8117" width="14.140625" style="595" customWidth="1"/>
    <col min="8118" max="8118" width="6.28515625" style="595" customWidth="1"/>
    <col min="8119" max="8119" width="14.140625" style="595" customWidth="1"/>
    <col min="8120" max="8120" width="5.85546875" style="595" customWidth="1"/>
    <col min="8121" max="8121" width="14.85546875" style="595" customWidth="1"/>
    <col min="8122" max="8122" width="6.85546875" style="595" customWidth="1"/>
    <col min="8123" max="8123" width="14.28515625" style="595" customWidth="1"/>
    <col min="8124" max="8124" width="7.28515625" style="595" customWidth="1"/>
    <col min="8125" max="8125" width="14.28515625" style="595" customWidth="1"/>
    <col min="8126" max="8126" width="6.42578125" style="595" customWidth="1"/>
    <col min="8127" max="8127" width="14" style="595" customWidth="1"/>
    <col min="8128" max="8128" width="7" style="595" customWidth="1"/>
    <col min="8129" max="8129" width="14" style="595" customWidth="1"/>
    <col min="8130" max="8130" width="6.42578125" style="595" customWidth="1"/>
    <col min="8131" max="8131" width="14.140625" style="595" customWidth="1"/>
    <col min="8132" max="8132" width="6.28515625" style="595" customWidth="1"/>
    <col min="8133" max="8133" width="14.140625" style="595" customWidth="1"/>
    <col min="8134" max="8134" width="7" style="595" customWidth="1"/>
    <col min="8135" max="8135" width="14.140625" style="595" customWidth="1"/>
    <col min="8136" max="8136" width="7.42578125" style="595" customWidth="1"/>
    <col min="8137" max="8137" width="14.5703125" style="595" customWidth="1"/>
    <col min="8138" max="8138" width="6.7109375" style="595" customWidth="1"/>
    <col min="8139" max="8139" width="14.140625" style="595" customWidth="1"/>
    <col min="8140" max="8140" width="7" style="595" customWidth="1"/>
    <col min="8141" max="8141" width="14.5703125" style="595" customWidth="1"/>
    <col min="8142" max="8142" width="7.42578125" style="595" customWidth="1"/>
    <col min="8143" max="8143" width="14.5703125" style="595" customWidth="1"/>
    <col min="8144" max="8144" width="6.42578125" style="595" customWidth="1"/>
    <col min="8145" max="8145" width="14.7109375" style="595" customWidth="1"/>
    <col min="8146" max="8146" width="6.85546875" style="595" customWidth="1"/>
    <col min="8147" max="8147" width="14.5703125" style="595" customWidth="1"/>
    <col min="8148" max="8148" width="7.140625" style="595" customWidth="1"/>
    <col min="8149" max="8149" width="14.5703125" style="595" customWidth="1"/>
    <col min="8150" max="8150" width="6.7109375" style="595" customWidth="1"/>
    <col min="8151" max="8151" width="14.140625" style="595" customWidth="1"/>
    <col min="8152" max="8152" width="5.85546875" style="595" customWidth="1"/>
    <col min="8153" max="8153" width="14" style="595" customWidth="1"/>
    <col min="8154" max="8154" width="8.28515625" style="595" customWidth="1"/>
    <col min="8155" max="8155" width="14.7109375" style="595" customWidth="1"/>
    <col min="8156" max="8156" width="7.140625" style="595" customWidth="1"/>
    <col min="8157" max="8157" width="14.7109375" style="595" customWidth="1"/>
    <col min="8158" max="8158" width="7.140625" style="595" customWidth="1"/>
    <col min="8159" max="8159" width="14" style="595" customWidth="1"/>
    <col min="8160" max="8160" width="6.42578125" style="595" customWidth="1"/>
    <col min="8161" max="8161" width="14" style="595" customWidth="1"/>
    <col min="8162" max="8162" width="6.28515625" style="595" customWidth="1"/>
    <col min="8163" max="8163" width="14.42578125" style="595" customWidth="1"/>
    <col min="8164" max="8164" width="6.28515625" style="595" customWidth="1"/>
    <col min="8165" max="8165" width="14.85546875" style="595" customWidth="1"/>
    <col min="8166" max="8166" width="7.28515625" style="595" customWidth="1"/>
    <col min="8167" max="8167" width="14.42578125" style="595" customWidth="1"/>
    <col min="8168" max="8168" width="7.28515625" style="595" customWidth="1"/>
    <col min="8169" max="8169" width="14.7109375" style="595" customWidth="1"/>
    <col min="8170" max="8170" width="6" style="595" customWidth="1"/>
    <col min="8171" max="8171" width="14.5703125" style="595" customWidth="1"/>
    <col min="8172" max="8172" width="6.42578125" style="595" customWidth="1"/>
    <col min="8173" max="8173" width="14.140625" style="595" customWidth="1"/>
    <col min="8174" max="8174" width="7.5703125" style="595" customWidth="1"/>
    <col min="8175" max="8175" width="14.5703125" style="595" customWidth="1"/>
    <col min="8176" max="8176" width="6.7109375" style="595" customWidth="1"/>
    <col min="8177" max="8177" width="15" style="595" customWidth="1"/>
    <col min="8178" max="8178" width="9.140625" style="595"/>
    <col min="8179" max="8179" width="14" style="595" customWidth="1"/>
    <col min="8180" max="8180" width="9.140625" style="595"/>
    <col min="8181" max="8181" width="14" style="595" customWidth="1"/>
    <col min="8182" max="8186" width="9.140625" style="595"/>
    <col min="8187" max="8187" width="41.28515625" style="595" customWidth="1"/>
    <col min="8188" max="8259" width="9.140625" style="595"/>
    <col min="8260" max="8260" width="21.140625" style="595" customWidth="1"/>
    <col min="8261" max="8261" width="7.28515625" style="595" customWidth="1"/>
    <col min="8262" max="8262" width="15" style="595" customWidth="1"/>
    <col min="8263" max="8263" width="23.28515625" style="595" customWidth="1"/>
    <col min="8264" max="8264" width="25.5703125" style="595" customWidth="1"/>
    <col min="8265" max="8265" width="7" style="595" bestFit="1" customWidth="1"/>
    <col min="8266" max="8266" width="6.42578125" style="595" bestFit="1" customWidth="1"/>
    <col min="8267" max="8267" width="7.85546875" style="595" customWidth="1"/>
    <col min="8268" max="8268" width="8.7109375" style="595" customWidth="1"/>
    <col min="8269" max="8269" width="7" style="595" bestFit="1" customWidth="1"/>
    <col min="8270" max="8270" width="6.42578125" style="595" bestFit="1" customWidth="1"/>
    <col min="8271" max="8271" width="6.85546875" style="595" customWidth="1"/>
    <col min="8272" max="8272" width="7.140625" style="595" customWidth="1"/>
    <col min="8273" max="8273" width="7" style="595" bestFit="1" customWidth="1"/>
    <col min="8274" max="8274" width="6.42578125" style="595" bestFit="1" customWidth="1"/>
    <col min="8275" max="8275" width="6" style="595" customWidth="1"/>
    <col min="8276" max="8276" width="9.7109375" style="595" customWidth="1"/>
    <col min="8277" max="8277" width="7" style="595" bestFit="1" customWidth="1"/>
    <col min="8278" max="8278" width="6.42578125" style="595" bestFit="1" customWidth="1"/>
    <col min="8279" max="8279" width="7.7109375" style="595" customWidth="1"/>
    <col min="8280" max="8284" width="7.28515625" style="595" customWidth="1"/>
    <col min="8285" max="8285" width="7" style="595" customWidth="1"/>
    <col min="8286" max="8287" width="5.140625" style="595" bestFit="1" customWidth="1"/>
    <col min="8288" max="8288" width="20.5703125" style="595" customWidth="1"/>
    <col min="8289" max="8289" width="8.85546875" style="595" customWidth="1"/>
    <col min="8290" max="8290" width="18.7109375" style="595" customWidth="1"/>
    <col min="8291" max="8291" width="9.7109375" style="595" customWidth="1"/>
    <col min="8292" max="8292" width="8.85546875" style="595" customWidth="1"/>
    <col min="8293" max="8293" width="10.7109375" style="595" customWidth="1"/>
    <col min="8294" max="8294" width="35.85546875" style="595" customWidth="1"/>
    <col min="8295" max="8295" width="18.7109375" style="595" customWidth="1"/>
    <col min="8296" max="8296" width="9.140625" style="595"/>
    <col min="8297" max="8297" width="9.28515625" style="595" bestFit="1" customWidth="1"/>
    <col min="8298" max="8298" width="9.140625" style="595"/>
    <col min="8299" max="8299" width="9" style="595" customWidth="1"/>
    <col min="8300" max="8300" width="9.5703125" style="595" customWidth="1"/>
    <col min="8301" max="8301" width="11.28515625" style="595" customWidth="1"/>
    <col min="8302" max="8302" width="9.140625" style="595"/>
    <col min="8303" max="8303" width="12.7109375" style="595" customWidth="1"/>
    <col min="8304" max="8304" width="9.140625" style="595"/>
    <col min="8305" max="8305" width="20.5703125" style="595" customWidth="1"/>
    <col min="8306" max="8306" width="15.7109375" style="595" customWidth="1"/>
    <col min="8307" max="8307" width="20.7109375" style="595" customWidth="1"/>
    <col min="8308" max="8308" width="18.28515625" style="595" customWidth="1"/>
    <col min="8309" max="8311" width="9.140625" style="595"/>
    <col min="8312" max="8312" width="13.5703125" style="595" customWidth="1"/>
    <col min="8313" max="8313" width="14.7109375" style="595" customWidth="1"/>
    <col min="8314" max="8314" width="7.28515625" style="595" customWidth="1"/>
    <col min="8315" max="8315" width="17.7109375" style="595" customWidth="1"/>
    <col min="8316" max="8316" width="13.5703125" style="595" customWidth="1"/>
    <col min="8317" max="8317" width="15.5703125" style="595" customWidth="1"/>
    <col min="8318" max="8318" width="16.28515625" style="595" customWidth="1"/>
    <col min="8319" max="8319" width="15.140625" style="595" customWidth="1"/>
    <col min="8320" max="8320" width="9.140625" style="595"/>
    <col min="8321" max="8321" width="14.140625" style="595" customWidth="1"/>
    <col min="8322" max="8322" width="6.5703125" style="595" customWidth="1"/>
    <col min="8323" max="8323" width="14.5703125" style="595" customWidth="1"/>
    <col min="8324" max="8324" width="6.42578125" style="595" customWidth="1"/>
    <col min="8325" max="8325" width="12.85546875" style="595" customWidth="1"/>
    <col min="8326" max="8326" width="7.85546875" style="595" customWidth="1"/>
    <col min="8327" max="8327" width="10.7109375" style="595" customWidth="1"/>
    <col min="8328" max="8328" width="7.140625" style="595" customWidth="1"/>
    <col min="8329" max="8329" width="11.85546875" style="595" customWidth="1"/>
    <col min="8330" max="8330" width="7.42578125" style="595" customWidth="1"/>
    <col min="8331" max="8331" width="12.140625" style="595" customWidth="1"/>
    <col min="8332" max="8332" width="8.42578125" style="595" customWidth="1"/>
    <col min="8333" max="8333" width="11.85546875" style="595" customWidth="1"/>
    <col min="8334" max="8334" width="6.85546875" style="595" customWidth="1"/>
    <col min="8335" max="8335" width="11.42578125" style="595" customWidth="1"/>
    <col min="8336" max="8336" width="9" style="595" customWidth="1"/>
    <col min="8337" max="8337" width="12.42578125" style="595" customWidth="1"/>
    <col min="8338" max="8338" width="5.85546875" style="595" customWidth="1"/>
    <col min="8339" max="8339" width="13.28515625" style="595" customWidth="1"/>
    <col min="8340" max="8340" width="8.85546875" style="595" customWidth="1"/>
    <col min="8341" max="8341" width="12" style="595" customWidth="1"/>
    <col min="8342" max="8342" width="7.5703125" style="595" customWidth="1"/>
    <col min="8343" max="8343" width="11.28515625" style="595" customWidth="1"/>
    <col min="8344" max="8344" width="6.5703125" style="595" customWidth="1"/>
    <col min="8345" max="8345" width="12.140625" style="595" customWidth="1"/>
    <col min="8346" max="8346" width="7.42578125" style="595" customWidth="1"/>
    <col min="8347" max="8347" width="12.42578125" style="595" customWidth="1"/>
    <col min="8348" max="8348" width="7.5703125" style="595" customWidth="1"/>
    <col min="8349" max="8349" width="11.28515625" style="595" customWidth="1"/>
    <col min="8350" max="8350" width="7.140625" style="595" customWidth="1"/>
    <col min="8351" max="8351" width="10.85546875" style="595" customWidth="1"/>
    <col min="8352" max="8352" width="6.140625" style="595" customWidth="1"/>
    <col min="8353" max="8353" width="10.7109375" style="595" customWidth="1"/>
    <col min="8354" max="8354" width="6.85546875" style="595" customWidth="1"/>
    <col min="8355" max="8355" width="10.7109375" style="595" customWidth="1"/>
    <col min="8356" max="8356" width="7" style="595" customWidth="1"/>
    <col min="8357" max="8357" width="11.85546875" style="595" customWidth="1"/>
    <col min="8358" max="8358" width="7.42578125" style="595" customWidth="1"/>
    <col min="8359" max="8359" width="10.7109375" style="595" customWidth="1"/>
    <col min="8360" max="8360" width="8.42578125" style="595" customWidth="1"/>
    <col min="8361" max="8361" width="11.140625" style="595" customWidth="1"/>
    <col min="8362" max="8362" width="8" style="595" customWidth="1"/>
    <col min="8363" max="8363" width="10.85546875" style="595" customWidth="1"/>
    <col min="8364" max="8364" width="7.5703125" style="595" customWidth="1"/>
    <col min="8365" max="8365" width="14.28515625" style="595" customWidth="1"/>
    <col min="8366" max="8366" width="6.5703125" style="595" customWidth="1"/>
    <col min="8367" max="8367" width="14.140625" style="595" customWidth="1"/>
    <col min="8368" max="8368" width="6.5703125" style="595" customWidth="1"/>
    <col min="8369" max="8369" width="14.28515625" style="595" customWidth="1"/>
    <col min="8370" max="8370" width="7.85546875" style="595" customWidth="1"/>
    <col min="8371" max="8371" width="14.140625" style="595" customWidth="1"/>
    <col min="8372" max="8372" width="6.85546875" style="595" customWidth="1"/>
    <col min="8373" max="8373" width="14.140625" style="595" customWidth="1"/>
    <col min="8374" max="8374" width="6.28515625" style="595" customWidth="1"/>
    <col min="8375" max="8375" width="14.140625" style="595" customWidth="1"/>
    <col min="8376" max="8376" width="5.85546875" style="595" customWidth="1"/>
    <col min="8377" max="8377" width="14.85546875" style="595" customWidth="1"/>
    <col min="8378" max="8378" width="6.85546875" style="595" customWidth="1"/>
    <col min="8379" max="8379" width="14.28515625" style="595" customWidth="1"/>
    <col min="8380" max="8380" width="7.28515625" style="595" customWidth="1"/>
    <col min="8381" max="8381" width="14.28515625" style="595" customWidth="1"/>
    <col min="8382" max="8382" width="6.42578125" style="595" customWidth="1"/>
    <col min="8383" max="8383" width="14" style="595" customWidth="1"/>
    <col min="8384" max="8384" width="7" style="595" customWidth="1"/>
    <col min="8385" max="8385" width="14" style="595" customWidth="1"/>
    <col min="8386" max="8386" width="6.42578125" style="595" customWidth="1"/>
    <col min="8387" max="8387" width="14.140625" style="595" customWidth="1"/>
    <col min="8388" max="8388" width="6.28515625" style="595" customWidth="1"/>
    <col min="8389" max="8389" width="14.140625" style="595" customWidth="1"/>
    <col min="8390" max="8390" width="7" style="595" customWidth="1"/>
    <col min="8391" max="8391" width="14.140625" style="595" customWidth="1"/>
    <col min="8392" max="8392" width="7.42578125" style="595" customWidth="1"/>
    <col min="8393" max="8393" width="14.5703125" style="595" customWidth="1"/>
    <col min="8394" max="8394" width="6.7109375" style="595" customWidth="1"/>
    <col min="8395" max="8395" width="14.140625" style="595" customWidth="1"/>
    <col min="8396" max="8396" width="7" style="595" customWidth="1"/>
    <col min="8397" max="8397" width="14.5703125" style="595" customWidth="1"/>
    <col min="8398" max="8398" width="7.42578125" style="595" customWidth="1"/>
    <col min="8399" max="8399" width="14.5703125" style="595" customWidth="1"/>
    <col min="8400" max="8400" width="6.42578125" style="595" customWidth="1"/>
    <col min="8401" max="8401" width="14.7109375" style="595" customWidth="1"/>
    <col min="8402" max="8402" width="6.85546875" style="595" customWidth="1"/>
    <col min="8403" max="8403" width="14.5703125" style="595" customWidth="1"/>
    <col min="8404" max="8404" width="7.140625" style="595" customWidth="1"/>
    <col min="8405" max="8405" width="14.5703125" style="595" customWidth="1"/>
    <col min="8406" max="8406" width="6.7109375" style="595" customWidth="1"/>
    <col min="8407" max="8407" width="14.140625" style="595" customWidth="1"/>
    <col min="8408" max="8408" width="5.85546875" style="595" customWidth="1"/>
    <col min="8409" max="8409" width="14" style="595" customWidth="1"/>
    <col min="8410" max="8410" width="8.28515625" style="595" customWidth="1"/>
    <col min="8411" max="8411" width="14.7109375" style="595" customWidth="1"/>
    <col min="8412" max="8412" width="7.140625" style="595" customWidth="1"/>
    <col min="8413" max="8413" width="14.7109375" style="595" customWidth="1"/>
    <col min="8414" max="8414" width="7.140625" style="595" customWidth="1"/>
    <col min="8415" max="8415" width="14" style="595" customWidth="1"/>
    <col min="8416" max="8416" width="6.42578125" style="595" customWidth="1"/>
    <col min="8417" max="8417" width="14" style="595" customWidth="1"/>
    <col min="8418" max="8418" width="6.28515625" style="595" customWidth="1"/>
    <col min="8419" max="8419" width="14.42578125" style="595" customWidth="1"/>
    <col min="8420" max="8420" width="6.28515625" style="595" customWidth="1"/>
    <col min="8421" max="8421" width="14.85546875" style="595" customWidth="1"/>
    <col min="8422" max="8422" width="7.28515625" style="595" customWidth="1"/>
    <col min="8423" max="8423" width="14.42578125" style="595" customWidth="1"/>
    <col min="8424" max="8424" width="7.28515625" style="595" customWidth="1"/>
    <col min="8425" max="8425" width="14.7109375" style="595" customWidth="1"/>
    <col min="8426" max="8426" width="6" style="595" customWidth="1"/>
    <col min="8427" max="8427" width="14.5703125" style="595" customWidth="1"/>
    <col min="8428" max="8428" width="6.42578125" style="595" customWidth="1"/>
    <col min="8429" max="8429" width="14.140625" style="595" customWidth="1"/>
    <col min="8430" max="8430" width="7.5703125" style="595" customWidth="1"/>
    <col min="8431" max="8431" width="14.5703125" style="595" customWidth="1"/>
    <col min="8432" max="8432" width="6.7109375" style="595" customWidth="1"/>
    <col min="8433" max="8433" width="15" style="595" customWidth="1"/>
    <col min="8434" max="8434" width="9.140625" style="595"/>
    <col min="8435" max="8435" width="14" style="595" customWidth="1"/>
    <col min="8436" max="8436" width="9.140625" style="595"/>
    <col min="8437" max="8437" width="14" style="595" customWidth="1"/>
    <col min="8438" max="8442" width="9.140625" style="595"/>
    <col min="8443" max="8443" width="41.28515625" style="595" customWidth="1"/>
    <col min="8444" max="8515" width="9.140625" style="595"/>
    <col min="8516" max="8516" width="21.140625" style="595" customWidth="1"/>
    <col min="8517" max="8517" width="7.28515625" style="595" customWidth="1"/>
    <col min="8518" max="8518" width="15" style="595" customWidth="1"/>
    <col min="8519" max="8519" width="23.28515625" style="595" customWidth="1"/>
    <col min="8520" max="8520" width="25.5703125" style="595" customWidth="1"/>
    <col min="8521" max="8521" width="7" style="595" bestFit="1" customWidth="1"/>
    <col min="8522" max="8522" width="6.42578125" style="595" bestFit="1" customWidth="1"/>
    <col min="8523" max="8523" width="7.85546875" style="595" customWidth="1"/>
    <col min="8524" max="8524" width="8.7109375" style="595" customWidth="1"/>
    <col min="8525" max="8525" width="7" style="595" bestFit="1" customWidth="1"/>
    <col min="8526" max="8526" width="6.42578125" style="595" bestFit="1" customWidth="1"/>
    <col min="8527" max="8527" width="6.85546875" style="595" customWidth="1"/>
    <col min="8528" max="8528" width="7.140625" style="595" customWidth="1"/>
    <col min="8529" max="8529" width="7" style="595" bestFit="1" customWidth="1"/>
    <col min="8530" max="8530" width="6.42578125" style="595" bestFit="1" customWidth="1"/>
    <col min="8531" max="8531" width="6" style="595" customWidth="1"/>
    <col min="8532" max="8532" width="9.7109375" style="595" customWidth="1"/>
    <col min="8533" max="8533" width="7" style="595" bestFit="1" customWidth="1"/>
    <col min="8534" max="8534" width="6.42578125" style="595" bestFit="1" customWidth="1"/>
    <col min="8535" max="8535" width="7.7109375" style="595" customWidth="1"/>
    <col min="8536" max="8540" width="7.28515625" style="595" customWidth="1"/>
    <col min="8541" max="8541" width="7" style="595" customWidth="1"/>
    <col min="8542" max="8543" width="5.140625" style="595" bestFit="1" customWidth="1"/>
    <col min="8544" max="8544" width="20.5703125" style="595" customWidth="1"/>
    <col min="8545" max="8545" width="8.85546875" style="595" customWidth="1"/>
    <col min="8546" max="8546" width="18.7109375" style="595" customWidth="1"/>
    <col min="8547" max="8547" width="9.7109375" style="595" customWidth="1"/>
    <col min="8548" max="8548" width="8.85546875" style="595" customWidth="1"/>
    <col min="8549" max="8549" width="10.7109375" style="595" customWidth="1"/>
    <col min="8550" max="8550" width="35.85546875" style="595" customWidth="1"/>
    <col min="8551" max="8551" width="18.7109375" style="595" customWidth="1"/>
    <col min="8552" max="8552" width="9.140625" style="595"/>
    <col min="8553" max="8553" width="9.28515625" style="595" bestFit="1" customWidth="1"/>
    <col min="8554" max="8554" width="9.140625" style="595"/>
    <col min="8555" max="8555" width="9" style="595" customWidth="1"/>
    <col min="8556" max="8556" width="9.5703125" style="595" customWidth="1"/>
    <col min="8557" max="8557" width="11.28515625" style="595" customWidth="1"/>
    <col min="8558" max="8558" width="9.140625" style="595"/>
    <col min="8559" max="8559" width="12.7109375" style="595" customWidth="1"/>
    <col min="8560" max="8560" width="9.140625" style="595"/>
    <col min="8561" max="8561" width="20.5703125" style="595" customWidth="1"/>
    <col min="8562" max="8562" width="15.7109375" style="595" customWidth="1"/>
    <col min="8563" max="8563" width="20.7109375" style="595" customWidth="1"/>
    <col min="8564" max="8564" width="18.28515625" style="595" customWidth="1"/>
    <col min="8565" max="8567" width="9.140625" style="595"/>
    <col min="8568" max="8568" width="13.5703125" style="595" customWidth="1"/>
    <col min="8569" max="8569" width="14.7109375" style="595" customWidth="1"/>
    <col min="8570" max="8570" width="7.28515625" style="595" customWidth="1"/>
    <col min="8571" max="8571" width="17.7109375" style="595" customWidth="1"/>
    <col min="8572" max="8572" width="13.5703125" style="595" customWidth="1"/>
    <col min="8573" max="8573" width="15.5703125" style="595" customWidth="1"/>
    <col min="8574" max="8574" width="16.28515625" style="595" customWidth="1"/>
    <col min="8575" max="8575" width="15.140625" style="595" customWidth="1"/>
    <col min="8576" max="8576" width="9.140625" style="595"/>
    <col min="8577" max="8577" width="14.140625" style="595" customWidth="1"/>
    <col min="8578" max="8578" width="6.5703125" style="595" customWidth="1"/>
    <col min="8579" max="8579" width="14.5703125" style="595" customWidth="1"/>
    <col min="8580" max="8580" width="6.42578125" style="595" customWidth="1"/>
    <col min="8581" max="8581" width="12.85546875" style="595" customWidth="1"/>
    <col min="8582" max="8582" width="7.85546875" style="595" customWidth="1"/>
    <col min="8583" max="8583" width="10.7109375" style="595" customWidth="1"/>
    <col min="8584" max="8584" width="7.140625" style="595" customWidth="1"/>
    <col min="8585" max="8585" width="11.85546875" style="595" customWidth="1"/>
    <col min="8586" max="8586" width="7.42578125" style="595" customWidth="1"/>
    <col min="8587" max="8587" width="12.140625" style="595" customWidth="1"/>
    <col min="8588" max="8588" width="8.42578125" style="595" customWidth="1"/>
    <col min="8589" max="8589" width="11.85546875" style="595" customWidth="1"/>
    <col min="8590" max="8590" width="6.85546875" style="595" customWidth="1"/>
    <col min="8591" max="8591" width="11.42578125" style="595" customWidth="1"/>
    <col min="8592" max="8592" width="9" style="595" customWidth="1"/>
    <col min="8593" max="8593" width="12.42578125" style="595" customWidth="1"/>
    <col min="8594" max="8594" width="5.85546875" style="595" customWidth="1"/>
    <col min="8595" max="8595" width="13.28515625" style="595" customWidth="1"/>
    <col min="8596" max="8596" width="8.85546875" style="595" customWidth="1"/>
    <col min="8597" max="8597" width="12" style="595" customWidth="1"/>
    <col min="8598" max="8598" width="7.5703125" style="595" customWidth="1"/>
    <col min="8599" max="8599" width="11.28515625" style="595" customWidth="1"/>
    <col min="8600" max="8600" width="6.5703125" style="595" customWidth="1"/>
    <col min="8601" max="8601" width="12.140625" style="595" customWidth="1"/>
    <col min="8602" max="8602" width="7.42578125" style="595" customWidth="1"/>
    <col min="8603" max="8603" width="12.42578125" style="595" customWidth="1"/>
    <col min="8604" max="8604" width="7.5703125" style="595" customWidth="1"/>
    <col min="8605" max="8605" width="11.28515625" style="595" customWidth="1"/>
    <col min="8606" max="8606" width="7.140625" style="595" customWidth="1"/>
    <col min="8607" max="8607" width="10.85546875" style="595" customWidth="1"/>
    <col min="8608" max="8608" width="6.140625" style="595" customWidth="1"/>
    <col min="8609" max="8609" width="10.7109375" style="595" customWidth="1"/>
    <col min="8610" max="8610" width="6.85546875" style="595" customWidth="1"/>
    <col min="8611" max="8611" width="10.7109375" style="595" customWidth="1"/>
    <col min="8612" max="8612" width="7" style="595" customWidth="1"/>
    <col min="8613" max="8613" width="11.85546875" style="595" customWidth="1"/>
    <col min="8614" max="8614" width="7.42578125" style="595" customWidth="1"/>
    <col min="8615" max="8615" width="10.7109375" style="595" customWidth="1"/>
    <col min="8616" max="8616" width="8.42578125" style="595" customWidth="1"/>
    <col min="8617" max="8617" width="11.140625" style="595" customWidth="1"/>
    <col min="8618" max="8618" width="8" style="595" customWidth="1"/>
    <col min="8619" max="8619" width="10.85546875" style="595" customWidth="1"/>
    <col min="8620" max="8620" width="7.5703125" style="595" customWidth="1"/>
    <col min="8621" max="8621" width="14.28515625" style="595" customWidth="1"/>
    <col min="8622" max="8622" width="6.5703125" style="595" customWidth="1"/>
    <col min="8623" max="8623" width="14.140625" style="595" customWidth="1"/>
    <col min="8624" max="8624" width="6.5703125" style="595" customWidth="1"/>
    <col min="8625" max="8625" width="14.28515625" style="595" customWidth="1"/>
    <col min="8626" max="8626" width="7.85546875" style="595" customWidth="1"/>
    <col min="8627" max="8627" width="14.140625" style="595" customWidth="1"/>
    <col min="8628" max="8628" width="6.85546875" style="595" customWidth="1"/>
    <col min="8629" max="8629" width="14.140625" style="595" customWidth="1"/>
    <col min="8630" max="8630" width="6.28515625" style="595" customWidth="1"/>
    <col min="8631" max="8631" width="14.140625" style="595" customWidth="1"/>
    <col min="8632" max="8632" width="5.85546875" style="595" customWidth="1"/>
    <col min="8633" max="8633" width="14.85546875" style="595" customWidth="1"/>
    <col min="8634" max="8634" width="6.85546875" style="595" customWidth="1"/>
    <col min="8635" max="8635" width="14.28515625" style="595" customWidth="1"/>
    <col min="8636" max="8636" width="7.28515625" style="595" customWidth="1"/>
    <col min="8637" max="8637" width="14.28515625" style="595" customWidth="1"/>
    <col min="8638" max="8638" width="6.42578125" style="595" customWidth="1"/>
    <col min="8639" max="8639" width="14" style="595" customWidth="1"/>
    <col min="8640" max="8640" width="7" style="595" customWidth="1"/>
    <col min="8641" max="8641" width="14" style="595" customWidth="1"/>
    <col min="8642" max="8642" width="6.42578125" style="595" customWidth="1"/>
    <col min="8643" max="8643" width="14.140625" style="595" customWidth="1"/>
    <col min="8644" max="8644" width="6.28515625" style="595" customWidth="1"/>
    <col min="8645" max="8645" width="14.140625" style="595" customWidth="1"/>
    <col min="8646" max="8646" width="7" style="595" customWidth="1"/>
    <col min="8647" max="8647" width="14.140625" style="595" customWidth="1"/>
    <col min="8648" max="8648" width="7.42578125" style="595" customWidth="1"/>
    <col min="8649" max="8649" width="14.5703125" style="595" customWidth="1"/>
    <col min="8650" max="8650" width="6.7109375" style="595" customWidth="1"/>
    <col min="8651" max="8651" width="14.140625" style="595" customWidth="1"/>
    <col min="8652" max="8652" width="7" style="595" customWidth="1"/>
    <col min="8653" max="8653" width="14.5703125" style="595" customWidth="1"/>
    <col min="8654" max="8654" width="7.42578125" style="595" customWidth="1"/>
    <col min="8655" max="8655" width="14.5703125" style="595" customWidth="1"/>
    <col min="8656" max="8656" width="6.42578125" style="595" customWidth="1"/>
    <col min="8657" max="8657" width="14.7109375" style="595" customWidth="1"/>
    <col min="8658" max="8658" width="6.85546875" style="595" customWidth="1"/>
    <col min="8659" max="8659" width="14.5703125" style="595" customWidth="1"/>
    <col min="8660" max="8660" width="7.140625" style="595" customWidth="1"/>
    <col min="8661" max="8661" width="14.5703125" style="595" customWidth="1"/>
    <col min="8662" max="8662" width="6.7109375" style="595" customWidth="1"/>
    <col min="8663" max="8663" width="14.140625" style="595" customWidth="1"/>
    <col min="8664" max="8664" width="5.85546875" style="595" customWidth="1"/>
    <col min="8665" max="8665" width="14" style="595" customWidth="1"/>
    <col min="8666" max="8666" width="8.28515625" style="595" customWidth="1"/>
    <col min="8667" max="8667" width="14.7109375" style="595" customWidth="1"/>
    <col min="8668" max="8668" width="7.140625" style="595" customWidth="1"/>
    <col min="8669" max="8669" width="14.7109375" style="595" customWidth="1"/>
    <col min="8670" max="8670" width="7.140625" style="595" customWidth="1"/>
    <col min="8671" max="8671" width="14" style="595" customWidth="1"/>
    <col min="8672" max="8672" width="6.42578125" style="595" customWidth="1"/>
    <col min="8673" max="8673" width="14" style="595" customWidth="1"/>
    <col min="8674" max="8674" width="6.28515625" style="595" customWidth="1"/>
    <col min="8675" max="8675" width="14.42578125" style="595" customWidth="1"/>
    <col min="8676" max="8676" width="6.28515625" style="595" customWidth="1"/>
    <col min="8677" max="8677" width="14.85546875" style="595" customWidth="1"/>
    <col min="8678" max="8678" width="7.28515625" style="595" customWidth="1"/>
    <col min="8679" max="8679" width="14.42578125" style="595" customWidth="1"/>
    <col min="8680" max="8680" width="7.28515625" style="595" customWidth="1"/>
    <col min="8681" max="8681" width="14.7109375" style="595" customWidth="1"/>
    <col min="8682" max="8682" width="6" style="595" customWidth="1"/>
    <col min="8683" max="8683" width="14.5703125" style="595" customWidth="1"/>
    <col min="8684" max="8684" width="6.42578125" style="595" customWidth="1"/>
    <col min="8685" max="8685" width="14.140625" style="595" customWidth="1"/>
    <col min="8686" max="8686" width="7.5703125" style="595" customWidth="1"/>
    <col min="8687" max="8687" width="14.5703125" style="595" customWidth="1"/>
    <col min="8688" max="8688" width="6.7109375" style="595" customWidth="1"/>
    <col min="8689" max="8689" width="15" style="595" customWidth="1"/>
    <col min="8690" max="8690" width="9.140625" style="595"/>
    <col min="8691" max="8691" width="14" style="595" customWidth="1"/>
    <col min="8692" max="8692" width="9.140625" style="595"/>
    <col min="8693" max="8693" width="14" style="595" customWidth="1"/>
    <col min="8694" max="8698" width="9.140625" style="595"/>
    <col min="8699" max="8699" width="41.28515625" style="595" customWidth="1"/>
    <col min="8700" max="8771" width="9.140625" style="595"/>
    <col min="8772" max="8772" width="21.140625" style="595" customWidth="1"/>
    <col min="8773" max="8773" width="7.28515625" style="595" customWidth="1"/>
    <col min="8774" max="8774" width="15" style="595" customWidth="1"/>
    <col min="8775" max="8775" width="23.28515625" style="595" customWidth="1"/>
    <col min="8776" max="8776" width="25.5703125" style="595" customWidth="1"/>
    <col min="8777" max="8777" width="7" style="595" bestFit="1" customWidth="1"/>
    <col min="8778" max="8778" width="6.42578125" style="595" bestFit="1" customWidth="1"/>
    <col min="8779" max="8779" width="7.85546875" style="595" customWidth="1"/>
    <col min="8780" max="8780" width="8.7109375" style="595" customWidth="1"/>
    <col min="8781" max="8781" width="7" style="595" bestFit="1" customWidth="1"/>
    <col min="8782" max="8782" width="6.42578125" style="595" bestFit="1" customWidth="1"/>
    <col min="8783" max="8783" width="6.85546875" style="595" customWidth="1"/>
    <col min="8784" max="8784" width="7.140625" style="595" customWidth="1"/>
    <col min="8785" max="8785" width="7" style="595" bestFit="1" customWidth="1"/>
    <col min="8786" max="8786" width="6.42578125" style="595" bestFit="1" customWidth="1"/>
    <col min="8787" max="8787" width="6" style="595" customWidth="1"/>
    <col min="8788" max="8788" width="9.7109375" style="595" customWidth="1"/>
    <col min="8789" max="8789" width="7" style="595" bestFit="1" customWidth="1"/>
    <col min="8790" max="8790" width="6.42578125" style="595" bestFit="1" customWidth="1"/>
    <col min="8791" max="8791" width="7.7109375" style="595" customWidth="1"/>
    <col min="8792" max="8796" width="7.28515625" style="595" customWidth="1"/>
    <col min="8797" max="8797" width="7" style="595" customWidth="1"/>
    <col min="8798" max="8799" width="5.140625" style="595" bestFit="1" customWidth="1"/>
    <col min="8800" max="8800" width="20.5703125" style="595" customWidth="1"/>
    <col min="8801" max="8801" width="8.85546875" style="595" customWidth="1"/>
    <col min="8802" max="8802" width="18.7109375" style="595" customWidth="1"/>
    <col min="8803" max="8803" width="9.7109375" style="595" customWidth="1"/>
    <col min="8804" max="8804" width="8.85546875" style="595" customWidth="1"/>
    <col min="8805" max="8805" width="10.7109375" style="595" customWidth="1"/>
    <col min="8806" max="8806" width="35.85546875" style="595" customWidth="1"/>
    <col min="8807" max="8807" width="18.7109375" style="595" customWidth="1"/>
    <col min="8808" max="8808" width="9.140625" style="595"/>
    <col min="8809" max="8809" width="9.28515625" style="595" bestFit="1" customWidth="1"/>
    <col min="8810" max="8810" width="9.140625" style="595"/>
    <col min="8811" max="8811" width="9" style="595" customWidth="1"/>
    <col min="8812" max="8812" width="9.5703125" style="595" customWidth="1"/>
    <col min="8813" max="8813" width="11.28515625" style="595" customWidth="1"/>
    <col min="8814" max="8814" width="9.140625" style="595"/>
    <col min="8815" max="8815" width="12.7109375" style="595" customWidth="1"/>
    <col min="8816" max="8816" width="9.140625" style="595"/>
    <col min="8817" max="8817" width="20.5703125" style="595" customWidth="1"/>
    <col min="8818" max="8818" width="15.7109375" style="595" customWidth="1"/>
    <col min="8819" max="8819" width="20.7109375" style="595" customWidth="1"/>
    <col min="8820" max="8820" width="18.28515625" style="595" customWidth="1"/>
    <col min="8821" max="8823" width="9.140625" style="595"/>
    <col min="8824" max="8824" width="13.5703125" style="595" customWidth="1"/>
    <col min="8825" max="8825" width="14.7109375" style="595" customWidth="1"/>
    <col min="8826" max="8826" width="7.28515625" style="595" customWidth="1"/>
    <col min="8827" max="8827" width="17.7109375" style="595" customWidth="1"/>
    <col min="8828" max="8828" width="13.5703125" style="595" customWidth="1"/>
    <col min="8829" max="8829" width="15.5703125" style="595" customWidth="1"/>
    <col min="8830" max="8830" width="16.28515625" style="595" customWidth="1"/>
    <col min="8831" max="8831" width="15.140625" style="595" customWidth="1"/>
    <col min="8832" max="8832" width="9.140625" style="595"/>
    <col min="8833" max="8833" width="14.140625" style="595" customWidth="1"/>
    <col min="8834" max="8834" width="6.5703125" style="595" customWidth="1"/>
    <col min="8835" max="8835" width="14.5703125" style="595" customWidth="1"/>
    <col min="8836" max="8836" width="6.42578125" style="595" customWidth="1"/>
    <col min="8837" max="8837" width="12.85546875" style="595" customWidth="1"/>
    <col min="8838" max="8838" width="7.85546875" style="595" customWidth="1"/>
    <col min="8839" max="8839" width="10.7109375" style="595" customWidth="1"/>
    <col min="8840" max="8840" width="7.140625" style="595" customWidth="1"/>
    <col min="8841" max="8841" width="11.85546875" style="595" customWidth="1"/>
    <col min="8842" max="8842" width="7.42578125" style="595" customWidth="1"/>
    <col min="8843" max="8843" width="12.140625" style="595" customWidth="1"/>
    <col min="8844" max="8844" width="8.42578125" style="595" customWidth="1"/>
    <col min="8845" max="8845" width="11.85546875" style="595" customWidth="1"/>
    <col min="8846" max="8846" width="6.85546875" style="595" customWidth="1"/>
    <col min="8847" max="8847" width="11.42578125" style="595" customWidth="1"/>
    <col min="8848" max="8848" width="9" style="595" customWidth="1"/>
    <col min="8849" max="8849" width="12.42578125" style="595" customWidth="1"/>
    <col min="8850" max="8850" width="5.85546875" style="595" customWidth="1"/>
    <col min="8851" max="8851" width="13.28515625" style="595" customWidth="1"/>
    <col min="8852" max="8852" width="8.85546875" style="595" customWidth="1"/>
    <col min="8853" max="8853" width="12" style="595" customWidth="1"/>
    <col min="8854" max="8854" width="7.5703125" style="595" customWidth="1"/>
    <col min="8855" max="8855" width="11.28515625" style="595" customWidth="1"/>
    <col min="8856" max="8856" width="6.5703125" style="595" customWidth="1"/>
    <col min="8857" max="8857" width="12.140625" style="595" customWidth="1"/>
    <col min="8858" max="8858" width="7.42578125" style="595" customWidth="1"/>
    <col min="8859" max="8859" width="12.42578125" style="595" customWidth="1"/>
    <col min="8860" max="8860" width="7.5703125" style="595" customWidth="1"/>
    <col min="8861" max="8861" width="11.28515625" style="595" customWidth="1"/>
    <col min="8862" max="8862" width="7.140625" style="595" customWidth="1"/>
    <col min="8863" max="8863" width="10.85546875" style="595" customWidth="1"/>
    <col min="8864" max="8864" width="6.140625" style="595" customWidth="1"/>
    <col min="8865" max="8865" width="10.7109375" style="595" customWidth="1"/>
    <col min="8866" max="8866" width="6.85546875" style="595" customWidth="1"/>
    <col min="8867" max="8867" width="10.7109375" style="595" customWidth="1"/>
    <col min="8868" max="8868" width="7" style="595" customWidth="1"/>
    <col min="8869" max="8869" width="11.85546875" style="595" customWidth="1"/>
    <col min="8870" max="8870" width="7.42578125" style="595" customWidth="1"/>
    <col min="8871" max="8871" width="10.7109375" style="595" customWidth="1"/>
    <col min="8872" max="8872" width="8.42578125" style="595" customWidth="1"/>
    <col min="8873" max="8873" width="11.140625" style="595" customWidth="1"/>
    <col min="8874" max="8874" width="8" style="595" customWidth="1"/>
    <col min="8875" max="8875" width="10.85546875" style="595" customWidth="1"/>
    <col min="8876" max="8876" width="7.5703125" style="595" customWidth="1"/>
    <col min="8877" max="8877" width="14.28515625" style="595" customWidth="1"/>
    <col min="8878" max="8878" width="6.5703125" style="595" customWidth="1"/>
    <col min="8879" max="8879" width="14.140625" style="595" customWidth="1"/>
    <col min="8880" max="8880" width="6.5703125" style="595" customWidth="1"/>
    <col min="8881" max="8881" width="14.28515625" style="595" customWidth="1"/>
    <col min="8882" max="8882" width="7.85546875" style="595" customWidth="1"/>
    <col min="8883" max="8883" width="14.140625" style="595" customWidth="1"/>
    <col min="8884" max="8884" width="6.85546875" style="595" customWidth="1"/>
    <col min="8885" max="8885" width="14.140625" style="595" customWidth="1"/>
    <col min="8886" max="8886" width="6.28515625" style="595" customWidth="1"/>
    <col min="8887" max="8887" width="14.140625" style="595" customWidth="1"/>
    <col min="8888" max="8888" width="5.85546875" style="595" customWidth="1"/>
    <col min="8889" max="8889" width="14.85546875" style="595" customWidth="1"/>
    <col min="8890" max="8890" width="6.85546875" style="595" customWidth="1"/>
    <col min="8891" max="8891" width="14.28515625" style="595" customWidth="1"/>
    <col min="8892" max="8892" width="7.28515625" style="595" customWidth="1"/>
    <col min="8893" max="8893" width="14.28515625" style="595" customWidth="1"/>
    <col min="8894" max="8894" width="6.42578125" style="595" customWidth="1"/>
    <col min="8895" max="8895" width="14" style="595" customWidth="1"/>
    <col min="8896" max="8896" width="7" style="595" customWidth="1"/>
    <col min="8897" max="8897" width="14" style="595" customWidth="1"/>
    <col min="8898" max="8898" width="6.42578125" style="595" customWidth="1"/>
    <col min="8899" max="8899" width="14.140625" style="595" customWidth="1"/>
    <col min="8900" max="8900" width="6.28515625" style="595" customWidth="1"/>
    <col min="8901" max="8901" width="14.140625" style="595" customWidth="1"/>
    <col min="8902" max="8902" width="7" style="595" customWidth="1"/>
    <col min="8903" max="8903" width="14.140625" style="595" customWidth="1"/>
    <col min="8904" max="8904" width="7.42578125" style="595" customWidth="1"/>
    <col min="8905" max="8905" width="14.5703125" style="595" customWidth="1"/>
    <col min="8906" max="8906" width="6.7109375" style="595" customWidth="1"/>
    <col min="8907" max="8907" width="14.140625" style="595" customWidth="1"/>
    <col min="8908" max="8908" width="7" style="595" customWidth="1"/>
    <col min="8909" max="8909" width="14.5703125" style="595" customWidth="1"/>
    <col min="8910" max="8910" width="7.42578125" style="595" customWidth="1"/>
    <col min="8911" max="8911" width="14.5703125" style="595" customWidth="1"/>
    <col min="8912" max="8912" width="6.42578125" style="595" customWidth="1"/>
    <col min="8913" max="8913" width="14.7109375" style="595" customWidth="1"/>
    <col min="8914" max="8914" width="6.85546875" style="595" customWidth="1"/>
    <col min="8915" max="8915" width="14.5703125" style="595" customWidth="1"/>
    <col min="8916" max="8916" width="7.140625" style="595" customWidth="1"/>
    <col min="8917" max="8917" width="14.5703125" style="595" customWidth="1"/>
    <col min="8918" max="8918" width="6.7109375" style="595" customWidth="1"/>
    <col min="8919" max="8919" width="14.140625" style="595" customWidth="1"/>
    <col min="8920" max="8920" width="5.85546875" style="595" customWidth="1"/>
    <col min="8921" max="8921" width="14" style="595" customWidth="1"/>
    <col min="8922" max="8922" width="8.28515625" style="595" customWidth="1"/>
    <col min="8923" max="8923" width="14.7109375" style="595" customWidth="1"/>
    <col min="8924" max="8924" width="7.140625" style="595" customWidth="1"/>
    <col min="8925" max="8925" width="14.7109375" style="595" customWidth="1"/>
    <col min="8926" max="8926" width="7.140625" style="595" customWidth="1"/>
    <col min="8927" max="8927" width="14" style="595" customWidth="1"/>
    <col min="8928" max="8928" width="6.42578125" style="595" customWidth="1"/>
    <col min="8929" max="8929" width="14" style="595" customWidth="1"/>
    <col min="8930" max="8930" width="6.28515625" style="595" customWidth="1"/>
    <col min="8931" max="8931" width="14.42578125" style="595" customWidth="1"/>
    <col min="8932" max="8932" width="6.28515625" style="595" customWidth="1"/>
    <col min="8933" max="8933" width="14.85546875" style="595" customWidth="1"/>
    <col min="8934" max="8934" width="7.28515625" style="595" customWidth="1"/>
    <col min="8935" max="8935" width="14.42578125" style="595" customWidth="1"/>
    <col min="8936" max="8936" width="7.28515625" style="595" customWidth="1"/>
    <col min="8937" max="8937" width="14.7109375" style="595" customWidth="1"/>
    <col min="8938" max="8938" width="6" style="595" customWidth="1"/>
    <col min="8939" max="8939" width="14.5703125" style="595" customWidth="1"/>
    <col min="8940" max="8940" width="6.42578125" style="595" customWidth="1"/>
    <col min="8941" max="8941" width="14.140625" style="595" customWidth="1"/>
    <col min="8942" max="8942" width="7.5703125" style="595" customWidth="1"/>
    <col min="8943" max="8943" width="14.5703125" style="595" customWidth="1"/>
    <col min="8944" max="8944" width="6.7109375" style="595" customWidth="1"/>
    <col min="8945" max="8945" width="15" style="595" customWidth="1"/>
    <col min="8946" max="8946" width="9.140625" style="595"/>
    <col min="8947" max="8947" width="14" style="595" customWidth="1"/>
    <col min="8948" max="8948" width="9.140625" style="595"/>
    <col min="8949" max="8949" width="14" style="595" customWidth="1"/>
    <col min="8950" max="8954" width="9.140625" style="595"/>
    <col min="8955" max="8955" width="41.28515625" style="595" customWidth="1"/>
    <col min="8956" max="9027" width="9.140625" style="595"/>
    <col min="9028" max="9028" width="21.140625" style="595" customWidth="1"/>
    <col min="9029" max="9029" width="7.28515625" style="595" customWidth="1"/>
    <col min="9030" max="9030" width="15" style="595" customWidth="1"/>
    <col min="9031" max="9031" width="23.28515625" style="595" customWidth="1"/>
    <col min="9032" max="9032" width="25.5703125" style="595" customWidth="1"/>
    <col min="9033" max="9033" width="7" style="595" bestFit="1" customWidth="1"/>
    <col min="9034" max="9034" width="6.42578125" style="595" bestFit="1" customWidth="1"/>
    <col min="9035" max="9035" width="7.85546875" style="595" customWidth="1"/>
    <col min="9036" max="9036" width="8.7109375" style="595" customWidth="1"/>
    <col min="9037" max="9037" width="7" style="595" bestFit="1" customWidth="1"/>
    <col min="9038" max="9038" width="6.42578125" style="595" bestFit="1" customWidth="1"/>
    <col min="9039" max="9039" width="6.85546875" style="595" customWidth="1"/>
    <col min="9040" max="9040" width="7.140625" style="595" customWidth="1"/>
    <col min="9041" max="9041" width="7" style="595" bestFit="1" customWidth="1"/>
    <col min="9042" max="9042" width="6.42578125" style="595" bestFit="1" customWidth="1"/>
    <col min="9043" max="9043" width="6" style="595" customWidth="1"/>
    <col min="9044" max="9044" width="9.7109375" style="595" customWidth="1"/>
    <col min="9045" max="9045" width="7" style="595" bestFit="1" customWidth="1"/>
    <col min="9046" max="9046" width="6.42578125" style="595" bestFit="1" customWidth="1"/>
    <col min="9047" max="9047" width="7.7109375" style="595" customWidth="1"/>
    <col min="9048" max="9052" width="7.28515625" style="595" customWidth="1"/>
    <col min="9053" max="9053" width="7" style="595" customWidth="1"/>
    <col min="9054" max="9055" width="5.140625" style="595" bestFit="1" customWidth="1"/>
    <col min="9056" max="9056" width="20.5703125" style="595" customWidth="1"/>
    <col min="9057" max="9057" width="8.85546875" style="595" customWidth="1"/>
    <col min="9058" max="9058" width="18.7109375" style="595" customWidth="1"/>
    <col min="9059" max="9059" width="9.7109375" style="595" customWidth="1"/>
    <col min="9060" max="9060" width="8.85546875" style="595" customWidth="1"/>
    <col min="9061" max="9061" width="10.7109375" style="595" customWidth="1"/>
    <col min="9062" max="9062" width="35.85546875" style="595" customWidth="1"/>
    <col min="9063" max="9063" width="18.7109375" style="595" customWidth="1"/>
    <col min="9064" max="9064" width="9.140625" style="595"/>
    <col min="9065" max="9065" width="9.28515625" style="595" bestFit="1" customWidth="1"/>
    <col min="9066" max="9066" width="9.140625" style="595"/>
    <col min="9067" max="9067" width="9" style="595" customWidth="1"/>
    <col min="9068" max="9068" width="9.5703125" style="595" customWidth="1"/>
    <col min="9069" max="9069" width="11.28515625" style="595" customWidth="1"/>
    <col min="9070" max="9070" width="9.140625" style="595"/>
    <col min="9071" max="9071" width="12.7109375" style="595" customWidth="1"/>
    <col min="9072" max="9072" width="9.140625" style="595"/>
    <col min="9073" max="9073" width="20.5703125" style="595" customWidth="1"/>
    <col min="9074" max="9074" width="15.7109375" style="595" customWidth="1"/>
    <col min="9075" max="9075" width="20.7109375" style="595" customWidth="1"/>
    <col min="9076" max="9076" width="18.28515625" style="595" customWidth="1"/>
    <col min="9077" max="9079" width="9.140625" style="595"/>
    <col min="9080" max="9080" width="13.5703125" style="595" customWidth="1"/>
    <col min="9081" max="9081" width="14.7109375" style="595" customWidth="1"/>
    <col min="9082" max="9082" width="7.28515625" style="595" customWidth="1"/>
    <col min="9083" max="9083" width="17.7109375" style="595" customWidth="1"/>
    <col min="9084" max="9084" width="13.5703125" style="595" customWidth="1"/>
    <col min="9085" max="9085" width="15.5703125" style="595" customWidth="1"/>
    <col min="9086" max="9086" width="16.28515625" style="595" customWidth="1"/>
    <col min="9087" max="9087" width="15.140625" style="595" customWidth="1"/>
    <col min="9088" max="9088" width="9.140625" style="595"/>
    <col min="9089" max="9089" width="14.140625" style="595" customWidth="1"/>
    <col min="9090" max="9090" width="6.5703125" style="595" customWidth="1"/>
    <col min="9091" max="9091" width="14.5703125" style="595" customWidth="1"/>
    <col min="9092" max="9092" width="6.42578125" style="595" customWidth="1"/>
    <col min="9093" max="9093" width="12.85546875" style="595" customWidth="1"/>
    <col min="9094" max="9094" width="7.85546875" style="595" customWidth="1"/>
    <col min="9095" max="9095" width="10.7109375" style="595" customWidth="1"/>
    <col min="9096" max="9096" width="7.140625" style="595" customWidth="1"/>
    <col min="9097" max="9097" width="11.85546875" style="595" customWidth="1"/>
    <col min="9098" max="9098" width="7.42578125" style="595" customWidth="1"/>
    <col min="9099" max="9099" width="12.140625" style="595" customWidth="1"/>
    <col min="9100" max="9100" width="8.42578125" style="595" customWidth="1"/>
    <col min="9101" max="9101" width="11.85546875" style="595" customWidth="1"/>
    <col min="9102" max="9102" width="6.85546875" style="595" customWidth="1"/>
    <col min="9103" max="9103" width="11.42578125" style="595" customWidth="1"/>
    <col min="9104" max="9104" width="9" style="595" customWidth="1"/>
    <col min="9105" max="9105" width="12.42578125" style="595" customWidth="1"/>
    <col min="9106" max="9106" width="5.85546875" style="595" customWidth="1"/>
    <col min="9107" max="9107" width="13.28515625" style="595" customWidth="1"/>
    <col min="9108" max="9108" width="8.85546875" style="595" customWidth="1"/>
    <col min="9109" max="9109" width="12" style="595" customWidth="1"/>
    <col min="9110" max="9110" width="7.5703125" style="595" customWidth="1"/>
    <col min="9111" max="9111" width="11.28515625" style="595" customWidth="1"/>
    <col min="9112" max="9112" width="6.5703125" style="595" customWidth="1"/>
    <col min="9113" max="9113" width="12.140625" style="595" customWidth="1"/>
    <col min="9114" max="9114" width="7.42578125" style="595" customWidth="1"/>
    <col min="9115" max="9115" width="12.42578125" style="595" customWidth="1"/>
    <col min="9116" max="9116" width="7.5703125" style="595" customWidth="1"/>
    <col min="9117" max="9117" width="11.28515625" style="595" customWidth="1"/>
    <col min="9118" max="9118" width="7.140625" style="595" customWidth="1"/>
    <col min="9119" max="9119" width="10.85546875" style="595" customWidth="1"/>
    <col min="9120" max="9120" width="6.140625" style="595" customWidth="1"/>
    <col min="9121" max="9121" width="10.7109375" style="595" customWidth="1"/>
    <col min="9122" max="9122" width="6.85546875" style="595" customWidth="1"/>
    <col min="9123" max="9123" width="10.7109375" style="595" customWidth="1"/>
    <col min="9124" max="9124" width="7" style="595" customWidth="1"/>
    <col min="9125" max="9125" width="11.85546875" style="595" customWidth="1"/>
    <col min="9126" max="9126" width="7.42578125" style="595" customWidth="1"/>
    <col min="9127" max="9127" width="10.7109375" style="595" customWidth="1"/>
    <col min="9128" max="9128" width="8.42578125" style="595" customWidth="1"/>
    <col min="9129" max="9129" width="11.140625" style="595" customWidth="1"/>
    <col min="9130" max="9130" width="8" style="595" customWidth="1"/>
    <col min="9131" max="9131" width="10.85546875" style="595" customWidth="1"/>
    <col min="9132" max="9132" width="7.5703125" style="595" customWidth="1"/>
    <col min="9133" max="9133" width="14.28515625" style="595" customWidth="1"/>
    <col min="9134" max="9134" width="6.5703125" style="595" customWidth="1"/>
    <col min="9135" max="9135" width="14.140625" style="595" customWidth="1"/>
    <col min="9136" max="9136" width="6.5703125" style="595" customWidth="1"/>
    <col min="9137" max="9137" width="14.28515625" style="595" customWidth="1"/>
    <col min="9138" max="9138" width="7.85546875" style="595" customWidth="1"/>
    <col min="9139" max="9139" width="14.140625" style="595" customWidth="1"/>
    <col min="9140" max="9140" width="6.85546875" style="595" customWidth="1"/>
    <col min="9141" max="9141" width="14.140625" style="595" customWidth="1"/>
    <col min="9142" max="9142" width="6.28515625" style="595" customWidth="1"/>
    <col min="9143" max="9143" width="14.140625" style="595" customWidth="1"/>
    <col min="9144" max="9144" width="5.85546875" style="595" customWidth="1"/>
    <col min="9145" max="9145" width="14.85546875" style="595" customWidth="1"/>
    <col min="9146" max="9146" width="6.85546875" style="595" customWidth="1"/>
    <col min="9147" max="9147" width="14.28515625" style="595" customWidth="1"/>
    <col min="9148" max="9148" width="7.28515625" style="595" customWidth="1"/>
    <col min="9149" max="9149" width="14.28515625" style="595" customWidth="1"/>
    <col min="9150" max="9150" width="6.42578125" style="595" customWidth="1"/>
    <col min="9151" max="9151" width="14" style="595" customWidth="1"/>
    <col min="9152" max="9152" width="7" style="595" customWidth="1"/>
    <col min="9153" max="9153" width="14" style="595" customWidth="1"/>
    <col min="9154" max="9154" width="6.42578125" style="595" customWidth="1"/>
    <col min="9155" max="9155" width="14.140625" style="595" customWidth="1"/>
    <col min="9156" max="9156" width="6.28515625" style="595" customWidth="1"/>
    <col min="9157" max="9157" width="14.140625" style="595" customWidth="1"/>
    <col min="9158" max="9158" width="7" style="595" customWidth="1"/>
    <col min="9159" max="9159" width="14.140625" style="595" customWidth="1"/>
    <col min="9160" max="9160" width="7.42578125" style="595" customWidth="1"/>
    <col min="9161" max="9161" width="14.5703125" style="595" customWidth="1"/>
    <col min="9162" max="9162" width="6.7109375" style="595" customWidth="1"/>
    <col min="9163" max="9163" width="14.140625" style="595" customWidth="1"/>
    <col min="9164" max="9164" width="7" style="595" customWidth="1"/>
    <col min="9165" max="9165" width="14.5703125" style="595" customWidth="1"/>
    <col min="9166" max="9166" width="7.42578125" style="595" customWidth="1"/>
    <col min="9167" max="9167" width="14.5703125" style="595" customWidth="1"/>
    <col min="9168" max="9168" width="6.42578125" style="595" customWidth="1"/>
    <col min="9169" max="9169" width="14.7109375" style="595" customWidth="1"/>
    <col min="9170" max="9170" width="6.85546875" style="595" customWidth="1"/>
    <col min="9171" max="9171" width="14.5703125" style="595" customWidth="1"/>
    <col min="9172" max="9172" width="7.140625" style="595" customWidth="1"/>
    <col min="9173" max="9173" width="14.5703125" style="595" customWidth="1"/>
    <col min="9174" max="9174" width="6.7109375" style="595" customWidth="1"/>
    <col min="9175" max="9175" width="14.140625" style="595" customWidth="1"/>
    <col min="9176" max="9176" width="5.85546875" style="595" customWidth="1"/>
    <col min="9177" max="9177" width="14" style="595" customWidth="1"/>
    <col min="9178" max="9178" width="8.28515625" style="595" customWidth="1"/>
    <col min="9179" max="9179" width="14.7109375" style="595" customWidth="1"/>
    <col min="9180" max="9180" width="7.140625" style="595" customWidth="1"/>
    <col min="9181" max="9181" width="14.7109375" style="595" customWidth="1"/>
    <col min="9182" max="9182" width="7.140625" style="595" customWidth="1"/>
    <col min="9183" max="9183" width="14" style="595" customWidth="1"/>
    <col min="9184" max="9184" width="6.42578125" style="595" customWidth="1"/>
    <col min="9185" max="9185" width="14" style="595" customWidth="1"/>
    <col min="9186" max="9186" width="6.28515625" style="595" customWidth="1"/>
    <col min="9187" max="9187" width="14.42578125" style="595" customWidth="1"/>
    <col min="9188" max="9188" width="6.28515625" style="595" customWidth="1"/>
    <col min="9189" max="9189" width="14.85546875" style="595" customWidth="1"/>
    <col min="9190" max="9190" width="7.28515625" style="595" customWidth="1"/>
    <col min="9191" max="9191" width="14.42578125" style="595" customWidth="1"/>
    <col min="9192" max="9192" width="7.28515625" style="595" customWidth="1"/>
    <col min="9193" max="9193" width="14.7109375" style="595" customWidth="1"/>
    <col min="9194" max="9194" width="6" style="595" customWidth="1"/>
    <col min="9195" max="9195" width="14.5703125" style="595" customWidth="1"/>
    <col min="9196" max="9196" width="6.42578125" style="595" customWidth="1"/>
    <col min="9197" max="9197" width="14.140625" style="595" customWidth="1"/>
    <col min="9198" max="9198" width="7.5703125" style="595" customWidth="1"/>
    <col min="9199" max="9199" width="14.5703125" style="595" customWidth="1"/>
    <col min="9200" max="9200" width="6.7109375" style="595" customWidth="1"/>
    <col min="9201" max="9201" width="15" style="595" customWidth="1"/>
    <col min="9202" max="9202" width="9.140625" style="595"/>
    <col min="9203" max="9203" width="14" style="595" customWidth="1"/>
    <col min="9204" max="9204" width="9.140625" style="595"/>
    <col min="9205" max="9205" width="14" style="595" customWidth="1"/>
    <col min="9206" max="9210" width="9.140625" style="595"/>
    <col min="9211" max="9211" width="41.28515625" style="595" customWidth="1"/>
    <col min="9212" max="9283" width="9.140625" style="595"/>
    <col min="9284" max="9284" width="21.140625" style="595" customWidth="1"/>
    <col min="9285" max="9285" width="7.28515625" style="595" customWidth="1"/>
    <col min="9286" max="9286" width="15" style="595" customWidth="1"/>
    <col min="9287" max="9287" width="23.28515625" style="595" customWidth="1"/>
    <col min="9288" max="9288" width="25.5703125" style="595" customWidth="1"/>
    <col min="9289" max="9289" width="7" style="595" bestFit="1" customWidth="1"/>
    <col min="9290" max="9290" width="6.42578125" style="595" bestFit="1" customWidth="1"/>
    <col min="9291" max="9291" width="7.85546875" style="595" customWidth="1"/>
    <col min="9292" max="9292" width="8.7109375" style="595" customWidth="1"/>
    <col min="9293" max="9293" width="7" style="595" bestFit="1" customWidth="1"/>
    <col min="9294" max="9294" width="6.42578125" style="595" bestFit="1" customWidth="1"/>
    <col min="9295" max="9295" width="6.85546875" style="595" customWidth="1"/>
    <col min="9296" max="9296" width="7.140625" style="595" customWidth="1"/>
    <col min="9297" max="9297" width="7" style="595" bestFit="1" customWidth="1"/>
    <col min="9298" max="9298" width="6.42578125" style="595" bestFit="1" customWidth="1"/>
    <col min="9299" max="9299" width="6" style="595" customWidth="1"/>
    <col min="9300" max="9300" width="9.7109375" style="595" customWidth="1"/>
    <col min="9301" max="9301" width="7" style="595" bestFit="1" customWidth="1"/>
    <col min="9302" max="9302" width="6.42578125" style="595" bestFit="1" customWidth="1"/>
    <col min="9303" max="9303" width="7.7109375" style="595" customWidth="1"/>
    <col min="9304" max="9308" width="7.28515625" style="595" customWidth="1"/>
    <col min="9309" max="9309" width="7" style="595" customWidth="1"/>
    <col min="9310" max="9311" width="5.140625" style="595" bestFit="1" customWidth="1"/>
    <col min="9312" max="9312" width="20.5703125" style="595" customWidth="1"/>
    <col min="9313" max="9313" width="8.85546875" style="595" customWidth="1"/>
    <col min="9314" max="9314" width="18.7109375" style="595" customWidth="1"/>
    <col min="9315" max="9315" width="9.7109375" style="595" customWidth="1"/>
    <col min="9316" max="9316" width="8.85546875" style="595" customWidth="1"/>
    <col min="9317" max="9317" width="10.7109375" style="595" customWidth="1"/>
    <col min="9318" max="9318" width="35.85546875" style="595" customWidth="1"/>
    <col min="9319" max="9319" width="18.7109375" style="595" customWidth="1"/>
    <col min="9320" max="9320" width="9.140625" style="595"/>
    <col min="9321" max="9321" width="9.28515625" style="595" bestFit="1" customWidth="1"/>
    <col min="9322" max="9322" width="9.140625" style="595"/>
    <col min="9323" max="9323" width="9" style="595" customWidth="1"/>
    <col min="9324" max="9324" width="9.5703125" style="595" customWidth="1"/>
    <col min="9325" max="9325" width="11.28515625" style="595" customWidth="1"/>
    <col min="9326" max="9326" width="9.140625" style="595"/>
    <col min="9327" max="9327" width="12.7109375" style="595" customWidth="1"/>
    <col min="9328" max="9328" width="9.140625" style="595"/>
    <col min="9329" max="9329" width="20.5703125" style="595" customWidth="1"/>
    <col min="9330" max="9330" width="15.7109375" style="595" customWidth="1"/>
    <col min="9331" max="9331" width="20.7109375" style="595" customWidth="1"/>
    <col min="9332" max="9332" width="18.28515625" style="595" customWidth="1"/>
    <col min="9333" max="9335" width="9.140625" style="595"/>
    <col min="9336" max="9336" width="13.5703125" style="595" customWidth="1"/>
    <col min="9337" max="9337" width="14.7109375" style="595" customWidth="1"/>
    <col min="9338" max="9338" width="7.28515625" style="595" customWidth="1"/>
    <col min="9339" max="9339" width="17.7109375" style="595" customWidth="1"/>
    <col min="9340" max="9340" width="13.5703125" style="595" customWidth="1"/>
    <col min="9341" max="9341" width="15.5703125" style="595" customWidth="1"/>
    <col min="9342" max="9342" width="16.28515625" style="595" customWidth="1"/>
    <col min="9343" max="9343" width="15.140625" style="595" customWidth="1"/>
    <col min="9344" max="9344" width="9.140625" style="595"/>
    <col min="9345" max="9345" width="14.140625" style="595" customWidth="1"/>
    <col min="9346" max="9346" width="6.5703125" style="595" customWidth="1"/>
    <col min="9347" max="9347" width="14.5703125" style="595" customWidth="1"/>
    <col min="9348" max="9348" width="6.42578125" style="595" customWidth="1"/>
    <col min="9349" max="9349" width="12.85546875" style="595" customWidth="1"/>
    <col min="9350" max="9350" width="7.85546875" style="595" customWidth="1"/>
    <col min="9351" max="9351" width="10.7109375" style="595" customWidth="1"/>
    <col min="9352" max="9352" width="7.140625" style="595" customWidth="1"/>
    <col min="9353" max="9353" width="11.85546875" style="595" customWidth="1"/>
    <col min="9354" max="9354" width="7.42578125" style="595" customWidth="1"/>
    <col min="9355" max="9355" width="12.140625" style="595" customWidth="1"/>
    <col min="9356" max="9356" width="8.42578125" style="595" customWidth="1"/>
    <col min="9357" max="9357" width="11.85546875" style="595" customWidth="1"/>
    <col min="9358" max="9358" width="6.85546875" style="595" customWidth="1"/>
    <col min="9359" max="9359" width="11.42578125" style="595" customWidth="1"/>
    <col min="9360" max="9360" width="9" style="595" customWidth="1"/>
    <col min="9361" max="9361" width="12.42578125" style="595" customWidth="1"/>
    <col min="9362" max="9362" width="5.85546875" style="595" customWidth="1"/>
    <col min="9363" max="9363" width="13.28515625" style="595" customWidth="1"/>
    <col min="9364" max="9364" width="8.85546875" style="595" customWidth="1"/>
    <col min="9365" max="9365" width="12" style="595" customWidth="1"/>
    <col min="9366" max="9366" width="7.5703125" style="595" customWidth="1"/>
    <col min="9367" max="9367" width="11.28515625" style="595" customWidth="1"/>
    <col min="9368" max="9368" width="6.5703125" style="595" customWidth="1"/>
    <col min="9369" max="9369" width="12.140625" style="595" customWidth="1"/>
    <col min="9370" max="9370" width="7.42578125" style="595" customWidth="1"/>
    <col min="9371" max="9371" width="12.42578125" style="595" customWidth="1"/>
    <col min="9372" max="9372" width="7.5703125" style="595" customWidth="1"/>
    <col min="9373" max="9373" width="11.28515625" style="595" customWidth="1"/>
    <col min="9374" max="9374" width="7.140625" style="595" customWidth="1"/>
    <col min="9375" max="9375" width="10.85546875" style="595" customWidth="1"/>
    <col min="9376" max="9376" width="6.140625" style="595" customWidth="1"/>
    <col min="9377" max="9377" width="10.7109375" style="595" customWidth="1"/>
    <col min="9378" max="9378" width="6.85546875" style="595" customWidth="1"/>
    <col min="9379" max="9379" width="10.7109375" style="595" customWidth="1"/>
    <col min="9380" max="9380" width="7" style="595" customWidth="1"/>
    <col min="9381" max="9381" width="11.85546875" style="595" customWidth="1"/>
    <col min="9382" max="9382" width="7.42578125" style="595" customWidth="1"/>
    <col min="9383" max="9383" width="10.7109375" style="595" customWidth="1"/>
    <col min="9384" max="9384" width="8.42578125" style="595" customWidth="1"/>
    <col min="9385" max="9385" width="11.140625" style="595" customWidth="1"/>
    <col min="9386" max="9386" width="8" style="595" customWidth="1"/>
    <col min="9387" max="9387" width="10.85546875" style="595" customWidth="1"/>
    <col min="9388" max="9388" width="7.5703125" style="595" customWidth="1"/>
    <col min="9389" max="9389" width="14.28515625" style="595" customWidth="1"/>
    <col min="9390" max="9390" width="6.5703125" style="595" customWidth="1"/>
    <col min="9391" max="9391" width="14.140625" style="595" customWidth="1"/>
    <col min="9392" max="9392" width="6.5703125" style="595" customWidth="1"/>
    <col min="9393" max="9393" width="14.28515625" style="595" customWidth="1"/>
    <col min="9394" max="9394" width="7.85546875" style="595" customWidth="1"/>
    <col min="9395" max="9395" width="14.140625" style="595" customWidth="1"/>
    <col min="9396" max="9396" width="6.85546875" style="595" customWidth="1"/>
    <col min="9397" max="9397" width="14.140625" style="595" customWidth="1"/>
    <col min="9398" max="9398" width="6.28515625" style="595" customWidth="1"/>
    <col min="9399" max="9399" width="14.140625" style="595" customWidth="1"/>
    <col min="9400" max="9400" width="5.85546875" style="595" customWidth="1"/>
    <col min="9401" max="9401" width="14.85546875" style="595" customWidth="1"/>
    <col min="9402" max="9402" width="6.85546875" style="595" customWidth="1"/>
    <col min="9403" max="9403" width="14.28515625" style="595" customWidth="1"/>
    <col min="9404" max="9404" width="7.28515625" style="595" customWidth="1"/>
    <col min="9405" max="9405" width="14.28515625" style="595" customWidth="1"/>
    <col min="9406" max="9406" width="6.42578125" style="595" customWidth="1"/>
    <col min="9407" max="9407" width="14" style="595" customWidth="1"/>
    <col min="9408" max="9408" width="7" style="595" customWidth="1"/>
    <col min="9409" max="9409" width="14" style="595" customWidth="1"/>
    <col min="9410" max="9410" width="6.42578125" style="595" customWidth="1"/>
    <col min="9411" max="9411" width="14.140625" style="595" customWidth="1"/>
    <col min="9412" max="9412" width="6.28515625" style="595" customWidth="1"/>
    <col min="9413" max="9413" width="14.140625" style="595" customWidth="1"/>
    <col min="9414" max="9414" width="7" style="595" customWidth="1"/>
    <col min="9415" max="9415" width="14.140625" style="595" customWidth="1"/>
    <col min="9416" max="9416" width="7.42578125" style="595" customWidth="1"/>
    <col min="9417" max="9417" width="14.5703125" style="595" customWidth="1"/>
    <col min="9418" max="9418" width="6.7109375" style="595" customWidth="1"/>
    <col min="9419" max="9419" width="14.140625" style="595" customWidth="1"/>
    <col min="9420" max="9420" width="7" style="595" customWidth="1"/>
    <col min="9421" max="9421" width="14.5703125" style="595" customWidth="1"/>
    <col min="9422" max="9422" width="7.42578125" style="595" customWidth="1"/>
    <col min="9423" max="9423" width="14.5703125" style="595" customWidth="1"/>
    <col min="9424" max="9424" width="6.42578125" style="595" customWidth="1"/>
    <col min="9425" max="9425" width="14.7109375" style="595" customWidth="1"/>
    <col min="9426" max="9426" width="6.85546875" style="595" customWidth="1"/>
    <col min="9427" max="9427" width="14.5703125" style="595" customWidth="1"/>
    <col min="9428" max="9428" width="7.140625" style="595" customWidth="1"/>
    <col min="9429" max="9429" width="14.5703125" style="595" customWidth="1"/>
    <col min="9430" max="9430" width="6.7109375" style="595" customWidth="1"/>
    <col min="9431" max="9431" width="14.140625" style="595" customWidth="1"/>
    <col min="9432" max="9432" width="5.85546875" style="595" customWidth="1"/>
    <col min="9433" max="9433" width="14" style="595" customWidth="1"/>
    <col min="9434" max="9434" width="8.28515625" style="595" customWidth="1"/>
    <col min="9435" max="9435" width="14.7109375" style="595" customWidth="1"/>
    <col min="9436" max="9436" width="7.140625" style="595" customWidth="1"/>
    <col min="9437" max="9437" width="14.7109375" style="595" customWidth="1"/>
    <col min="9438" max="9438" width="7.140625" style="595" customWidth="1"/>
    <col min="9439" max="9439" width="14" style="595" customWidth="1"/>
    <col min="9440" max="9440" width="6.42578125" style="595" customWidth="1"/>
    <col min="9441" max="9441" width="14" style="595" customWidth="1"/>
    <col min="9442" max="9442" width="6.28515625" style="595" customWidth="1"/>
    <col min="9443" max="9443" width="14.42578125" style="595" customWidth="1"/>
    <col min="9444" max="9444" width="6.28515625" style="595" customWidth="1"/>
    <col min="9445" max="9445" width="14.85546875" style="595" customWidth="1"/>
    <col min="9446" max="9446" width="7.28515625" style="595" customWidth="1"/>
    <col min="9447" max="9447" width="14.42578125" style="595" customWidth="1"/>
    <col min="9448" max="9448" width="7.28515625" style="595" customWidth="1"/>
    <col min="9449" max="9449" width="14.7109375" style="595" customWidth="1"/>
    <col min="9450" max="9450" width="6" style="595" customWidth="1"/>
    <col min="9451" max="9451" width="14.5703125" style="595" customWidth="1"/>
    <col min="9452" max="9452" width="6.42578125" style="595" customWidth="1"/>
    <col min="9453" max="9453" width="14.140625" style="595" customWidth="1"/>
    <col min="9454" max="9454" width="7.5703125" style="595" customWidth="1"/>
    <col min="9455" max="9455" width="14.5703125" style="595" customWidth="1"/>
    <col min="9456" max="9456" width="6.7109375" style="595" customWidth="1"/>
    <col min="9457" max="9457" width="15" style="595" customWidth="1"/>
    <col min="9458" max="9458" width="9.140625" style="595"/>
    <col min="9459" max="9459" width="14" style="595" customWidth="1"/>
    <col min="9460" max="9460" width="9.140625" style="595"/>
    <col min="9461" max="9461" width="14" style="595" customWidth="1"/>
    <col min="9462" max="9466" width="9.140625" style="595"/>
    <col min="9467" max="9467" width="41.28515625" style="595" customWidth="1"/>
    <col min="9468" max="9539" width="9.140625" style="595"/>
    <col min="9540" max="9540" width="21.140625" style="595" customWidth="1"/>
    <col min="9541" max="9541" width="7.28515625" style="595" customWidth="1"/>
    <col min="9542" max="9542" width="15" style="595" customWidth="1"/>
    <col min="9543" max="9543" width="23.28515625" style="595" customWidth="1"/>
    <col min="9544" max="9544" width="25.5703125" style="595" customWidth="1"/>
    <col min="9545" max="9545" width="7" style="595" bestFit="1" customWidth="1"/>
    <col min="9546" max="9546" width="6.42578125" style="595" bestFit="1" customWidth="1"/>
    <col min="9547" max="9547" width="7.85546875" style="595" customWidth="1"/>
    <col min="9548" max="9548" width="8.7109375" style="595" customWidth="1"/>
    <col min="9549" max="9549" width="7" style="595" bestFit="1" customWidth="1"/>
    <col min="9550" max="9550" width="6.42578125" style="595" bestFit="1" customWidth="1"/>
    <col min="9551" max="9551" width="6.85546875" style="595" customWidth="1"/>
    <col min="9552" max="9552" width="7.140625" style="595" customWidth="1"/>
    <col min="9553" max="9553" width="7" style="595" bestFit="1" customWidth="1"/>
    <col min="9554" max="9554" width="6.42578125" style="595" bestFit="1" customWidth="1"/>
    <col min="9555" max="9555" width="6" style="595" customWidth="1"/>
    <col min="9556" max="9556" width="9.7109375" style="595" customWidth="1"/>
    <col min="9557" max="9557" width="7" style="595" bestFit="1" customWidth="1"/>
    <col min="9558" max="9558" width="6.42578125" style="595" bestFit="1" customWidth="1"/>
    <col min="9559" max="9559" width="7.7109375" style="595" customWidth="1"/>
    <col min="9560" max="9564" width="7.28515625" style="595" customWidth="1"/>
    <col min="9565" max="9565" width="7" style="595" customWidth="1"/>
    <col min="9566" max="9567" width="5.140625" style="595" bestFit="1" customWidth="1"/>
    <col min="9568" max="9568" width="20.5703125" style="595" customWidth="1"/>
    <col min="9569" max="9569" width="8.85546875" style="595" customWidth="1"/>
    <col min="9570" max="9570" width="18.7109375" style="595" customWidth="1"/>
    <col min="9571" max="9571" width="9.7109375" style="595" customWidth="1"/>
    <col min="9572" max="9572" width="8.85546875" style="595" customWidth="1"/>
    <col min="9573" max="9573" width="10.7109375" style="595" customWidth="1"/>
    <col min="9574" max="9574" width="35.85546875" style="595" customWidth="1"/>
    <col min="9575" max="9575" width="18.7109375" style="595" customWidth="1"/>
    <col min="9576" max="9576" width="9.140625" style="595"/>
    <col min="9577" max="9577" width="9.28515625" style="595" bestFit="1" customWidth="1"/>
    <col min="9578" max="9578" width="9.140625" style="595"/>
    <col min="9579" max="9579" width="9" style="595" customWidth="1"/>
    <col min="9580" max="9580" width="9.5703125" style="595" customWidth="1"/>
    <col min="9581" max="9581" width="11.28515625" style="595" customWidth="1"/>
    <col min="9582" max="9582" width="9.140625" style="595"/>
    <col min="9583" max="9583" width="12.7109375" style="595" customWidth="1"/>
    <col min="9584" max="9584" width="9.140625" style="595"/>
    <col min="9585" max="9585" width="20.5703125" style="595" customWidth="1"/>
    <col min="9586" max="9586" width="15.7109375" style="595" customWidth="1"/>
    <col min="9587" max="9587" width="20.7109375" style="595" customWidth="1"/>
    <col min="9588" max="9588" width="18.28515625" style="595" customWidth="1"/>
    <col min="9589" max="9591" width="9.140625" style="595"/>
    <col min="9592" max="9592" width="13.5703125" style="595" customWidth="1"/>
    <col min="9593" max="9593" width="14.7109375" style="595" customWidth="1"/>
    <col min="9594" max="9594" width="7.28515625" style="595" customWidth="1"/>
    <col min="9595" max="9595" width="17.7109375" style="595" customWidth="1"/>
    <col min="9596" max="9596" width="13.5703125" style="595" customWidth="1"/>
    <col min="9597" max="9597" width="15.5703125" style="595" customWidth="1"/>
    <col min="9598" max="9598" width="16.28515625" style="595" customWidth="1"/>
    <col min="9599" max="9599" width="15.140625" style="595" customWidth="1"/>
    <col min="9600" max="9600" width="9.140625" style="595"/>
    <col min="9601" max="9601" width="14.140625" style="595" customWidth="1"/>
    <col min="9602" max="9602" width="6.5703125" style="595" customWidth="1"/>
    <col min="9603" max="9603" width="14.5703125" style="595" customWidth="1"/>
    <col min="9604" max="9604" width="6.42578125" style="595" customWidth="1"/>
    <col min="9605" max="9605" width="12.85546875" style="595" customWidth="1"/>
    <col min="9606" max="9606" width="7.85546875" style="595" customWidth="1"/>
    <col min="9607" max="9607" width="10.7109375" style="595" customWidth="1"/>
    <col min="9608" max="9608" width="7.140625" style="595" customWidth="1"/>
    <col min="9609" max="9609" width="11.85546875" style="595" customWidth="1"/>
    <col min="9610" max="9610" width="7.42578125" style="595" customWidth="1"/>
    <col min="9611" max="9611" width="12.140625" style="595" customWidth="1"/>
    <col min="9612" max="9612" width="8.42578125" style="595" customWidth="1"/>
    <col min="9613" max="9613" width="11.85546875" style="595" customWidth="1"/>
    <col min="9614" max="9614" width="6.85546875" style="595" customWidth="1"/>
    <col min="9615" max="9615" width="11.42578125" style="595" customWidth="1"/>
    <col min="9616" max="9616" width="9" style="595" customWidth="1"/>
    <col min="9617" max="9617" width="12.42578125" style="595" customWidth="1"/>
    <col min="9618" max="9618" width="5.85546875" style="595" customWidth="1"/>
    <col min="9619" max="9619" width="13.28515625" style="595" customWidth="1"/>
    <col min="9620" max="9620" width="8.85546875" style="595" customWidth="1"/>
    <col min="9621" max="9621" width="12" style="595" customWidth="1"/>
    <col min="9622" max="9622" width="7.5703125" style="595" customWidth="1"/>
    <col min="9623" max="9623" width="11.28515625" style="595" customWidth="1"/>
    <col min="9624" max="9624" width="6.5703125" style="595" customWidth="1"/>
    <col min="9625" max="9625" width="12.140625" style="595" customWidth="1"/>
    <col min="9626" max="9626" width="7.42578125" style="595" customWidth="1"/>
    <col min="9627" max="9627" width="12.42578125" style="595" customWidth="1"/>
    <col min="9628" max="9628" width="7.5703125" style="595" customWidth="1"/>
    <col min="9629" max="9629" width="11.28515625" style="595" customWidth="1"/>
    <col min="9630" max="9630" width="7.140625" style="595" customWidth="1"/>
    <col min="9631" max="9631" width="10.85546875" style="595" customWidth="1"/>
    <col min="9632" max="9632" width="6.140625" style="595" customWidth="1"/>
    <col min="9633" max="9633" width="10.7109375" style="595" customWidth="1"/>
    <col min="9634" max="9634" width="6.85546875" style="595" customWidth="1"/>
    <col min="9635" max="9635" width="10.7109375" style="595" customWidth="1"/>
    <col min="9636" max="9636" width="7" style="595" customWidth="1"/>
    <col min="9637" max="9637" width="11.85546875" style="595" customWidth="1"/>
    <col min="9638" max="9638" width="7.42578125" style="595" customWidth="1"/>
    <col min="9639" max="9639" width="10.7109375" style="595" customWidth="1"/>
    <col min="9640" max="9640" width="8.42578125" style="595" customWidth="1"/>
    <col min="9641" max="9641" width="11.140625" style="595" customWidth="1"/>
    <col min="9642" max="9642" width="8" style="595" customWidth="1"/>
    <col min="9643" max="9643" width="10.85546875" style="595" customWidth="1"/>
    <col min="9644" max="9644" width="7.5703125" style="595" customWidth="1"/>
    <col min="9645" max="9645" width="14.28515625" style="595" customWidth="1"/>
    <col min="9646" max="9646" width="6.5703125" style="595" customWidth="1"/>
    <col min="9647" max="9647" width="14.140625" style="595" customWidth="1"/>
    <col min="9648" max="9648" width="6.5703125" style="595" customWidth="1"/>
    <col min="9649" max="9649" width="14.28515625" style="595" customWidth="1"/>
    <col min="9650" max="9650" width="7.85546875" style="595" customWidth="1"/>
    <col min="9651" max="9651" width="14.140625" style="595" customWidth="1"/>
    <col min="9652" max="9652" width="6.85546875" style="595" customWidth="1"/>
    <col min="9653" max="9653" width="14.140625" style="595" customWidth="1"/>
    <col min="9654" max="9654" width="6.28515625" style="595" customWidth="1"/>
    <col min="9655" max="9655" width="14.140625" style="595" customWidth="1"/>
    <col min="9656" max="9656" width="5.85546875" style="595" customWidth="1"/>
    <col min="9657" max="9657" width="14.85546875" style="595" customWidth="1"/>
    <col min="9658" max="9658" width="6.85546875" style="595" customWidth="1"/>
    <col min="9659" max="9659" width="14.28515625" style="595" customWidth="1"/>
    <col min="9660" max="9660" width="7.28515625" style="595" customWidth="1"/>
    <col min="9661" max="9661" width="14.28515625" style="595" customWidth="1"/>
    <col min="9662" max="9662" width="6.42578125" style="595" customWidth="1"/>
    <col min="9663" max="9663" width="14" style="595" customWidth="1"/>
    <col min="9664" max="9664" width="7" style="595" customWidth="1"/>
    <col min="9665" max="9665" width="14" style="595" customWidth="1"/>
    <col min="9666" max="9666" width="6.42578125" style="595" customWidth="1"/>
    <col min="9667" max="9667" width="14.140625" style="595" customWidth="1"/>
    <col min="9668" max="9668" width="6.28515625" style="595" customWidth="1"/>
    <col min="9669" max="9669" width="14.140625" style="595" customWidth="1"/>
    <col min="9670" max="9670" width="7" style="595" customWidth="1"/>
    <col min="9671" max="9671" width="14.140625" style="595" customWidth="1"/>
    <col min="9672" max="9672" width="7.42578125" style="595" customWidth="1"/>
    <col min="9673" max="9673" width="14.5703125" style="595" customWidth="1"/>
    <col min="9674" max="9674" width="6.7109375" style="595" customWidth="1"/>
    <col min="9675" max="9675" width="14.140625" style="595" customWidth="1"/>
    <col min="9676" max="9676" width="7" style="595" customWidth="1"/>
    <col min="9677" max="9677" width="14.5703125" style="595" customWidth="1"/>
    <col min="9678" max="9678" width="7.42578125" style="595" customWidth="1"/>
    <col min="9679" max="9679" width="14.5703125" style="595" customWidth="1"/>
    <col min="9680" max="9680" width="6.42578125" style="595" customWidth="1"/>
    <col min="9681" max="9681" width="14.7109375" style="595" customWidth="1"/>
    <col min="9682" max="9682" width="6.85546875" style="595" customWidth="1"/>
    <col min="9683" max="9683" width="14.5703125" style="595" customWidth="1"/>
    <col min="9684" max="9684" width="7.140625" style="595" customWidth="1"/>
    <col min="9685" max="9685" width="14.5703125" style="595" customWidth="1"/>
    <col min="9686" max="9686" width="6.7109375" style="595" customWidth="1"/>
    <col min="9687" max="9687" width="14.140625" style="595" customWidth="1"/>
    <col min="9688" max="9688" width="5.85546875" style="595" customWidth="1"/>
    <col min="9689" max="9689" width="14" style="595" customWidth="1"/>
    <col min="9690" max="9690" width="8.28515625" style="595" customWidth="1"/>
    <col min="9691" max="9691" width="14.7109375" style="595" customWidth="1"/>
    <col min="9692" max="9692" width="7.140625" style="595" customWidth="1"/>
    <col min="9693" max="9693" width="14.7109375" style="595" customWidth="1"/>
    <col min="9694" max="9694" width="7.140625" style="595" customWidth="1"/>
    <col min="9695" max="9695" width="14" style="595" customWidth="1"/>
    <col min="9696" max="9696" width="6.42578125" style="595" customWidth="1"/>
    <col min="9697" max="9697" width="14" style="595" customWidth="1"/>
    <col min="9698" max="9698" width="6.28515625" style="595" customWidth="1"/>
    <col min="9699" max="9699" width="14.42578125" style="595" customWidth="1"/>
    <col min="9700" max="9700" width="6.28515625" style="595" customWidth="1"/>
    <col min="9701" max="9701" width="14.85546875" style="595" customWidth="1"/>
    <col min="9702" max="9702" width="7.28515625" style="595" customWidth="1"/>
    <col min="9703" max="9703" width="14.42578125" style="595" customWidth="1"/>
    <col min="9704" max="9704" width="7.28515625" style="595" customWidth="1"/>
    <col min="9705" max="9705" width="14.7109375" style="595" customWidth="1"/>
    <col min="9706" max="9706" width="6" style="595" customWidth="1"/>
    <col min="9707" max="9707" width="14.5703125" style="595" customWidth="1"/>
    <col min="9708" max="9708" width="6.42578125" style="595" customWidth="1"/>
    <col min="9709" max="9709" width="14.140625" style="595" customWidth="1"/>
    <col min="9710" max="9710" width="7.5703125" style="595" customWidth="1"/>
    <col min="9711" max="9711" width="14.5703125" style="595" customWidth="1"/>
    <col min="9712" max="9712" width="6.7109375" style="595" customWidth="1"/>
    <col min="9713" max="9713" width="15" style="595" customWidth="1"/>
    <col min="9714" max="9714" width="9.140625" style="595"/>
    <col min="9715" max="9715" width="14" style="595" customWidth="1"/>
    <col min="9716" max="9716" width="9.140625" style="595"/>
    <col min="9717" max="9717" width="14" style="595" customWidth="1"/>
    <col min="9718" max="9722" width="9.140625" style="595"/>
    <col min="9723" max="9723" width="41.28515625" style="595" customWidth="1"/>
    <col min="9724" max="9795" width="9.140625" style="595"/>
    <col min="9796" max="9796" width="21.140625" style="595" customWidth="1"/>
    <col min="9797" max="9797" width="7.28515625" style="595" customWidth="1"/>
    <col min="9798" max="9798" width="15" style="595" customWidth="1"/>
    <col min="9799" max="9799" width="23.28515625" style="595" customWidth="1"/>
    <col min="9800" max="9800" width="25.5703125" style="595" customWidth="1"/>
    <col min="9801" max="9801" width="7" style="595" bestFit="1" customWidth="1"/>
    <col min="9802" max="9802" width="6.42578125" style="595" bestFit="1" customWidth="1"/>
    <col min="9803" max="9803" width="7.85546875" style="595" customWidth="1"/>
    <col min="9804" max="9804" width="8.7109375" style="595" customWidth="1"/>
    <col min="9805" max="9805" width="7" style="595" bestFit="1" customWidth="1"/>
    <col min="9806" max="9806" width="6.42578125" style="595" bestFit="1" customWidth="1"/>
    <col min="9807" max="9807" width="6.85546875" style="595" customWidth="1"/>
    <col min="9808" max="9808" width="7.140625" style="595" customWidth="1"/>
    <col min="9809" max="9809" width="7" style="595" bestFit="1" customWidth="1"/>
    <col min="9810" max="9810" width="6.42578125" style="595" bestFit="1" customWidth="1"/>
    <col min="9811" max="9811" width="6" style="595" customWidth="1"/>
    <col min="9812" max="9812" width="9.7109375" style="595" customWidth="1"/>
    <col min="9813" max="9813" width="7" style="595" bestFit="1" customWidth="1"/>
    <col min="9814" max="9814" width="6.42578125" style="595" bestFit="1" customWidth="1"/>
    <col min="9815" max="9815" width="7.7109375" style="595" customWidth="1"/>
    <col min="9816" max="9820" width="7.28515625" style="595" customWidth="1"/>
    <col min="9821" max="9821" width="7" style="595" customWidth="1"/>
    <col min="9822" max="9823" width="5.140625" style="595" bestFit="1" customWidth="1"/>
    <col min="9824" max="9824" width="20.5703125" style="595" customWidth="1"/>
    <col min="9825" max="9825" width="8.85546875" style="595" customWidth="1"/>
    <col min="9826" max="9826" width="18.7109375" style="595" customWidth="1"/>
    <col min="9827" max="9827" width="9.7109375" style="595" customWidth="1"/>
    <col min="9828" max="9828" width="8.85546875" style="595" customWidth="1"/>
    <col min="9829" max="9829" width="10.7109375" style="595" customWidth="1"/>
    <col min="9830" max="9830" width="35.85546875" style="595" customWidth="1"/>
    <col min="9831" max="9831" width="18.7109375" style="595" customWidth="1"/>
    <col min="9832" max="9832" width="9.140625" style="595"/>
    <col min="9833" max="9833" width="9.28515625" style="595" bestFit="1" customWidth="1"/>
    <col min="9834" max="9834" width="9.140625" style="595"/>
    <col min="9835" max="9835" width="9" style="595" customWidth="1"/>
    <col min="9836" max="9836" width="9.5703125" style="595" customWidth="1"/>
    <col min="9837" max="9837" width="11.28515625" style="595" customWidth="1"/>
    <col min="9838" max="9838" width="9.140625" style="595"/>
    <col min="9839" max="9839" width="12.7109375" style="595" customWidth="1"/>
    <col min="9840" max="9840" width="9.140625" style="595"/>
    <col min="9841" max="9841" width="20.5703125" style="595" customWidth="1"/>
    <col min="9842" max="9842" width="15.7109375" style="595" customWidth="1"/>
    <col min="9843" max="9843" width="20.7109375" style="595" customWidth="1"/>
    <col min="9844" max="9844" width="18.28515625" style="595" customWidth="1"/>
    <col min="9845" max="9847" width="9.140625" style="595"/>
    <col min="9848" max="9848" width="13.5703125" style="595" customWidth="1"/>
    <col min="9849" max="9849" width="14.7109375" style="595" customWidth="1"/>
    <col min="9850" max="9850" width="7.28515625" style="595" customWidth="1"/>
    <col min="9851" max="9851" width="17.7109375" style="595" customWidth="1"/>
    <col min="9852" max="9852" width="13.5703125" style="595" customWidth="1"/>
    <col min="9853" max="9853" width="15.5703125" style="595" customWidth="1"/>
    <col min="9854" max="9854" width="16.28515625" style="595" customWidth="1"/>
    <col min="9855" max="9855" width="15.140625" style="595" customWidth="1"/>
    <col min="9856" max="9856" width="9.140625" style="595"/>
    <col min="9857" max="9857" width="14.140625" style="595" customWidth="1"/>
    <col min="9858" max="9858" width="6.5703125" style="595" customWidth="1"/>
    <col min="9859" max="9859" width="14.5703125" style="595" customWidth="1"/>
    <col min="9860" max="9860" width="6.42578125" style="595" customWidth="1"/>
    <col min="9861" max="9861" width="12.85546875" style="595" customWidth="1"/>
    <col min="9862" max="9862" width="7.85546875" style="595" customWidth="1"/>
    <col min="9863" max="9863" width="10.7109375" style="595" customWidth="1"/>
    <col min="9864" max="9864" width="7.140625" style="595" customWidth="1"/>
    <col min="9865" max="9865" width="11.85546875" style="595" customWidth="1"/>
    <col min="9866" max="9866" width="7.42578125" style="595" customWidth="1"/>
    <col min="9867" max="9867" width="12.140625" style="595" customWidth="1"/>
    <col min="9868" max="9868" width="8.42578125" style="595" customWidth="1"/>
    <col min="9869" max="9869" width="11.85546875" style="595" customWidth="1"/>
    <col min="9870" max="9870" width="6.85546875" style="595" customWidth="1"/>
    <col min="9871" max="9871" width="11.42578125" style="595" customWidth="1"/>
    <col min="9872" max="9872" width="9" style="595" customWidth="1"/>
    <col min="9873" max="9873" width="12.42578125" style="595" customWidth="1"/>
    <col min="9874" max="9874" width="5.85546875" style="595" customWidth="1"/>
    <col min="9875" max="9875" width="13.28515625" style="595" customWidth="1"/>
    <col min="9876" max="9876" width="8.85546875" style="595" customWidth="1"/>
    <col min="9877" max="9877" width="12" style="595" customWidth="1"/>
    <col min="9878" max="9878" width="7.5703125" style="595" customWidth="1"/>
    <col min="9879" max="9879" width="11.28515625" style="595" customWidth="1"/>
    <col min="9880" max="9880" width="6.5703125" style="595" customWidth="1"/>
    <col min="9881" max="9881" width="12.140625" style="595" customWidth="1"/>
    <col min="9882" max="9882" width="7.42578125" style="595" customWidth="1"/>
    <col min="9883" max="9883" width="12.42578125" style="595" customWidth="1"/>
    <col min="9884" max="9884" width="7.5703125" style="595" customWidth="1"/>
    <col min="9885" max="9885" width="11.28515625" style="595" customWidth="1"/>
    <col min="9886" max="9886" width="7.140625" style="595" customWidth="1"/>
    <col min="9887" max="9887" width="10.85546875" style="595" customWidth="1"/>
    <col min="9888" max="9888" width="6.140625" style="595" customWidth="1"/>
    <col min="9889" max="9889" width="10.7109375" style="595" customWidth="1"/>
    <col min="9890" max="9890" width="6.85546875" style="595" customWidth="1"/>
    <col min="9891" max="9891" width="10.7109375" style="595" customWidth="1"/>
    <col min="9892" max="9892" width="7" style="595" customWidth="1"/>
    <col min="9893" max="9893" width="11.85546875" style="595" customWidth="1"/>
    <col min="9894" max="9894" width="7.42578125" style="595" customWidth="1"/>
    <col min="9895" max="9895" width="10.7109375" style="595" customWidth="1"/>
    <col min="9896" max="9896" width="8.42578125" style="595" customWidth="1"/>
    <col min="9897" max="9897" width="11.140625" style="595" customWidth="1"/>
    <col min="9898" max="9898" width="8" style="595" customWidth="1"/>
    <col min="9899" max="9899" width="10.85546875" style="595" customWidth="1"/>
    <col min="9900" max="9900" width="7.5703125" style="595" customWidth="1"/>
    <col min="9901" max="9901" width="14.28515625" style="595" customWidth="1"/>
    <col min="9902" max="9902" width="6.5703125" style="595" customWidth="1"/>
    <col min="9903" max="9903" width="14.140625" style="595" customWidth="1"/>
    <col min="9904" max="9904" width="6.5703125" style="595" customWidth="1"/>
    <col min="9905" max="9905" width="14.28515625" style="595" customWidth="1"/>
    <col min="9906" max="9906" width="7.85546875" style="595" customWidth="1"/>
    <col min="9907" max="9907" width="14.140625" style="595" customWidth="1"/>
    <col min="9908" max="9908" width="6.85546875" style="595" customWidth="1"/>
    <col min="9909" max="9909" width="14.140625" style="595" customWidth="1"/>
    <col min="9910" max="9910" width="6.28515625" style="595" customWidth="1"/>
    <col min="9911" max="9911" width="14.140625" style="595" customWidth="1"/>
    <col min="9912" max="9912" width="5.85546875" style="595" customWidth="1"/>
    <col min="9913" max="9913" width="14.85546875" style="595" customWidth="1"/>
    <col min="9914" max="9914" width="6.85546875" style="595" customWidth="1"/>
    <col min="9915" max="9915" width="14.28515625" style="595" customWidth="1"/>
    <col min="9916" max="9916" width="7.28515625" style="595" customWidth="1"/>
    <col min="9917" max="9917" width="14.28515625" style="595" customWidth="1"/>
    <col min="9918" max="9918" width="6.42578125" style="595" customWidth="1"/>
    <col min="9919" max="9919" width="14" style="595" customWidth="1"/>
    <col min="9920" max="9920" width="7" style="595" customWidth="1"/>
    <col min="9921" max="9921" width="14" style="595" customWidth="1"/>
    <col min="9922" max="9922" width="6.42578125" style="595" customWidth="1"/>
    <col min="9923" max="9923" width="14.140625" style="595" customWidth="1"/>
    <col min="9924" max="9924" width="6.28515625" style="595" customWidth="1"/>
    <col min="9925" max="9925" width="14.140625" style="595" customWidth="1"/>
    <col min="9926" max="9926" width="7" style="595" customWidth="1"/>
    <col min="9927" max="9927" width="14.140625" style="595" customWidth="1"/>
    <col min="9928" max="9928" width="7.42578125" style="595" customWidth="1"/>
    <col min="9929" max="9929" width="14.5703125" style="595" customWidth="1"/>
    <col min="9930" max="9930" width="6.7109375" style="595" customWidth="1"/>
    <col min="9931" max="9931" width="14.140625" style="595" customWidth="1"/>
    <col min="9932" max="9932" width="7" style="595" customWidth="1"/>
    <col min="9933" max="9933" width="14.5703125" style="595" customWidth="1"/>
    <col min="9934" max="9934" width="7.42578125" style="595" customWidth="1"/>
    <col min="9935" max="9935" width="14.5703125" style="595" customWidth="1"/>
    <col min="9936" max="9936" width="6.42578125" style="595" customWidth="1"/>
    <col min="9937" max="9937" width="14.7109375" style="595" customWidth="1"/>
    <col min="9938" max="9938" width="6.85546875" style="595" customWidth="1"/>
    <col min="9939" max="9939" width="14.5703125" style="595" customWidth="1"/>
    <col min="9940" max="9940" width="7.140625" style="595" customWidth="1"/>
    <col min="9941" max="9941" width="14.5703125" style="595" customWidth="1"/>
    <col min="9942" max="9942" width="6.7109375" style="595" customWidth="1"/>
    <col min="9943" max="9943" width="14.140625" style="595" customWidth="1"/>
    <col min="9944" max="9944" width="5.85546875" style="595" customWidth="1"/>
    <col min="9945" max="9945" width="14" style="595" customWidth="1"/>
    <col min="9946" max="9946" width="8.28515625" style="595" customWidth="1"/>
    <col min="9947" max="9947" width="14.7109375" style="595" customWidth="1"/>
    <col min="9948" max="9948" width="7.140625" style="595" customWidth="1"/>
    <col min="9949" max="9949" width="14.7109375" style="595" customWidth="1"/>
    <col min="9950" max="9950" width="7.140625" style="595" customWidth="1"/>
    <col min="9951" max="9951" width="14" style="595" customWidth="1"/>
    <col min="9952" max="9952" width="6.42578125" style="595" customWidth="1"/>
    <col min="9953" max="9953" width="14" style="595" customWidth="1"/>
    <col min="9954" max="9954" width="6.28515625" style="595" customWidth="1"/>
    <col min="9955" max="9955" width="14.42578125" style="595" customWidth="1"/>
    <col min="9956" max="9956" width="6.28515625" style="595" customWidth="1"/>
    <col min="9957" max="9957" width="14.85546875" style="595" customWidth="1"/>
    <col min="9958" max="9958" width="7.28515625" style="595" customWidth="1"/>
    <col min="9959" max="9959" width="14.42578125" style="595" customWidth="1"/>
    <col min="9960" max="9960" width="7.28515625" style="595" customWidth="1"/>
    <col min="9961" max="9961" width="14.7109375" style="595" customWidth="1"/>
    <col min="9962" max="9962" width="6" style="595" customWidth="1"/>
    <col min="9963" max="9963" width="14.5703125" style="595" customWidth="1"/>
    <col min="9964" max="9964" width="6.42578125" style="595" customWidth="1"/>
    <col min="9965" max="9965" width="14.140625" style="595" customWidth="1"/>
    <col min="9966" max="9966" width="7.5703125" style="595" customWidth="1"/>
    <col min="9967" max="9967" width="14.5703125" style="595" customWidth="1"/>
    <col min="9968" max="9968" width="6.7109375" style="595" customWidth="1"/>
    <col min="9969" max="9969" width="15" style="595" customWidth="1"/>
    <col min="9970" max="9970" width="9.140625" style="595"/>
    <col min="9971" max="9971" width="14" style="595" customWidth="1"/>
    <col min="9972" max="9972" width="9.140625" style="595"/>
    <col min="9973" max="9973" width="14" style="595" customWidth="1"/>
    <col min="9974" max="9978" width="9.140625" style="595"/>
    <col min="9979" max="9979" width="41.28515625" style="595" customWidth="1"/>
    <col min="9980" max="10051" width="9.140625" style="595"/>
    <col min="10052" max="10052" width="21.140625" style="595" customWidth="1"/>
    <col min="10053" max="10053" width="7.28515625" style="595" customWidth="1"/>
    <col min="10054" max="10054" width="15" style="595" customWidth="1"/>
    <col min="10055" max="10055" width="23.28515625" style="595" customWidth="1"/>
    <col min="10056" max="10056" width="25.5703125" style="595" customWidth="1"/>
    <col min="10057" max="10057" width="7" style="595" bestFit="1" customWidth="1"/>
    <col min="10058" max="10058" width="6.42578125" style="595" bestFit="1" customWidth="1"/>
    <col min="10059" max="10059" width="7.85546875" style="595" customWidth="1"/>
    <col min="10060" max="10060" width="8.7109375" style="595" customWidth="1"/>
    <col min="10061" max="10061" width="7" style="595" bestFit="1" customWidth="1"/>
    <col min="10062" max="10062" width="6.42578125" style="595" bestFit="1" customWidth="1"/>
    <col min="10063" max="10063" width="6.85546875" style="595" customWidth="1"/>
    <col min="10064" max="10064" width="7.140625" style="595" customWidth="1"/>
    <col min="10065" max="10065" width="7" style="595" bestFit="1" customWidth="1"/>
    <col min="10066" max="10066" width="6.42578125" style="595" bestFit="1" customWidth="1"/>
    <col min="10067" max="10067" width="6" style="595" customWidth="1"/>
    <col min="10068" max="10068" width="9.7109375" style="595" customWidth="1"/>
    <col min="10069" max="10069" width="7" style="595" bestFit="1" customWidth="1"/>
    <col min="10070" max="10070" width="6.42578125" style="595" bestFit="1" customWidth="1"/>
    <col min="10071" max="10071" width="7.7109375" style="595" customWidth="1"/>
    <col min="10072" max="10076" width="7.28515625" style="595" customWidth="1"/>
    <col min="10077" max="10077" width="7" style="595" customWidth="1"/>
    <col min="10078" max="10079" width="5.140625" style="595" bestFit="1" customWidth="1"/>
    <col min="10080" max="10080" width="20.5703125" style="595" customWidth="1"/>
    <col min="10081" max="10081" width="8.85546875" style="595" customWidth="1"/>
    <col min="10082" max="10082" width="18.7109375" style="595" customWidth="1"/>
    <col min="10083" max="10083" width="9.7109375" style="595" customWidth="1"/>
    <col min="10084" max="10084" width="8.85546875" style="595" customWidth="1"/>
    <col min="10085" max="10085" width="10.7109375" style="595" customWidth="1"/>
    <col min="10086" max="10086" width="35.85546875" style="595" customWidth="1"/>
    <col min="10087" max="10087" width="18.7109375" style="595" customWidth="1"/>
    <col min="10088" max="10088" width="9.140625" style="595"/>
    <col min="10089" max="10089" width="9.28515625" style="595" bestFit="1" customWidth="1"/>
    <col min="10090" max="10090" width="9.140625" style="595"/>
    <col min="10091" max="10091" width="9" style="595" customWidth="1"/>
    <col min="10092" max="10092" width="9.5703125" style="595" customWidth="1"/>
    <col min="10093" max="10093" width="11.28515625" style="595" customWidth="1"/>
    <col min="10094" max="10094" width="9.140625" style="595"/>
    <col min="10095" max="10095" width="12.7109375" style="595" customWidth="1"/>
    <col min="10096" max="10096" width="9.140625" style="595"/>
    <col min="10097" max="10097" width="20.5703125" style="595" customWidth="1"/>
    <col min="10098" max="10098" width="15.7109375" style="595" customWidth="1"/>
    <col min="10099" max="10099" width="20.7109375" style="595" customWidth="1"/>
    <col min="10100" max="10100" width="18.28515625" style="595" customWidth="1"/>
    <col min="10101" max="10103" width="9.140625" style="595"/>
    <col min="10104" max="10104" width="13.5703125" style="595" customWidth="1"/>
    <col min="10105" max="10105" width="14.7109375" style="595" customWidth="1"/>
    <col min="10106" max="10106" width="7.28515625" style="595" customWidth="1"/>
    <col min="10107" max="10107" width="17.7109375" style="595" customWidth="1"/>
    <col min="10108" max="10108" width="13.5703125" style="595" customWidth="1"/>
    <col min="10109" max="10109" width="15.5703125" style="595" customWidth="1"/>
    <col min="10110" max="10110" width="16.28515625" style="595" customWidth="1"/>
    <col min="10111" max="10111" width="15.140625" style="595" customWidth="1"/>
    <col min="10112" max="10112" width="9.140625" style="595"/>
    <col min="10113" max="10113" width="14.140625" style="595" customWidth="1"/>
    <col min="10114" max="10114" width="6.5703125" style="595" customWidth="1"/>
    <col min="10115" max="10115" width="14.5703125" style="595" customWidth="1"/>
    <col min="10116" max="10116" width="6.42578125" style="595" customWidth="1"/>
    <col min="10117" max="10117" width="12.85546875" style="595" customWidth="1"/>
    <col min="10118" max="10118" width="7.85546875" style="595" customWidth="1"/>
    <col min="10119" max="10119" width="10.7109375" style="595" customWidth="1"/>
    <col min="10120" max="10120" width="7.140625" style="595" customWidth="1"/>
    <col min="10121" max="10121" width="11.85546875" style="595" customWidth="1"/>
    <col min="10122" max="10122" width="7.42578125" style="595" customWidth="1"/>
    <col min="10123" max="10123" width="12.140625" style="595" customWidth="1"/>
    <col min="10124" max="10124" width="8.42578125" style="595" customWidth="1"/>
    <col min="10125" max="10125" width="11.85546875" style="595" customWidth="1"/>
    <col min="10126" max="10126" width="6.85546875" style="595" customWidth="1"/>
    <col min="10127" max="10127" width="11.42578125" style="595" customWidth="1"/>
    <col min="10128" max="10128" width="9" style="595" customWidth="1"/>
    <col min="10129" max="10129" width="12.42578125" style="595" customWidth="1"/>
    <col min="10130" max="10130" width="5.85546875" style="595" customWidth="1"/>
    <col min="10131" max="10131" width="13.28515625" style="595" customWidth="1"/>
    <col min="10132" max="10132" width="8.85546875" style="595" customWidth="1"/>
    <col min="10133" max="10133" width="12" style="595" customWidth="1"/>
    <col min="10134" max="10134" width="7.5703125" style="595" customWidth="1"/>
    <col min="10135" max="10135" width="11.28515625" style="595" customWidth="1"/>
    <col min="10136" max="10136" width="6.5703125" style="595" customWidth="1"/>
    <col min="10137" max="10137" width="12.140625" style="595" customWidth="1"/>
    <col min="10138" max="10138" width="7.42578125" style="595" customWidth="1"/>
    <col min="10139" max="10139" width="12.42578125" style="595" customWidth="1"/>
    <col min="10140" max="10140" width="7.5703125" style="595" customWidth="1"/>
    <col min="10141" max="10141" width="11.28515625" style="595" customWidth="1"/>
    <col min="10142" max="10142" width="7.140625" style="595" customWidth="1"/>
    <col min="10143" max="10143" width="10.85546875" style="595" customWidth="1"/>
    <col min="10144" max="10144" width="6.140625" style="595" customWidth="1"/>
    <col min="10145" max="10145" width="10.7109375" style="595" customWidth="1"/>
    <col min="10146" max="10146" width="6.85546875" style="595" customWidth="1"/>
    <col min="10147" max="10147" width="10.7109375" style="595" customWidth="1"/>
    <col min="10148" max="10148" width="7" style="595" customWidth="1"/>
    <col min="10149" max="10149" width="11.85546875" style="595" customWidth="1"/>
    <col min="10150" max="10150" width="7.42578125" style="595" customWidth="1"/>
    <col min="10151" max="10151" width="10.7109375" style="595" customWidth="1"/>
    <col min="10152" max="10152" width="8.42578125" style="595" customWidth="1"/>
    <col min="10153" max="10153" width="11.140625" style="595" customWidth="1"/>
    <col min="10154" max="10154" width="8" style="595" customWidth="1"/>
    <col min="10155" max="10155" width="10.85546875" style="595" customWidth="1"/>
    <col min="10156" max="10156" width="7.5703125" style="595" customWidth="1"/>
    <col min="10157" max="10157" width="14.28515625" style="595" customWidth="1"/>
    <col min="10158" max="10158" width="6.5703125" style="595" customWidth="1"/>
    <col min="10159" max="10159" width="14.140625" style="595" customWidth="1"/>
    <col min="10160" max="10160" width="6.5703125" style="595" customWidth="1"/>
    <col min="10161" max="10161" width="14.28515625" style="595" customWidth="1"/>
    <col min="10162" max="10162" width="7.85546875" style="595" customWidth="1"/>
    <col min="10163" max="10163" width="14.140625" style="595" customWidth="1"/>
    <col min="10164" max="10164" width="6.85546875" style="595" customWidth="1"/>
    <col min="10165" max="10165" width="14.140625" style="595" customWidth="1"/>
    <col min="10166" max="10166" width="6.28515625" style="595" customWidth="1"/>
    <col min="10167" max="10167" width="14.140625" style="595" customWidth="1"/>
    <col min="10168" max="10168" width="5.85546875" style="595" customWidth="1"/>
    <col min="10169" max="10169" width="14.85546875" style="595" customWidth="1"/>
    <col min="10170" max="10170" width="6.85546875" style="595" customWidth="1"/>
    <col min="10171" max="10171" width="14.28515625" style="595" customWidth="1"/>
    <col min="10172" max="10172" width="7.28515625" style="595" customWidth="1"/>
    <col min="10173" max="10173" width="14.28515625" style="595" customWidth="1"/>
    <col min="10174" max="10174" width="6.42578125" style="595" customWidth="1"/>
    <col min="10175" max="10175" width="14" style="595" customWidth="1"/>
    <col min="10176" max="10176" width="7" style="595" customWidth="1"/>
    <col min="10177" max="10177" width="14" style="595" customWidth="1"/>
    <col min="10178" max="10178" width="6.42578125" style="595" customWidth="1"/>
    <col min="10179" max="10179" width="14.140625" style="595" customWidth="1"/>
    <col min="10180" max="10180" width="6.28515625" style="595" customWidth="1"/>
    <col min="10181" max="10181" width="14.140625" style="595" customWidth="1"/>
    <col min="10182" max="10182" width="7" style="595" customWidth="1"/>
    <col min="10183" max="10183" width="14.140625" style="595" customWidth="1"/>
    <col min="10184" max="10184" width="7.42578125" style="595" customWidth="1"/>
    <col min="10185" max="10185" width="14.5703125" style="595" customWidth="1"/>
    <col min="10186" max="10186" width="6.7109375" style="595" customWidth="1"/>
    <col min="10187" max="10187" width="14.140625" style="595" customWidth="1"/>
    <col min="10188" max="10188" width="7" style="595" customWidth="1"/>
    <col min="10189" max="10189" width="14.5703125" style="595" customWidth="1"/>
    <col min="10190" max="10190" width="7.42578125" style="595" customWidth="1"/>
    <col min="10191" max="10191" width="14.5703125" style="595" customWidth="1"/>
    <col min="10192" max="10192" width="6.42578125" style="595" customWidth="1"/>
    <col min="10193" max="10193" width="14.7109375" style="595" customWidth="1"/>
    <col min="10194" max="10194" width="6.85546875" style="595" customWidth="1"/>
    <col min="10195" max="10195" width="14.5703125" style="595" customWidth="1"/>
    <col min="10196" max="10196" width="7.140625" style="595" customWidth="1"/>
    <col min="10197" max="10197" width="14.5703125" style="595" customWidth="1"/>
    <col min="10198" max="10198" width="6.7109375" style="595" customWidth="1"/>
    <col min="10199" max="10199" width="14.140625" style="595" customWidth="1"/>
    <col min="10200" max="10200" width="5.85546875" style="595" customWidth="1"/>
    <col min="10201" max="10201" width="14" style="595" customWidth="1"/>
    <col min="10202" max="10202" width="8.28515625" style="595" customWidth="1"/>
    <col min="10203" max="10203" width="14.7109375" style="595" customWidth="1"/>
    <col min="10204" max="10204" width="7.140625" style="595" customWidth="1"/>
    <col min="10205" max="10205" width="14.7109375" style="595" customWidth="1"/>
    <col min="10206" max="10206" width="7.140625" style="595" customWidth="1"/>
    <col min="10207" max="10207" width="14" style="595" customWidth="1"/>
    <col min="10208" max="10208" width="6.42578125" style="595" customWidth="1"/>
    <col min="10209" max="10209" width="14" style="595" customWidth="1"/>
    <col min="10210" max="10210" width="6.28515625" style="595" customWidth="1"/>
    <col min="10211" max="10211" width="14.42578125" style="595" customWidth="1"/>
    <col min="10212" max="10212" width="6.28515625" style="595" customWidth="1"/>
    <col min="10213" max="10213" width="14.85546875" style="595" customWidth="1"/>
    <col min="10214" max="10214" width="7.28515625" style="595" customWidth="1"/>
    <col min="10215" max="10215" width="14.42578125" style="595" customWidth="1"/>
    <col min="10216" max="10216" width="7.28515625" style="595" customWidth="1"/>
    <col min="10217" max="10217" width="14.7109375" style="595" customWidth="1"/>
    <col min="10218" max="10218" width="6" style="595" customWidth="1"/>
    <col min="10219" max="10219" width="14.5703125" style="595" customWidth="1"/>
    <col min="10220" max="10220" width="6.42578125" style="595" customWidth="1"/>
    <col min="10221" max="10221" width="14.140625" style="595" customWidth="1"/>
    <col min="10222" max="10222" width="7.5703125" style="595" customWidth="1"/>
    <col min="10223" max="10223" width="14.5703125" style="595" customWidth="1"/>
    <col min="10224" max="10224" width="6.7109375" style="595" customWidth="1"/>
    <col min="10225" max="10225" width="15" style="595" customWidth="1"/>
    <col min="10226" max="10226" width="9.140625" style="595"/>
    <col min="10227" max="10227" width="14" style="595" customWidth="1"/>
    <col min="10228" max="10228" width="9.140625" style="595"/>
    <col min="10229" max="10229" width="14" style="595" customWidth="1"/>
    <col min="10230" max="10234" width="9.140625" style="595"/>
    <col min="10235" max="10235" width="41.28515625" style="595" customWidth="1"/>
    <col min="10236" max="10307" width="9.140625" style="595"/>
    <col min="10308" max="10308" width="21.140625" style="595" customWidth="1"/>
    <col min="10309" max="10309" width="7.28515625" style="595" customWidth="1"/>
    <col min="10310" max="10310" width="15" style="595" customWidth="1"/>
    <col min="10311" max="10311" width="23.28515625" style="595" customWidth="1"/>
    <col min="10312" max="10312" width="25.5703125" style="595" customWidth="1"/>
    <col min="10313" max="10313" width="7" style="595" bestFit="1" customWidth="1"/>
    <col min="10314" max="10314" width="6.42578125" style="595" bestFit="1" customWidth="1"/>
    <col min="10315" max="10315" width="7.85546875" style="595" customWidth="1"/>
    <col min="10316" max="10316" width="8.7109375" style="595" customWidth="1"/>
    <col min="10317" max="10317" width="7" style="595" bestFit="1" customWidth="1"/>
    <col min="10318" max="10318" width="6.42578125" style="595" bestFit="1" customWidth="1"/>
    <col min="10319" max="10319" width="6.85546875" style="595" customWidth="1"/>
    <col min="10320" max="10320" width="7.140625" style="595" customWidth="1"/>
    <col min="10321" max="10321" width="7" style="595" bestFit="1" customWidth="1"/>
    <col min="10322" max="10322" width="6.42578125" style="595" bestFit="1" customWidth="1"/>
    <col min="10323" max="10323" width="6" style="595" customWidth="1"/>
    <col min="10324" max="10324" width="9.7109375" style="595" customWidth="1"/>
    <col min="10325" max="10325" width="7" style="595" bestFit="1" customWidth="1"/>
    <col min="10326" max="10326" width="6.42578125" style="595" bestFit="1" customWidth="1"/>
    <col min="10327" max="10327" width="7.7109375" style="595" customWidth="1"/>
    <col min="10328" max="10332" width="7.28515625" style="595" customWidth="1"/>
    <col min="10333" max="10333" width="7" style="595" customWidth="1"/>
    <col min="10334" max="10335" width="5.140625" style="595" bestFit="1" customWidth="1"/>
    <col min="10336" max="10336" width="20.5703125" style="595" customWidth="1"/>
    <col min="10337" max="10337" width="8.85546875" style="595" customWidth="1"/>
    <col min="10338" max="10338" width="18.7109375" style="595" customWidth="1"/>
    <col min="10339" max="10339" width="9.7109375" style="595" customWidth="1"/>
    <col min="10340" max="10340" width="8.85546875" style="595" customWidth="1"/>
    <col min="10341" max="10341" width="10.7109375" style="595" customWidth="1"/>
    <col min="10342" max="10342" width="35.85546875" style="595" customWidth="1"/>
    <col min="10343" max="10343" width="18.7109375" style="595" customWidth="1"/>
    <col min="10344" max="10344" width="9.140625" style="595"/>
    <col min="10345" max="10345" width="9.28515625" style="595" bestFit="1" customWidth="1"/>
    <col min="10346" max="10346" width="9.140625" style="595"/>
    <col min="10347" max="10347" width="9" style="595" customWidth="1"/>
    <col min="10348" max="10348" width="9.5703125" style="595" customWidth="1"/>
    <col min="10349" max="10349" width="11.28515625" style="595" customWidth="1"/>
    <col min="10350" max="10350" width="9.140625" style="595"/>
    <col min="10351" max="10351" width="12.7109375" style="595" customWidth="1"/>
    <col min="10352" max="10352" width="9.140625" style="595"/>
    <col min="10353" max="10353" width="20.5703125" style="595" customWidth="1"/>
    <col min="10354" max="10354" width="15.7109375" style="595" customWidth="1"/>
    <col min="10355" max="10355" width="20.7109375" style="595" customWidth="1"/>
    <col min="10356" max="10356" width="18.28515625" style="595" customWidth="1"/>
    <col min="10357" max="10359" width="9.140625" style="595"/>
    <col min="10360" max="10360" width="13.5703125" style="595" customWidth="1"/>
    <col min="10361" max="10361" width="14.7109375" style="595" customWidth="1"/>
    <col min="10362" max="10362" width="7.28515625" style="595" customWidth="1"/>
    <col min="10363" max="10363" width="17.7109375" style="595" customWidth="1"/>
    <col min="10364" max="10364" width="13.5703125" style="595" customWidth="1"/>
    <col min="10365" max="10365" width="15.5703125" style="595" customWidth="1"/>
    <col min="10366" max="10366" width="16.28515625" style="595" customWidth="1"/>
    <col min="10367" max="10367" width="15.140625" style="595" customWidth="1"/>
    <col min="10368" max="10368" width="9.140625" style="595"/>
    <col min="10369" max="10369" width="14.140625" style="595" customWidth="1"/>
    <col min="10370" max="10370" width="6.5703125" style="595" customWidth="1"/>
    <col min="10371" max="10371" width="14.5703125" style="595" customWidth="1"/>
    <col min="10372" max="10372" width="6.42578125" style="595" customWidth="1"/>
    <col min="10373" max="10373" width="12.85546875" style="595" customWidth="1"/>
    <col min="10374" max="10374" width="7.85546875" style="595" customWidth="1"/>
    <col min="10375" max="10375" width="10.7109375" style="595" customWidth="1"/>
    <col min="10376" max="10376" width="7.140625" style="595" customWidth="1"/>
    <col min="10377" max="10377" width="11.85546875" style="595" customWidth="1"/>
    <col min="10378" max="10378" width="7.42578125" style="595" customWidth="1"/>
    <col min="10379" max="10379" width="12.140625" style="595" customWidth="1"/>
    <col min="10380" max="10380" width="8.42578125" style="595" customWidth="1"/>
    <col min="10381" max="10381" width="11.85546875" style="595" customWidth="1"/>
    <col min="10382" max="10382" width="6.85546875" style="595" customWidth="1"/>
    <col min="10383" max="10383" width="11.42578125" style="595" customWidth="1"/>
    <col min="10384" max="10384" width="9" style="595" customWidth="1"/>
    <col min="10385" max="10385" width="12.42578125" style="595" customWidth="1"/>
    <col min="10386" max="10386" width="5.85546875" style="595" customWidth="1"/>
    <col min="10387" max="10387" width="13.28515625" style="595" customWidth="1"/>
    <col min="10388" max="10388" width="8.85546875" style="595" customWidth="1"/>
    <col min="10389" max="10389" width="12" style="595" customWidth="1"/>
    <col min="10390" max="10390" width="7.5703125" style="595" customWidth="1"/>
    <col min="10391" max="10391" width="11.28515625" style="595" customWidth="1"/>
    <col min="10392" max="10392" width="6.5703125" style="595" customWidth="1"/>
    <col min="10393" max="10393" width="12.140625" style="595" customWidth="1"/>
    <col min="10394" max="10394" width="7.42578125" style="595" customWidth="1"/>
    <col min="10395" max="10395" width="12.42578125" style="595" customWidth="1"/>
    <col min="10396" max="10396" width="7.5703125" style="595" customWidth="1"/>
    <col min="10397" max="10397" width="11.28515625" style="595" customWidth="1"/>
    <col min="10398" max="10398" width="7.140625" style="595" customWidth="1"/>
    <col min="10399" max="10399" width="10.85546875" style="595" customWidth="1"/>
    <col min="10400" max="10400" width="6.140625" style="595" customWidth="1"/>
    <col min="10401" max="10401" width="10.7109375" style="595" customWidth="1"/>
    <col min="10402" max="10402" width="6.85546875" style="595" customWidth="1"/>
    <col min="10403" max="10403" width="10.7109375" style="595" customWidth="1"/>
    <col min="10404" max="10404" width="7" style="595" customWidth="1"/>
    <col min="10405" max="10405" width="11.85546875" style="595" customWidth="1"/>
    <col min="10406" max="10406" width="7.42578125" style="595" customWidth="1"/>
    <col min="10407" max="10407" width="10.7109375" style="595" customWidth="1"/>
    <col min="10408" max="10408" width="8.42578125" style="595" customWidth="1"/>
    <col min="10409" max="10409" width="11.140625" style="595" customWidth="1"/>
    <col min="10410" max="10410" width="8" style="595" customWidth="1"/>
    <col min="10411" max="10411" width="10.85546875" style="595" customWidth="1"/>
    <col min="10412" max="10412" width="7.5703125" style="595" customWidth="1"/>
    <col min="10413" max="10413" width="14.28515625" style="595" customWidth="1"/>
    <col min="10414" max="10414" width="6.5703125" style="595" customWidth="1"/>
    <col min="10415" max="10415" width="14.140625" style="595" customWidth="1"/>
    <col min="10416" max="10416" width="6.5703125" style="595" customWidth="1"/>
    <col min="10417" max="10417" width="14.28515625" style="595" customWidth="1"/>
    <col min="10418" max="10418" width="7.85546875" style="595" customWidth="1"/>
    <col min="10419" max="10419" width="14.140625" style="595" customWidth="1"/>
    <col min="10420" max="10420" width="6.85546875" style="595" customWidth="1"/>
    <col min="10421" max="10421" width="14.140625" style="595" customWidth="1"/>
    <col min="10422" max="10422" width="6.28515625" style="595" customWidth="1"/>
    <col min="10423" max="10423" width="14.140625" style="595" customWidth="1"/>
    <col min="10424" max="10424" width="5.85546875" style="595" customWidth="1"/>
    <col min="10425" max="10425" width="14.85546875" style="595" customWidth="1"/>
    <col min="10426" max="10426" width="6.85546875" style="595" customWidth="1"/>
    <col min="10427" max="10427" width="14.28515625" style="595" customWidth="1"/>
    <col min="10428" max="10428" width="7.28515625" style="595" customWidth="1"/>
    <col min="10429" max="10429" width="14.28515625" style="595" customWidth="1"/>
    <col min="10430" max="10430" width="6.42578125" style="595" customWidth="1"/>
    <col min="10431" max="10431" width="14" style="595" customWidth="1"/>
    <col min="10432" max="10432" width="7" style="595" customWidth="1"/>
    <col min="10433" max="10433" width="14" style="595" customWidth="1"/>
    <col min="10434" max="10434" width="6.42578125" style="595" customWidth="1"/>
    <col min="10435" max="10435" width="14.140625" style="595" customWidth="1"/>
    <col min="10436" max="10436" width="6.28515625" style="595" customWidth="1"/>
    <col min="10437" max="10437" width="14.140625" style="595" customWidth="1"/>
    <col min="10438" max="10438" width="7" style="595" customWidth="1"/>
    <col min="10439" max="10439" width="14.140625" style="595" customWidth="1"/>
    <col min="10440" max="10440" width="7.42578125" style="595" customWidth="1"/>
    <col min="10441" max="10441" width="14.5703125" style="595" customWidth="1"/>
    <col min="10442" max="10442" width="6.7109375" style="595" customWidth="1"/>
    <col min="10443" max="10443" width="14.140625" style="595" customWidth="1"/>
    <col min="10444" max="10444" width="7" style="595" customWidth="1"/>
    <col min="10445" max="10445" width="14.5703125" style="595" customWidth="1"/>
    <col min="10446" max="10446" width="7.42578125" style="595" customWidth="1"/>
    <col min="10447" max="10447" width="14.5703125" style="595" customWidth="1"/>
    <col min="10448" max="10448" width="6.42578125" style="595" customWidth="1"/>
    <col min="10449" max="10449" width="14.7109375" style="595" customWidth="1"/>
    <col min="10450" max="10450" width="6.85546875" style="595" customWidth="1"/>
    <col min="10451" max="10451" width="14.5703125" style="595" customWidth="1"/>
    <col min="10452" max="10452" width="7.140625" style="595" customWidth="1"/>
    <col min="10453" max="10453" width="14.5703125" style="595" customWidth="1"/>
    <col min="10454" max="10454" width="6.7109375" style="595" customWidth="1"/>
    <col min="10455" max="10455" width="14.140625" style="595" customWidth="1"/>
    <col min="10456" max="10456" width="5.85546875" style="595" customWidth="1"/>
    <col min="10457" max="10457" width="14" style="595" customWidth="1"/>
    <col min="10458" max="10458" width="8.28515625" style="595" customWidth="1"/>
    <col min="10459" max="10459" width="14.7109375" style="595" customWidth="1"/>
    <col min="10460" max="10460" width="7.140625" style="595" customWidth="1"/>
    <col min="10461" max="10461" width="14.7109375" style="595" customWidth="1"/>
    <col min="10462" max="10462" width="7.140625" style="595" customWidth="1"/>
    <col min="10463" max="10463" width="14" style="595" customWidth="1"/>
    <col min="10464" max="10464" width="6.42578125" style="595" customWidth="1"/>
    <col min="10465" max="10465" width="14" style="595" customWidth="1"/>
    <col min="10466" max="10466" width="6.28515625" style="595" customWidth="1"/>
    <col min="10467" max="10467" width="14.42578125" style="595" customWidth="1"/>
    <col min="10468" max="10468" width="6.28515625" style="595" customWidth="1"/>
    <col min="10469" max="10469" width="14.85546875" style="595" customWidth="1"/>
    <col min="10470" max="10470" width="7.28515625" style="595" customWidth="1"/>
    <col min="10471" max="10471" width="14.42578125" style="595" customWidth="1"/>
    <col min="10472" max="10472" width="7.28515625" style="595" customWidth="1"/>
    <col min="10473" max="10473" width="14.7109375" style="595" customWidth="1"/>
    <col min="10474" max="10474" width="6" style="595" customWidth="1"/>
    <col min="10475" max="10475" width="14.5703125" style="595" customWidth="1"/>
    <col min="10476" max="10476" width="6.42578125" style="595" customWidth="1"/>
    <col min="10477" max="10477" width="14.140625" style="595" customWidth="1"/>
    <col min="10478" max="10478" width="7.5703125" style="595" customWidth="1"/>
    <col min="10479" max="10479" width="14.5703125" style="595" customWidth="1"/>
    <col min="10480" max="10480" width="6.7109375" style="595" customWidth="1"/>
    <col min="10481" max="10481" width="15" style="595" customWidth="1"/>
    <col min="10482" max="10482" width="9.140625" style="595"/>
    <col min="10483" max="10483" width="14" style="595" customWidth="1"/>
    <col min="10484" max="10484" width="9.140625" style="595"/>
    <col min="10485" max="10485" width="14" style="595" customWidth="1"/>
    <col min="10486" max="10490" width="9.140625" style="595"/>
    <col min="10491" max="10491" width="41.28515625" style="595" customWidth="1"/>
    <col min="10492" max="10563" width="9.140625" style="595"/>
    <col min="10564" max="10564" width="21.140625" style="595" customWidth="1"/>
    <col min="10565" max="10565" width="7.28515625" style="595" customWidth="1"/>
    <col min="10566" max="10566" width="15" style="595" customWidth="1"/>
    <col min="10567" max="10567" width="23.28515625" style="595" customWidth="1"/>
    <col min="10568" max="10568" width="25.5703125" style="595" customWidth="1"/>
    <col min="10569" max="10569" width="7" style="595" bestFit="1" customWidth="1"/>
    <col min="10570" max="10570" width="6.42578125" style="595" bestFit="1" customWidth="1"/>
    <col min="10571" max="10571" width="7.85546875" style="595" customWidth="1"/>
    <col min="10572" max="10572" width="8.7109375" style="595" customWidth="1"/>
    <col min="10573" max="10573" width="7" style="595" bestFit="1" customWidth="1"/>
    <col min="10574" max="10574" width="6.42578125" style="595" bestFit="1" customWidth="1"/>
    <col min="10575" max="10575" width="6.85546875" style="595" customWidth="1"/>
    <col min="10576" max="10576" width="7.140625" style="595" customWidth="1"/>
    <col min="10577" max="10577" width="7" style="595" bestFit="1" customWidth="1"/>
    <col min="10578" max="10578" width="6.42578125" style="595" bestFit="1" customWidth="1"/>
    <col min="10579" max="10579" width="6" style="595" customWidth="1"/>
    <col min="10580" max="10580" width="9.7109375" style="595" customWidth="1"/>
    <col min="10581" max="10581" width="7" style="595" bestFit="1" customWidth="1"/>
    <col min="10582" max="10582" width="6.42578125" style="595" bestFit="1" customWidth="1"/>
    <col min="10583" max="10583" width="7.7109375" style="595" customWidth="1"/>
    <col min="10584" max="10588" width="7.28515625" style="595" customWidth="1"/>
    <col min="10589" max="10589" width="7" style="595" customWidth="1"/>
    <col min="10590" max="10591" width="5.140625" style="595" bestFit="1" customWidth="1"/>
    <col min="10592" max="10592" width="20.5703125" style="595" customWidth="1"/>
    <col min="10593" max="10593" width="8.85546875" style="595" customWidth="1"/>
    <col min="10594" max="10594" width="18.7109375" style="595" customWidth="1"/>
    <col min="10595" max="10595" width="9.7109375" style="595" customWidth="1"/>
    <col min="10596" max="10596" width="8.85546875" style="595" customWidth="1"/>
    <col min="10597" max="10597" width="10.7109375" style="595" customWidth="1"/>
    <col min="10598" max="10598" width="35.85546875" style="595" customWidth="1"/>
    <col min="10599" max="10599" width="18.7109375" style="595" customWidth="1"/>
    <col min="10600" max="10600" width="9.140625" style="595"/>
    <col min="10601" max="10601" width="9.28515625" style="595" bestFit="1" customWidth="1"/>
    <col min="10602" max="10602" width="9.140625" style="595"/>
    <col min="10603" max="10603" width="9" style="595" customWidth="1"/>
    <col min="10604" max="10604" width="9.5703125" style="595" customWidth="1"/>
    <col min="10605" max="10605" width="11.28515625" style="595" customWidth="1"/>
    <col min="10606" max="10606" width="9.140625" style="595"/>
    <col min="10607" max="10607" width="12.7109375" style="595" customWidth="1"/>
    <col min="10608" max="10608" width="9.140625" style="595"/>
    <col min="10609" max="10609" width="20.5703125" style="595" customWidth="1"/>
    <col min="10610" max="10610" width="15.7109375" style="595" customWidth="1"/>
    <col min="10611" max="10611" width="20.7109375" style="595" customWidth="1"/>
    <col min="10612" max="10612" width="18.28515625" style="595" customWidth="1"/>
    <col min="10613" max="10615" width="9.140625" style="595"/>
    <col min="10616" max="10616" width="13.5703125" style="595" customWidth="1"/>
    <col min="10617" max="10617" width="14.7109375" style="595" customWidth="1"/>
    <col min="10618" max="10618" width="7.28515625" style="595" customWidth="1"/>
    <col min="10619" max="10619" width="17.7109375" style="595" customWidth="1"/>
    <col min="10620" max="10620" width="13.5703125" style="595" customWidth="1"/>
    <col min="10621" max="10621" width="15.5703125" style="595" customWidth="1"/>
    <col min="10622" max="10622" width="16.28515625" style="595" customWidth="1"/>
    <col min="10623" max="10623" width="15.140625" style="595" customWidth="1"/>
    <col min="10624" max="10624" width="9.140625" style="595"/>
    <col min="10625" max="10625" width="14.140625" style="595" customWidth="1"/>
    <col min="10626" max="10626" width="6.5703125" style="595" customWidth="1"/>
    <col min="10627" max="10627" width="14.5703125" style="595" customWidth="1"/>
    <col min="10628" max="10628" width="6.42578125" style="595" customWidth="1"/>
    <col min="10629" max="10629" width="12.85546875" style="595" customWidth="1"/>
    <col min="10630" max="10630" width="7.85546875" style="595" customWidth="1"/>
    <col min="10631" max="10631" width="10.7109375" style="595" customWidth="1"/>
    <col min="10632" max="10632" width="7.140625" style="595" customWidth="1"/>
    <col min="10633" max="10633" width="11.85546875" style="595" customWidth="1"/>
    <col min="10634" max="10634" width="7.42578125" style="595" customWidth="1"/>
    <col min="10635" max="10635" width="12.140625" style="595" customWidth="1"/>
    <col min="10636" max="10636" width="8.42578125" style="595" customWidth="1"/>
    <col min="10637" max="10637" width="11.85546875" style="595" customWidth="1"/>
    <col min="10638" max="10638" width="6.85546875" style="595" customWidth="1"/>
    <col min="10639" max="10639" width="11.42578125" style="595" customWidth="1"/>
    <col min="10640" max="10640" width="9" style="595" customWidth="1"/>
    <col min="10641" max="10641" width="12.42578125" style="595" customWidth="1"/>
    <col min="10642" max="10642" width="5.85546875" style="595" customWidth="1"/>
    <col min="10643" max="10643" width="13.28515625" style="595" customWidth="1"/>
    <col min="10644" max="10644" width="8.85546875" style="595" customWidth="1"/>
    <col min="10645" max="10645" width="12" style="595" customWidth="1"/>
    <col min="10646" max="10646" width="7.5703125" style="595" customWidth="1"/>
    <col min="10647" max="10647" width="11.28515625" style="595" customWidth="1"/>
    <col min="10648" max="10648" width="6.5703125" style="595" customWidth="1"/>
    <col min="10649" max="10649" width="12.140625" style="595" customWidth="1"/>
    <col min="10650" max="10650" width="7.42578125" style="595" customWidth="1"/>
    <col min="10651" max="10651" width="12.42578125" style="595" customWidth="1"/>
    <col min="10652" max="10652" width="7.5703125" style="595" customWidth="1"/>
    <col min="10653" max="10653" width="11.28515625" style="595" customWidth="1"/>
    <col min="10654" max="10654" width="7.140625" style="595" customWidth="1"/>
    <col min="10655" max="10655" width="10.85546875" style="595" customWidth="1"/>
    <col min="10656" max="10656" width="6.140625" style="595" customWidth="1"/>
    <col min="10657" max="10657" width="10.7109375" style="595" customWidth="1"/>
    <col min="10658" max="10658" width="6.85546875" style="595" customWidth="1"/>
    <col min="10659" max="10659" width="10.7109375" style="595" customWidth="1"/>
    <col min="10660" max="10660" width="7" style="595" customWidth="1"/>
    <col min="10661" max="10661" width="11.85546875" style="595" customWidth="1"/>
    <col min="10662" max="10662" width="7.42578125" style="595" customWidth="1"/>
    <col min="10663" max="10663" width="10.7109375" style="595" customWidth="1"/>
    <col min="10664" max="10664" width="8.42578125" style="595" customWidth="1"/>
    <col min="10665" max="10665" width="11.140625" style="595" customWidth="1"/>
    <col min="10666" max="10666" width="8" style="595" customWidth="1"/>
    <col min="10667" max="10667" width="10.85546875" style="595" customWidth="1"/>
    <col min="10668" max="10668" width="7.5703125" style="595" customWidth="1"/>
    <col min="10669" max="10669" width="14.28515625" style="595" customWidth="1"/>
    <col min="10670" max="10670" width="6.5703125" style="595" customWidth="1"/>
    <col min="10671" max="10671" width="14.140625" style="595" customWidth="1"/>
    <col min="10672" max="10672" width="6.5703125" style="595" customWidth="1"/>
    <col min="10673" max="10673" width="14.28515625" style="595" customWidth="1"/>
    <col min="10674" max="10674" width="7.85546875" style="595" customWidth="1"/>
    <col min="10675" max="10675" width="14.140625" style="595" customWidth="1"/>
    <col min="10676" max="10676" width="6.85546875" style="595" customWidth="1"/>
    <col min="10677" max="10677" width="14.140625" style="595" customWidth="1"/>
    <col min="10678" max="10678" width="6.28515625" style="595" customWidth="1"/>
    <col min="10679" max="10679" width="14.140625" style="595" customWidth="1"/>
    <col min="10680" max="10680" width="5.85546875" style="595" customWidth="1"/>
    <col min="10681" max="10681" width="14.85546875" style="595" customWidth="1"/>
    <col min="10682" max="10682" width="6.85546875" style="595" customWidth="1"/>
    <col min="10683" max="10683" width="14.28515625" style="595" customWidth="1"/>
    <col min="10684" max="10684" width="7.28515625" style="595" customWidth="1"/>
    <col min="10685" max="10685" width="14.28515625" style="595" customWidth="1"/>
    <col min="10686" max="10686" width="6.42578125" style="595" customWidth="1"/>
    <col min="10687" max="10687" width="14" style="595" customWidth="1"/>
    <col min="10688" max="10688" width="7" style="595" customWidth="1"/>
    <col min="10689" max="10689" width="14" style="595" customWidth="1"/>
    <col min="10690" max="10690" width="6.42578125" style="595" customWidth="1"/>
    <col min="10691" max="10691" width="14.140625" style="595" customWidth="1"/>
    <col min="10692" max="10692" width="6.28515625" style="595" customWidth="1"/>
    <col min="10693" max="10693" width="14.140625" style="595" customWidth="1"/>
    <col min="10694" max="10694" width="7" style="595" customWidth="1"/>
    <col min="10695" max="10695" width="14.140625" style="595" customWidth="1"/>
    <col min="10696" max="10696" width="7.42578125" style="595" customWidth="1"/>
    <col min="10697" max="10697" width="14.5703125" style="595" customWidth="1"/>
    <col min="10698" max="10698" width="6.7109375" style="595" customWidth="1"/>
    <col min="10699" max="10699" width="14.140625" style="595" customWidth="1"/>
    <col min="10700" max="10700" width="7" style="595" customWidth="1"/>
    <col min="10701" max="10701" width="14.5703125" style="595" customWidth="1"/>
    <col min="10702" max="10702" width="7.42578125" style="595" customWidth="1"/>
    <col min="10703" max="10703" width="14.5703125" style="595" customWidth="1"/>
    <col min="10704" max="10704" width="6.42578125" style="595" customWidth="1"/>
    <col min="10705" max="10705" width="14.7109375" style="595" customWidth="1"/>
    <col min="10706" max="10706" width="6.85546875" style="595" customWidth="1"/>
    <col min="10707" max="10707" width="14.5703125" style="595" customWidth="1"/>
    <col min="10708" max="10708" width="7.140625" style="595" customWidth="1"/>
    <col min="10709" max="10709" width="14.5703125" style="595" customWidth="1"/>
    <col min="10710" max="10710" width="6.7109375" style="595" customWidth="1"/>
    <col min="10711" max="10711" width="14.140625" style="595" customWidth="1"/>
    <col min="10712" max="10712" width="5.85546875" style="595" customWidth="1"/>
    <col min="10713" max="10713" width="14" style="595" customWidth="1"/>
    <col min="10714" max="10714" width="8.28515625" style="595" customWidth="1"/>
    <col min="10715" max="10715" width="14.7109375" style="595" customWidth="1"/>
    <col min="10716" max="10716" width="7.140625" style="595" customWidth="1"/>
    <col min="10717" max="10717" width="14.7109375" style="595" customWidth="1"/>
    <col min="10718" max="10718" width="7.140625" style="595" customWidth="1"/>
    <col min="10719" max="10719" width="14" style="595" customWidth="1"/>
    <col min="10720" max="10720" width="6.42578125" style="595" customWidth="1"/>
    <col min="10721" max="10721" width="14" style="595" customWidth="1"/>
    <col min="10722" max="10722" width="6.28515625" style="595" customWidth="1"/>
    <col min="10723" max="10723" width="14.42578125" style="595" customWidth="1"/>
    <col min="10724" max="10724" width="6.28515625" style="595" customWidth="1"/>
    <col min="10725" max="10725" width="14.85546875" style="595" customWidth="1"/>
    <col min="10726" max="10726" width="7.28515625" style="595" customWidth="1"/>
    <col min="10727" max="10727" width="14.42578125" style="595" customWidth="1"/>
    <col min="10728" max="10728" width="7.28515625" style="595" customWidth="1"/>
    <col min="10729" max="10729" width="14.7109375" style="595" customWidth="1"/>
    <col min="10730" max="10730" width="6" style="595" customWidth="1"/>
    <col min="10731" max="10731" width="14.5703125" style="595" customWidth="1"/>
    <col min="10732" max="10732" width="6.42578125" style="595" customWidth="1"/>
    <col min="10733" max="10733" width="14.140625" style="595" customWidth="1"/>
    <col min="10734" max="10734" width="7.5703125" style="595" customWidth="1"/>
    <col min="10735" max="10735" width="14.5703125" style="595" customWidth="1"/>
    <col min="10736" max="10736" width="6.7109375" style="595" customWidth="1"/>
    <col min="10737" max="10737" width="15" style="595" customWidth="1"/>
    <col min="10738" max="10738" width="9.140625" style="595"/>
    <col min="10739" max="10739" width="14" style="595" customWidth="1"/>
    <col min="10740" max="10740" width="9.140625" style="595"/>
    <col min="10741" max="10741" width="14" style="595" customWidth="1"/>
    <col min="10742" max="10746" width="9.140625" style="595"/>
    <col min="10747" max="10747" width="41.28515625" style="595" customWidth="1"/>
    <col min="10748" max="10819" width="9.140625" style="595"/>
    <col min="10820" max="10820" width="21.140625" style="595" customWidth="1"/>
    <col min="10821" max="10821" width="7.28515625" style="595" customWidth="1"/>
    <col min="10822" max="10822" width="15" style="595" customWidth="1"/>
    <col min="10823" max="10823" width="23.28515625" style="595" customWidth="1"/>
    <col min="10824" max="10824" width="25.5703125" style="595" customWidth="1"/>
    <col min="10825" max="10825" width="7" style="595" bestFit="1" customWidth="1"/>
    <col min="10826" max="10826" width="6.42578125" style="595" bestFit="1" customWidth="1"/>
    <col min="10827" max="10827" width="7.85546875" style="595" customWidth="1"/>
    <col min="10828" max="10828" width="8.7109375" style="595" customWidth="1"/>
    <col min="10829" max="10829" width="7" style="595" bestFit="1" customWidth="1"/>
    <col min="10830" max="10830" width="6.42578125" style="595" bestFit="1" customWidth="1"/>
    <col min="10831" max="10831" width="6.85546875" style="595" customWidth="1"/>
    <col min="10832" max="10832" width="7.140625" style="595" customWidth="1"/>
    <col min="10833" max="10833" width="7" style="595" bestFit="1" customWidth="1"/>
    <col min="10834" max="10834" width="6.42578125" style="595" bestFit="1" customWidth="1"/>
    <col min="10835" max="10835" width="6" style="595" customWidth="1"/>
    <col min="10836" max="10836" width="9.7109375" style="595" customWidth="1"/>
    <col min="10837" max="10837" width="7" style="595" bestFit="1" customWidth="1"/>
    <col min="10838" max="10838" width="6.42578125" style="595" bestFit="1" customWidth="1"/>
    <col min="10839" max="10839" width="7.7109375" style="595" customWidth="1"/>
    <col min="10840" max="10844" width="7.28515625" style="595" customWidth="1"/>
    <col min="10845" max="10845" width="7" style="595" customWidth="1"/>
    <col min="10846" max="10847" width="5.140625" style="595" bestFit="1" customWidth="1"/>
    <col min="10848" max="10848" width="20.5703125" style="595" customWidth="1"/>
    <col min="10849" max="10849" width="8.85546875" style="595" customWidth="1"/>
    <col min="10850" max="10850" width="18.7109375" style="595" customWidth="1"/>
    <col min="10851" max="10851" width="9.7109375" style="595" customWidth="1"/>
    <col min="10852" max="10852" width="8.85546875" style="595" customWidth="1"/>
    <col min="10853" max="10853" width="10.7109375" style="595" customWidth="1"/>
    <col min="10854" max="10854" width="35.85546875" style="595" customWidth="1"/>
    <col min="10855" max="10855" width="18.7109375" style="595" customWidth="1"/>
    <col min="10856" max="10856" width="9.140625" style="595"/>
    <col min="10857" max="10857" width="9.28515625" style="595" bestFit="1" customWidth="1"/>
    <col min="10858" max="10858" width="9.140625" style="595"/>
    <col min="10859" max="10859" width="9" style="595" customWidth="1"/>
    <col min="10860" max="10860" width="9.5703125" style="595" customWidth="1"/>
    <col min="10861" max="10861" width="11.28515625" style="595" customWidth="1"/>
    <col min="10862" max="10862" width="9.140625" style="595"/>
    <col min="10863" max="10863" width="12.7109375" style="595" customWidth="1"/>
    <col min="10864" max="10864" width="9.140625" style="595"/>
    <col min="10865" max="10865" width="20.5703125" style="595" customWidth="1"/>
    <col min="10866" max="10866" width="15.7109375" style="595" customWidth="1"/>
    <col min="10867" max="10867" width="20.7109375" style="595" customWidth="1"/>
    <col min="10868" max="10868" width="18.28515625" style="595" customWidth="1"/>
    <col min="10869" max="10871" width="9.140625" style="595"/>
    <col min="10872" max="10872" width="13.5703125" style="595" customWidth="1"/>
    <col min="10873" max="10873" width="14.7109375" style="595" customWidth="1"/>
    <col min="10874" max="10874" width="7.28515625" style="595" customWidth="1"/>
    <col min="10875" max="10875" width="17.7109375" style="595" customWidth="1"/>
    <col min="10876" max="10876" width="13.5703125" style="595" customWidth="1"/>
    <col min="10877" max="10877" width="15.5703125" style="595" customWidth="1"/>
    <col min="10878" max="10878" width="16.28515625" style="595" customWidth="1"/>
    <col min="10879" max="10879" width="15.140625" style="595" customWidth="1"/>
    <col min="10880" max="10880" width="9.140625" style="595"/>
    <col min="10881" max="10881" width="14.140625" style="595" customWidth="1"/>
    <col min="10882" max="10882" width="6.5703125" style="595" customWidth="1"/>
    <col min="10883" max="10883" width="14.5703125" style="595" customWidth="1"/>
    <col min="10884" max="10884" width="6.42578125" style="595" customWidth="1"/>
    <col min="10885" max="10885" width="12.85546875" style="595" customWidth="1"/>
    <col min="10886" max="10886" width="7.85546875" style="595" customWidth="1"/>
    <col min="10887" max="10887" width="10.7109375" style="595" customWidth="1"/>
    <col min="10888" max="10888" width="7.140625" style="595" customWidth="1"/>
    <col min="10889" max="10889" width="11.85546875" style="595" customWidth="1"/>
    <col min="10890" max="10890" width="7.42578125" style="595" customWidth="1"/>
    <col min="10891" max="10891" width="12.140625" style="595" customWidth="1"/>
    <col min="10892" max="10892" width="8.42578125" style="595" customWidth="1"/>
    <col min="10893" max="10893" width="11.85546875" style="595" customWidth="1"/>
    <col min="10894" max="10894" width="6.85546875" style="595" customWidth="1"/>
    <col min="10895" max="10895" width="11.42578125" style="595" customWidth="1"/>
    <col min="10896" max="10896" width="9" style="595" customWidth="1"/>
    <col min="10897" max="10897" width="12.42578125" style="595" customWidth="1"/>
    <col min="10898" max="10898" width="5.85546875" style="595" customWidth="1"/>
    <col min="10899" max="10899" width="13.28515625" style="595" customWidth="1"/>
    <col min="10900" max="10900" width="8.85546875" style="595" customWidth="1"/>
    <col min="10901" max="10901" width="12" style="595" customWidth="1"/>
    <col min="10902" max="10902" width="7.5703125" style="595" customWidth="1"/>
    <col min="10903" max="10903" width="11.28515625" style="595" customWidth="1"/>
    <col min="10904" max="10904" width="6.5703125" style="595" customWidth="1"/>
    <col min="10905" max="10905" width="12.140625" style="595" customWidth="1"/>
    <col min="10906" max="10906" width="7.42578125" style="595" customWidth="1"/>
    <col min="10907" max="10907" width="12.42578125" style="595" customWidth="1"/>
    <col min="10908" max="10908" width="7.5703125" style="595" customWidth="1"/>
    <col min="10909" max="10909" width="11.28515625" style="595" customWidth="1"/>
    <col min="10910" max="10910" width="7.140625" style="595" customWidth="1"/>
    <col min="10911" max="10911" width="10.85546875" style="595" customWidth="1"/>
    <col min="10912" max="10912" width="6.140625" style="595" customWidth="1"/>
    <col min="10913" max="10913" width="10.7109375" style="595" customWidth="1"/>
    <col min="10914" max="10914" width="6.85546875" style="595" customWidth="1"/>
    <col min="10915" max="10915" width="10.7109375" style="595" customWidth="1"/>
    <col min="10916" max="10916" width="7" style="595" customWidth="1"/>
    <col min="10917" max="10917" width="11.85546875" style="595" customWidth="1"/>
    <col min="10918" max="10918" width="7.42578125" style="595" customWidth="1"/>
    <col min="10919" max="10919" width="10.7109375" style="595" customWidth="1"/>
    <col min="10920" max="10920" width="8.42578125" style="595" customWidth="1"/>
    <col min="10921" max="10921" width="11.140625" style="595" customWidth="1"/>
    <col min="10922" max="10922" width="8" style="595" customWidth="1"/>
    <col min="10923" max="10923" width="10.85546875" style="595" customWidth="1"/>
    <col min="10924" max="10924" width="7.5703125" style="595" customWidth="1"/>
    <col min="10925" max="10925" width="14.28515625" style="595" customWidth="1"/>
    <col min="10926" max="10926" width="6.5703125" style="595" customWidth="1"/>
    <col min="10927" max="10927" width="14.140625" style="595" customWidth="1"/>
    <col min="10928" max="10928" width="6.5703125" style="595" customWidth="1"/>
    <col min="10929" max="10929" width="14.28515625" style="595" customWidth="1"/>
    <col min="10930" max="10930" width="7.85546875" style="595" customWidth="1"/>
    <col min="10931" max="10931" width="14.140625" style="595" customWidth="1"/>
    <col min="10932" max="10932" width="6.85546875" style="595" customWidth="1"/>
    <col min="10933" max="10933" width="14.140625" style="595" customWidth="1"/>
    <col min="10934" max="10934" width="6.28515625" style="595" customWidth="1"/>
    <col min="10935" max="10935" width="14.140625" style="595" customWidth="1"/>
    <col min="10936" max="10936" width="5.85546875" style="595" customWidth="1"/>
    <col min="10937" max="10937" width="14.85546875" style="595" customWidth="1"/>
    <col min="10938" max="10938" width="6.85546875" style="595" customWidth="1"/>
    <col min="10939" max="10939" width="14.28515625" style="595" customWidth="1"/>
    <col min="10940" max="10940" width="7.28515625" style="595" customWidth="1"/>
    <col min="10941" max="10941" width="14.28515625" style="595" customWidth="1"/>
    <col min="10942" max="10942" width="6.42578125" style="595" customWidth="1"/>
    <col min="10943" max="10943" width="14" style="595" customWidth="1"/>
    <col min="10944" max="10944" width="7" style="595" customWidth="1"/>
    <col min="10945" max="10945" width="14" style="595" customWidth="1"/>
    <col min="10946" max="10946" width="6.42578125" style="595" customWidth="1"/>
    <col min="10947" max="10947" width="14.140625" style="595" customWidth="1"/>
    <col min="10948" max="10948" width="6.28515625" style="595" customWidth="1"/>
    <col min="10949" max="10949" width="14.140625" style="595" customWidth="1"/>
    <col min="10950" max="10950" width="7" style="595" customWidth="1"/>
    <col min="10951" max="10951" width="14.140625" style="595" customWidth="1"/>
    <col min="10952" max="10952" width="7.42578125" style="595" customWidth="1"/>
    <col min="10953" max="10953" width="14.5703125" style="595" customWidth="1"/>
    <col min="10954" max="10954" width="6.7109375" style="595" customWidth="1"/>
    <col min="10955" max="10955" width="14.140625" style="595" customWidth="1"/>
    <col min="10956" max="10956" width="7" style="595" customWidth="1"/>
    <col min="10957" max="10957" width="14.5703125" style="595" customWidth="1"/>
    <col min="10958" max="10958" width="7.42578125" style="595" customWidth="1"/>
    <col min="10959" max="10959" width="14.5703125" style="595" customWidth="1"/>
    <col min="10960" max="10960" width="6.42578125" style="595" customWidth="1"/>
    <col min="10961" max="10961" width="14.7109375" style="595" customWidth="1"/>
    <col min="10962" max="10962" width="6.85546875" style="595" customWidth="1"/>
    <col min="10963" max="10963" width="14.5703125" style="595" customWidth="1"/>
    <col min="10964" max="10964" width="7.140625" style="595" customWidth="1"/>
    <col min="10965" max="10965" width="14.5703125" style="595" customWidth="1"/>
    <col min="10966" max="10966" width="6.7109375" style="595" customWidth="1"/>
    <col min="10967" max="10967" width="14.140625" style="595" customWidth="1"/>
    <col min="10968" max="10968" width="5.85546875" style="595" customWidth="1"/>
    <col min="10969" max="10969" width="14" style="595" customWidth="1"/>
    <col min="10970" max="10970" width="8.28515625" style="595" customWidth="1"/>
    <col min="10971" max="10971" width="14.7109375" style="595" customWidth="1"/>
    <col min="10972" max="10972" width="7.140625" style="595" customWidth="1"/>
    <col min="10973" max="10973" width="14.7109375" style="595" customWidth="1"/>
    <col min="10974" max="10974" width="7.140625" style="595" customWidth="1"/>
    <col min="10975" max="10975" width="14" style="595" customWidth="1"/>
    <col min="10976" max="10976" width="6.42578125" style="595" customWidth="1"/>
    <col min="10977" max="10977" width="14" style="595" customWidth="1"/>
    <col min="10978" max="10978" width="6.28515625" style="595" customWidth="1"/>
    <col min="10979" max="10979" width="14.42578125" style="595" customWidth="1"/>
    <col min="10980" max="10980" width="6.28515625" style="595" customWidth="1"/>
    <col min="10981" max="10981" width="14.85546875" style="595" customWidth="1"/>
    <col min="10982" max="10982" width="7.28515625" style="595" customWidth="1"/>
    <col min="10983" max="10983" width="14.42578125" style="595" customWidth="1"/>
    <col min="10984" max="10984" width="7.28515625" style="595" customWidth="1"/>
    <col min="10985" max="10985" width="14.7109375" style="595" customWidth="1"/>
    <col min="10986" max="10986" width="6" style="595" customWidth="1"/>
    <col min="10987" max="10987" width="14.5703125" style="595" customWidth="1"/>
    <col min="10988" max="10988" width="6.42578125" style="595" customWidth="1"/>
    <col min="10989" max="10989" width="14.140625" style="595" customWidth="1"/>
    <col min="10990" max="10990" width="7.5703125" style="595" customWidth="1"/>
    <col min="10991" max="10991" width="14.5703125" style="595" customWidth="1"/>
    <col min="10992" max="10992" width="6.7109375" style="595" customWidth="1"/>
    <col min="10993" max="10993" width="15" style="595" customWidth="1"/>
    <col min="10994" max="10994" width="9.140625" style="595"/>
    <col min="10995" max="10995" width="14" style="595" customWidth="1"/>
    <col min="10996" max="10996" width="9.140625" style="595"/>
    <col min="10997" max="10997" width="14" style="595" customWidth="1"/>
    <col min="10998" max="11002" width="9.140625" style="595"/>
    <col min="11003" max="11003" width="41.28515625" style="595" customWidth="1"/>
    <col min="11004" max="11075" width="9.140625" style="595"/>
    <col min="11076" max="11076" width="21.140625" style="595" customWidth="1"/>
    <col min="11077" max="11077" width="7.28515625" style="595" customWidth="1"/>
    <col min="11078" max="11078" width="15" style="595" customWidth="1"/>
    <col min="11079" max="11079" width="23.28515625" style="595" customWidth="1"/>
    <col min="11080" max="11080" width="25.5703125" style="595" customWidth="1"/>
    <col min="11081" max="11081" width="7" style="595" bestFit="1" customWidth="1"/>
    <col min="11082" max="11082" width="6.42578125" style="595" bestFit="1" customWidth="1"/>
    <col min="11083" max="11083" width="7.85546875" style="595" customWidth="1"/>
    <col min="11084" max="11084" width="8.7109375" style="595" customWidth="1"/>
    <col min="11085" max="11085" width="7" style="595" bestFit="1" customWidth="1"/>
    <col min="11086" max="11086" width="6.42578125" style="595" bestFit="1" customWidth="1"/>
    <col min="11087" max="11087" width="6.85546875" style="595" customWidth="1"/>
    <col min="11088" max="11088" width="7.140625" style="595" customWidth="1"/>
    <col min="11089" max="11089" width="7" style="595" bestFit="1" customWidth="1"/>
    <col min="11090" max="11090" width="6.42578125" style="595" bestFit="1" customWidth="1"/>
    <col min="11091" max="11091" width="6" style="595" customWidth="1"/>
    <col min="11092" max="11092" width="9.7109375" style="595" customWidth="1"/>
    <col min="11093" max="11093" width="7" style="595" bestFit="1" customWidth="1"/>
    <col min="11094" max="11094" width="6.42578125" style="595" bestFit="1" customWidth="1"/>
    <col min="11095" max="11095" width="7.7109375" style="595" customWidth="1"/>
    <col min="11096" max="11100" width="7.28515625" style="595" customWidth="1"/>
    <col min="11101" max="11101" width="7" style="595" customWidth="1"/>
    <col min="11102" max="11103" width="5.140625" style="595" bestFit="1" customWidth="1"/>
    <col min="11104" max="11104" width="20.5703125" style="595" customWidth="1"/>
    <col min="11105" max="11105" width="8.85546875" style="595" customWidth="1"/>
    <col min="11106" max="11106" width="18.7109375" style="595" customWidth="1"/>
    <col min="11107" max="11107" width="9.7109375" style="595" customWidth="1"/>
    <col min="11108" max="11108" width="8.85546875" style="595" customWidth="1"/>
    <col min="11109" max="11109" width="10.7109375" style="595" customWidth="1"/>
    <col min="11110" max="11110" width="35.85546875" style="595" customWidth="1"/>
    <col min="11111" max="11111" width="18.7109375" style="595" customWidth="1"/>
    <col min="11112" max="11112" width="9.140625" style="595"/>
    <col min="11113" max="11113" width="9.28515625" style="595" bestFit="1" customWidth="1"/>
    <col min="11114" max="11114" width="9.140625" style="595"/>
    <col min="11115" max="11115" width="9" style="595" customWidth="1"/>
    <col min="11116" max="11116" width="9.5703125" style="595" customWidth="1"/>
    <col min="11117" max="11117" width="11.28515625" style="595" customWidth="1"/>
    <col min="11118" max="11118" width="9.140625" style="595"/>
    <col min="11119" max="11119" width="12.7109375" style="595" customWidth="1"/>
    <col min="11120" max="11120" width="9.140625" style="595"/>
    <col min="11121" max="11121" width="20.5703125" style="595" customWidth="1"/>
    <col min="11122" max="11122" width="15.7109375" style="595" customWidth="1"/>
    <col min="11123" max="11123" width="20.7109375" style="595" customWidth="1"/>
    <col min="11124" max="11124" width="18.28515625" style="595" customWidth="1"/>
    <col min="11125" max="11127" width="9.140625" style="595"/>
    <col min="11128" max="11128" width="13.5703125" style="595" customWidth="1"/>
    <col min="11129" max="11129" width="14.7109375" style="595" customWidth="1"/>
    <col min="11130" max="11130" width="7.28515625" style="595" customWidth="1"/>
    <col min="11131" max="11131" width="17.7109375" style="595" customWidth="1"/>
    <col min="11132" max="11132" width="13.5703125" style="595" customWidth="1"/>
    <col min="11133" max="11133" width="15.5703125" style="595" customWidth="1"/>
    <col min="11134" max="11134" width="16.28515625" style="595" customWidth="1"/>
    <col min="11135" max="11135" width="15.140625" style="595" customWidth="1"/>
    <col min="11136" max="11136" width="9.140625" style="595"/>
    <col min="11137" max="11137" width="14.140625" style="595" customWidth="1"/>
    <col min="11138" max="11138" width="6.5703125" style="595" customWidth="1"/>
    <col min="11139" max="11139" width="14.5703125" style="595" customWidth="1"/>
    <col min="11140" max="11140" width="6.42578125" style="595" customWidth="1"/>
    <col min="11141" max="11141" width="12.85546875" style="595" customWidth="1"/>
    <col min="11142" max="11142" width="7.85546875" style="595" customWidth="1"/>
    <col min="11143" max="11143" width="10.7109375" style="595" customWidth="1"/>
    <col min="11144" max="11144" width="7.140625" style="595" customWidth="1"/>
    <col min="11145" max="11145" width="11.85546875" style="595" customWidth="1"/>
    <col min="11146" max="11146" width="7.42578125" style="595" customWidth="1"/>
    <col min="11147" max="11147" width="12.140625" style="595" customWidth="1"/>
    <col min="11148" max="11148" width="8.42578125" style="595" customWidth="1"/>
    <col min="11149" max="11149" width="11.85546875" style="595" customWidth="1"/>
    <col min="11150" max="11150" width="6.85546875" style="595" customWidth="1"/>
    <col min="11151" max="11151" width="11.42578125" style="595" customWidth="1"/>
    <col min="11152" max="11152" width="9" style="595" customWidth="1"/>
    <col min="11153" max="11153" width="12.42578125" style="595" customWidth="1"/>
    <col min="11154" max="11154" width="5.85546875" style="595" customWidth="1"/>
    <col min="11155" max="11155" width="13.28515625" style="595" customWidth="1"/>
    <col min="11156" max="11156" width="8.85546875" style="595" customWidth="1"/>
    <col min="11157" max="11157" width="12" style="595" customWidth="1"/>
    <col min="11158" max="11158" width="7.5703125" style="595" customWidth="1"/>
    <col min="11159" max="11159" width="11.28515625" style="595" customWidth="1"/>
    <col min="11160" max="11160" width="6.5703125" style="595" customWidth="1"/>
    <col min="11161" max="11161" width="12.140625" style="595" customWidth="1"/>
    <col min="11162" max="11162" width="7.42578125" style="595" customWidth="1"/>
    <col min="11163" max="11163" width="12.42578125" style="595" customWidth="1"/>
    <col min="11164" max="11164" width="7.5703125" style="595" customWidth="1"/>
    <col min="11165" max="11165" width="11.28515625" style="595" customWidth="1"/>
    <col min="11166" max="11166" width="7.140625" style="595" customWidth="1"/>
    <col min="11167" max="11167" width="10.85546875" style="595" customWidth="1"/>
    <col min="11168" max="11168" width="6.140625" style="595" customWidth="1"/>
    <col min="11169" max="11169" width="10.7109375" style="595" customWidth="1"/>
    <col min="11170" max="11170" width="6.85546875" style="595" customWidth="1"/>
    <col min="11171" max="11171" width="10.7109375" style="595" customWidth="1"/>
    <col min="11172" max="11172" width="7" style="595" customWidth="1"/>
    <col min="11173" max="11173" width="11.85546875" style="595" customWidth="1"/>
    <col min="11174" max="11174" width="7.42578125" style="595" customWidth="1"/>
    <col min="11175" max="11175" width="10.7109375" style="595" customWidth="1"/>
    <col min="11176" max="11176" width="8.42578125" style="595" customWidth="1"/>
    <col min="11177" max="11177" width="11.140625" style="595" customWidth="1"/>
    <col min="11178" max="11178" width="8" style="595" customWidth="1"/>
    <col min="11179" max="11179" width="10.85546875" style="595" customWidth="1"/>
    <col min="11180" max="11180" width="7.5703125" style="595" customWidth="1"/>
    <col min="11181" max="11181" width="14.28515625" style="595" customWidth="1"/>
    <col min="11182" max="11182" width="6.5703125" style="595" customWidth="1"/>
    <col min="11183" max="11183" width="14.140625" style="595" customWidth="1"/>
    <col min="11184" max="11184" width="6.5703125" style="595" customWidth="1"/>
    <col min="11185" max="11185" width="14.28515625" style="595" customWidth="1"/>
    <col min="11186" max="11186" width="7.85546875" style="595" customWidth="1"/>
    <col min="11187" max="11187" width="14.140625" style="595" customWidth="1"/>
    <col min="11188" max="11188" width="6.85546875" style="595" customWidth="1"/>
    <col min="11189" max="11189" width="14.140625" style="595" customWidth="1"/>
    <col min="11190" max="11190" width="6.28515625" style="595" customWidth="1"/>
    <col min="11191" max="11191" width="14.140625" style="595" customWidth="1"/>
    <col min="11192" max="11192" width="5.85546875" style="595" customWidth="1"/>
    <col min="11193" max="11193" width="14.85546875" style="595" customWidth="1"/>
    <col min="11194" max="11194" width="6.85546875" style="595" customWidth="1"/>
    <col min="11195" max="11195" width="14.28515625" style="595" customWidth="1"/>
    <col min="11196" max="11196" width="7.28515625" style="595" customWidth="1"/>
    <col min="11197" max="11197" width="14.28515625" style="595" customWidth="1"/>
    <col min="11198" max="11198" width="6.42578125" style="595" customWidth="1"/>
    <col min="11199" max="11199" width="14" style="595" customWidth="1"/>
    <col min="11200" max="11200" width="7" style="595" customWidth="1"/>
    <col min="11201" max="11201" width="14" style="595" customWidth="1"/>
    <col min="11202" max="11202" width="6.42578125" style="595" customWidth="1"/>
    <col min="11203" max="11203" width="14.140625" style="595" customWidth="1"/>
    <col min="11204" max="11204" width="6.28515625" style="595" customWidth="1"/>
    <col min="11205" max="11205" width="14.140625" style="595" customWidth="1"/>
    <col min="11206" max="11206" width="7" style="595" customWidth="1"/>
    <col min="11207" max="11207" width="14.140625" style="595" customWidth="1"/>
    <col min="11208" max="11208" width="7.42578125" style="595" customWidth="1"/>
    <col min="11209" max="11209" width="14.5703125" style="595" customWidth="1"/>
    <col min="11210" max="11210" width="6.7109375" style="595" customWidth="1"/>
    <col min="11211" max="11211" width="14.140625" style="595" customWidth="1"/>
    <col min="11212" max="11212" width="7" style="595" customWidth="1"/>
    <col min="11213" max="11213" width="14.5703125" style="595" customWidth="1"/>
    <col min="11214" max="11214" width="7.42578125" style="595" customWidth="1"/>
    <col min="11215" max="11215" width="14.5703125" style="595" customWidth="1"/>
    <col min="11216" max="11216" width="6.42578125" style="595" customWidth="1"/>
    <col min="11217" max="11217" width="14.7109375" style="595" customWidth="1"/>
    <col min="11218" max="11218" width="6.85546875" style="595" customWidth="1"/>
    <col min="11219" max="11219" width="14.5703125" style="595" customWidth="1"/>
    <col min="11220" max="11220" width="7.140625" style="595" customWidth="1"/>
    <col min="11221" max="11221" width="14.5703125" style="595" customWidth="1"/>
    <col min="11222" max="11222" width="6.7109375" style="595" customWidth="1"/>
    <col min="11223" max="11223" width="14.140625" style="595" customWidth="1"/>
    <col min="11224" max="11224" width="5.85546875" style="595" customWidth="1"/>
    <col min="11225" max="11225" width="14" style="595" customWidth="1"/>
    <col min="11226" max="11226" width="8.28515625" style="595" customWidth="1"/>
    <col min="11227" max="11227" width="14.7109375" style="595" customWidth="1"/>
    <col min="11228" max="11228" width="7.140625" style="595" customWidth="1"/>
    <col min="11229" max="11229" width="14.7109375" style="595" customWidth="1"/>
    <col min="11230" max="11230" width="7.140625" style="595" customWidth="1"/>
    <col min="11231" max="11231" width="14" style="595" customWidth="1"/>
    <col min="11232" max="11232" width="6.42578125" style="595" customWidth="1"/>
    <col min="11233" max="11233" width="14" style="595" customWidth="1"/>
    <col min="11234" max="11234" width="6.28515625" style="595" customWidth="1"/>
    <col min="11235" max="11235" width="14.42578125" style="595" customWidth="1"/>
    <col min="11236" max="11236" width="6.28515625" style="595" customWidth="1"/>
    <col min="11237" max="11237" width="14.85546875" style="595" customWidth="1"/>
    <col min="11238" max="11238" width="7.28515625" style="595" customWidth="1"/>
    <col min="11239" max="11239" width="14.42578125" style="595" customWidth="1"/>
    <col min="11240" max="11240" width="7.28515625" style="595" customWidth="1"/>
    <col min="11241" max="11241" width="14.7109375" style="595" customWidth="1"/>
    <col min="11242" max="11242" width="6" style="595" customWidth="1"/>
    <col min="11243" max="11243" width="14.5703125" style="595" customWidth="1"/>
    <col min="11244" max="11244" width="6.42578125" style="595" customWidth="1"/>
    <col min="11245" max="11245" width="14.140625" style="595" customWidth="1"/>
    <col min="11246" max="11246" width="7.5703125" style="595" customWidth="1"/>
    <col min="11247" max="11247" width="14.5703125" style="595" customWidth="1"/>
    <col min="11248" max="11248" width="6.7109375" style="595" customWidth="1"/>
    <col min="11249" max="11249" width="15" style="595" customWidth="1"/>
    <col min="11250" max="11250" width="9.140625" style="595"/>
    <col min="11251" max="11251" width="14" style="595" customWidth="1"/>
    <col min="11252" max="11252" width="9.140625" style="595"/>
    <col min="11253" max="11253" width="14" style="595" customWidth="1"/>
    <col min="11254" max="11258" width="9.140625" style="595"/>
    <col min="11259" max="11259" width="41.28515625" style="595" customWidth="1"/>
    <col min="11260" max="11331" width="9.140625" style="595"/>
    <col min="11332" max="11332" width="21.140625" style="595" customWidth="1"/>
    <col min="11333" max="11333" width="7.28515625" style="595" customWidth="1"/>
    <col min="11334" max="11334" width="15" style="595" customWidth="1"/>
    <col min="11335" max="11335" width="23.28515625" style="595" customWidth="1"/>
    <col min="11336" max="11336" width="25.5703125" style="595" customWidth="1"/>
    <col min="11337" max="11337" width="7" style="595" bestFit="1" customWidth="1"/>
    <col min="11338" max="11338" width="6.42578125" style="595" bestFit="1" customWidth="1"/>
    <col min="11339" max="11339" width="7.85546875" style="595" customWidth="1"/>
    <col min="11340" max="11340" width="8.7109375" style="595" customWidth="1"/>
    <col min="11341" max="11341" width="7" style="595" bestFit="1" customWidth="1"/>
    <col min="11342" max="11342" width="6.42578125" style="595" bestFit="1" customWidth="1"/>
    <col min="11343" max="11343" width="6.85546875" style="595" customWidth="1"/>
    <col min="11344" max="11344" width="7.140625" style="595" customWidth="1"/>
    <col min="11345" max="11345" width="7" style="595" bestFit="1" customWidth="1"/>
    <col min="11346" max="11346" width="6.42578125" style="595" bestFit="1" customWidth="1"/>
    <col min="11347" max="11347" width="6" style="595" customWidth="1"/>
    <col min="11348" max="11348" width="9.7109375" style="595" customWidth="1"/>
    <col min="11349" max="11349" width="7" style="595" bestFit="1" customWidth="1"/>
    <col min="11350" max="11350" width="6.42578125" style="595" bestFit="1" customWidth="1"/>
    <col min="11351" max="11351" width="7.7109375" style="595" customWidth="1"/>
    <col min="11352" max="11356" width="7.28515625" style="595" customWidth="1"/>
    <col min="11357" max="11357" width="7" style="595" customWidth="1"/>
    <col min="11358" max="11359" width="5.140625" style="595" bestFit="1" customWidth="1"/>
    <col min="11360" max="11360" width="20.5703125" style="595" customWidth="1"/>
    <col min="11361" max="11361" width="8.85546875" style="595" customWidth="1"/>
    <col min="11362" max="11362" width="18.7109375" style="595" customWidth="1"/>
    <col min="11363" max="11363" width="9.7109375" style="595" customWidth="1"/>
    <col min="11364" max="11364" width="8.85546875" style="595" customWidth="1"/>
    <col min="11365" max="11365" width="10.7109375" style="595" customWidth="1"/>
    <col min="11366" max="11366" width="35.85546875" style="595" customWidth="1"/>
    <col min="11367" max="11367" width="18.7109375" style="595" customWidth="1"/>
    <col min="11368" max="11368" width="9.140625" style="595"/>
    <col min="11369" max="11369" width="9.28515625" style="595" bestFit="1" customWidth="1"/>
    <col min="11370" max="11370" width="9.140625" style="595"/>
    <col min="11371" max="11371" width="9" style="595" customWidth="1"/>
    <col min="11372" max="11372" width="9.5703125" style="595" customWidth="1"/>
    <col min="11373" max="11373" width="11.28515625" style="595" customWidth="1"/>
    <col min="11374" max="11374" width="9.140625" style="595"/>
    <col min="11375" max="11375" width="12.7109375" style="595" customWidth="1"/>
    <col min="11376" max="11376" width="9.140625" style="595"/>
    <col min="11377" max="11377" width="20.5703125" style="595" customWidth="1"/>
    <col min="11378" max="11378" width="15.7109375" style="595" customWidth="1"/>
    <col min="11379" max="11379" width="20.7109375" style="595" customWidth="1"/>
    <col min="11380" max="11380" width="18.28515625" style="595" customWidth="1"/>
    <col min="11381" max="11383" width="9.140625" style="595"/>
    <col min="11384" max="11384" width="13.5703125" style="595" customWidth="1"/>
    <col min="11385" max="11385" width="14.7109375" style="595" customWidth="1"/>
    <col min="11386" max="11386" width="7.28515625" style="595" customWidth="1"/>
    <col min="11387" max="11387" width="17.7109375" style="595" customWidth="1"/>
    <col min="11388" max="11388" width="13.5703125" style="595" customWidth="1"/>
    <col min="11389" max="11389" width="15.5703125" style="595" customWidth="1"/>
    <col min="11390" max="11390" width="16.28515625" style="595" customWidth="1"/>
    <col min="11391" max="11391" width="15.140625" style="595" customWidth="1"/>
    <col min="11392" max="11392" width="9.140625" style="595"/>
    <col min="11393" max="11393" width="14.140625" style="595" customWidth="1"/>
    <col min="11394" max="11394" width="6.5703125" style="595" customWidth="1"/>
    <col min="11395" max="11395" width="14.5703125" style="595" customWidth="1"/>
    <col min="11396" max="11396" width="6.42578125" style="595" customWidth="1"/>
    <col min="11397" max="11397" width="12.85546875" style="595" customWidth="1"/>
    <col min="11398" max="11398" width="7.85546875" style="595" customWidth="1"/>
    <col min="11399" max="11399" width="10.7109375" style="595" customWidth="1"/>
    <col min="11400" max="11400" width="7.140625" style="595" customWidth="1"/>
    <col min="11401" max="11401" width="11.85546875" style="595" customWidth="1"/>
    <col min="11402" max="11402" width="7.42578125" style="595" customWidth="1"/>
    <col min="11403" max="11403" width="12.140625" style="595" customWidth="1"/>
    <col min="11404" max="11404" width="8.42578125" style="595" customWidth="1"/>
    <col min="11405" max="11405" width="11.85546875" style="595" customWidth="1"/>
    <col min="11406" max="11406" width="6.85546875" style="595" customWidth="1"/>
    <col min="11407" max="11407" width="11.42578125" style="595" customWidth="1"/>
    <col min="11408" max="11408" width="9" style="595" customWidth="1"/>
    <col min="11409" max="11409" width="12.42578125" style="595" customWidth="1"/>
    <col min="11410" max="11410" width="5.85546875" style="595" customWidth="1"/>
    <col min="11411" max="11411" width="13.28515625" style="595" customWidth="1"/>
    <col min="11412" max="11412" width="8.85546875" style="595" customWidth="1"/>
    <col min="11413" max="11413" width="12" style="595" customWidth="1"/>
    <col min="11414" max="11414" width="7.5703125" style="595" customWidth="1"/>
    <col min="11415" max="11415" width="11.28515625" style="595" customWidth="1"/>
    <col min="11416" max="11416" width="6.5703125" style="595" customWidth="1"/>
    <col min="11417" max="11417" width="12.140625" style="595" customWidth="1"/>
    <col min="11418" max="11418" width="7.42578125" style="595" customWidth="1"/>
    <col min="11419" max="11419" width="12.42578125" style="595" customWidth="1"/>
    <col min="11420" max="11420" width="7.5703125" style="595" customWidth="1"/>
    <col min="11421" max="11421" width="11.28515625" style="595" customWidth="1"/>
    <col min="11422" max="11422" width="7.140625" style="595" customWidth="1"/>
    <col min="11423" max="11423" width="10.85546875" style="595" customWidth="1"/>
    <col min="11424" max="11424" width="6.140625" style="595" customWidth="1"/>
    <col min="11425" max="11425" width="10.7109375" style="595" customWidth="1"/>
    <col min="11426" max="11426" width="6.85546875" style="595" customWidth="1"/>
    <col min="11427" max="11427" width="10.7109375" style="595" customWidth="1"/>
    <col min="11428" max="11428" width="7" style="595" customWidth="1"/>
    <col min="11429" max="11429" width="11.85546875" style="595" customWidth="1"/>
    <col min="11430" max="11430" width="7.42578125" style="595" customWidth="1"/>
    <col min="11431" max="11431" width="10.7109375" style="595" customWidth="1"/>
    <col min="11432" max="11432" width="8.42578125" style="595" customWidth="1"/>
    <col min="11433" max="11433" width="11.140625" style="595" customWidth="1"/>
    <col min="11434" max="11434" width="8" style="595" customWidth="1"/>
    <col min="11435" max="11435" width="10.85546875" style="595" customWidth="1"/>
    <col min="11436" max="11436" width="7.5703125" style="595" customWidth="1"/>
    <col min="11437" max="11437" width="14.28515625" style="595" customWidth="1"/>
    <col min="11438" max="11438" width="6.5703125" style="595" customWidth="1"/>
    <col min="11439" max="11439" width="14.140625" style="595" customWidth="1"/>
    <col min="11440" max="11440" width="6.5703125" style="595" customWidth="1"/>
    <col min="11441" max="11441" width="14.28515625" style="595" customWidth="1"/>
    <col min="11442" max="11442" width="7.85546875" style="595" customWidth="1"/>
    <col min="11443" max="11443" width="14.140625" style="595" customWidth="1"/>
    <col min="11444" max="11444" width="6.85546875" style="595" customWidth="1"/>
    <col min="11445" max="11445" width="14.140625" style="595" customWidth="1"/>
    <col min="11446" max="11446" width="6.28515625" style="595" customWidth="1"/>
    <col min="11447" max="11447" width="14.140625" style="595" customWidth="1"/>
    <col min="11448" max="11448" width="5.85546875" style="595" customWidth="1"/>
    <col min="11449" max="11449" width="14.85546875" style="595" customWidth="1"/>
    <col min="11450" max="11450" width="6.85546875" style="595" customWidth="1"/>
    <col min="11451" max="11451" width="14.28515625" style="595" customWidth="1"/>
    <col min="11452" max="11452" width="7.28515625" style="595" customWidth="1"/>
    <col min="11453" max="11453" width="14.28515625" style="595" customWidth="1"/>
    <col min="11454" max="11454" width="6.42578125" style="595" customWidth="1"/>
    <col min="11455" max="11455" width="14" style="595" customWidth="1"/>
    <col min="11456" max="11456" width="7" style="595" customWidth="1"/>
    <col min="11457" max="11457" width="14" style="595" customWidth="1"/>
    <col min="11458" max="11458" width="6.42578125" style="595" customWidth="1"/>
    <col min="11459" max="11459" width="14.140625" style="595" customWidth="1"/>
    <col min="11460" max="11460" width="6.28515625" style="595" customWidth="1"/>
    <col min="11461" max="11461" width="14.140625" style="595" customWidth="1"/>
    <col min="11462" max="11462" width="7" style="595" customWidth="1"/>
    <col min="11463" max="11463" width="14.140625" style="595" customWidth="1"/>
    <col min="11464" max="11464" width="7.42578125" style="595" customWidth="1"/>
    <col min="11465" max="11465" width="14.5703125" style="595" customWidth="1"/>
    <col min="11466" max="11466" width="6.7109375" style="595" customWidth="1"/>
    <col min="11467" max="11467" width="14.140625" style="595" customWidth="1"/>
    <col min="11468" max="11468" width="7" style="595" customWidth="1"/>
    <col min="11469" max="11469" width="14.5703125" style="595" customWidth="1"/>
    <col min="11470" max="11470" width="7.42578125" style="595" customWidth="1"/>
    <col min="11471" max="11471" width="14.5703125" style="595" customWidth="1"/>
    <col min="11472" max="11472" width="6.42578125" style="595" customWidth="1"/>
    <col min="11473" max="11473" width="14.7109375" style="595" customWidth="1"/>
    <col min="11474" max="11474" width="6.85546875" style="595" customWidth="1"/>
    <col min="11475" max="11475" width="14.5703125" style="595" customWidth="1"/>
    <col min="11476" max="11476" width="7.140625" style="595" customWidth="1"/>
    <col min="11477" max="11477" width="14.5703125" style="595" customWidth="1"/>
    <col min="11478" max="11478" width="6.7109375" style="595" customWidth="1"/>
    <col min="11479" max="11479" width="14.140625" style="595" customWidth="1"/>
    <col min="11480" max="11480" width="5.85546875" style="595" customWidth="1"/>
    <col min="11481" max="11481" width="14" style="595" customWidth="1"/>
    <col min="11482" max="11482" width="8.28515625" style="595" customWidth="1"/>
    <col min="11483" max="11483" width="14.7109375" style="595" customWidth="1"/>
    <col min="11484" max="11484" width="7.140625" style="595" customWidth="1"/>
    <col min="11485" max="11485" width="14.7109375" style="595" customWidth="1"/>
    <col min="11486" max="11486" width="7.140625" style="595" customWidth="1"/>
    <col min="11487" max="11487" width="14" style="595" customWidth="1"/>
    <col min="11488" max="11488" width="6.42578125" style="595" customWidth="1"/>
    <col min="11489" max="11489" width="14" style="595" customWidth="1"/>
    <col min="11490" max="11490" width="6.28515625" style="595" customWidth="1"/>
    <col min="11491" max="11491" width="14.42578125" style="595" customWidth="1"/>
    <col min="11492" max="11492" width="6.28515625" style="595" customWidth="1"/>
    <col min="11493" max="11493" width="14.85546875" style="595" customWidth="1"/>
    <col min="11494" max="11494" width="7.28515625" style="595" customWidth="1"/>
    <col min="11495" max="11495" width="14.42578125" style="595" customWidth="1"/>
    <col min="11496" max="11496" width="7.28515625" style="595" customWidth="1"/>
    <col min="11497" max="11497" width="14.7109375" style="595" customWidth="1"/>
    <col min="11498" max="11498" width="6" style="595" customWidth="1"/>
    <col min="11499" max="11499" width="14.5703125" style="595" customWidth="1"/>
    <col min="11500" max="11500" width="6.42578125" style="595" customWidth="1"/>
    <col min="11501" max="11501" width="14.140625" style="595" customWidth="1"/>
    <col min="11502" max="11502" width="7.5703125" style="595" customWidth="1"/>
    <col min="11503" max="11503" width="14.5703125" style="595" customWidth="1"/>
    <col min="11504" max="11504" width="6.7109375" style="595" customWidth="1"/>
    <col min="11505" max="11505" width="15" style="595" customWidth="1"/>
    <col min="11506" max="11506" width="9.140625" style="595"/>
    <col min="11507" max="11507" width="14" style="595" customWidth="1"/>
    <col min="11508" max="11508" width="9.140625" style="595"/>
    <col min="11509" max="11509" width="14" style="595" customWidth="1"/>
    <col min="11510" max="11514" width="9.140625" style="595"/>
    <col min="11515" max="11515" width="41.28515625" style="595" customWidth="1"/>
    <col min="11516" max="11587" width="9.140625" style="595"/>
    <col min="11588" max="11588" width="21.140625" style="595" customWidth="1"/>
    <col min="11589" max="11589" width="7.28515625" style="595" customWidth="1"/>
    <col min="11590" max="11590" width="15" style="595" customWidth="1"/>
    <col min="11591" max="11591" width="23.28515625" style="595" customWidth="1"/>
    <col min="11592" max="11592" width="25.5703125" style="595" customWidth="1"/>
    <col min="11593" max="11593" width="7" style="595" bestFit="1" customWidth="1"/>
    <col min="11594" max="11594" width="6.42578125" style="595" bestFit="1" customWidth="1"/>
    <col min="11595" max="11595" width="7.85546875" style="595" customWidth="1"/>
    <col min="11596" max="11596" width="8.7109375" style="595" customWidth="1"/>
    <col min="11597" max="11597" width="7" style="595" bestFit="1" customWidth="1"/>
    <col min="11598" max="11598" width="6.42578125" style="595" bestFit="1" customWidth="1"/>
    <col min="11599" max="11599" width="6.85546875" style="595" customWidth="1"/>
    <col min="11600" max="11600" width="7.140625" style="595" customWidth="1"/>
    <col min="11601" max="11601" width="7" style="595" bestFit="1" customWidth="1"/>
    <col min="11602" max="11602" width="6.42578125" style="595" bestFit="1" customWidth="1"/>
    <col min="11603" max="11603" width="6" style="595" customWidth="1"/>
    <col min="11604" max="11604" width="9.7109375" style="595" customWidth="1"/>
    <col min="11605" max="11605" width="7" style="595" bestFit="1" customWidth="1"/>
    <col min="11606" max="11606" width="6.42578125" style="595" bestFit="1" customWidth="1"/>
    <col min="11607" max="11607" width="7.7109375" style="595" customWidth="1"/>
    <col min="11608" max="11612" width="7.28515625" style="595" customWidth="1"/>
    <col min="11613" max="11613" width="7" style="595" customWidth="1"/>
    <col min="11614" max="11615" width="5.140625" style="595" bestFit="1" customWidth="1"/>
    <col min="11616" max="11616" width="20.5703125" style="595" customWidth="1"/>
    <col min="11617" max="11617" width="8.85546875" style="595" customWidth="1"/>
    <col min="11618" max="11618" width="18.7109375" style="595" customWidth="1"/>
    <col min="11619" max="11619" width="9.7109375" style="595" customWidth="1"/>
    <col min="11620" max="11620" width="8.85546875" style="595" customWidth="1"/>
    <col min="11621" max="11621" width="10.7109375" style="595" customWidth="1"/>
    <col min="11622" max="11622" width="35.85546875" style="595" customWidth="1"/>
    <col min="11623" max="11623" width="18.7109375" style="595" customWidth="1"/>
    <col min="11624" max="11624" width="9.140625" style="595"/>
    <col min="11625" max="11625" width="9.28515625" style="595" bestFit="1" customWidth="1"/>
    <col min="11626" max="11626" width="9.140625" style="595"/>
    <col min="11627" max="11627" width="9" style="595" customWidth="1"/>
    <col min="11628" max="11628" width="9.5703125" style="595" customWidth="1"/>
    <col min="11629" max="11629" width="11.28515625" style="595" customWidth="1"/>
    <col min="11630" max="11630" width="9.140625" style="595"/>
    <col min="11631" max="11631" width="12.7109375" style="595" customWidth="1"/>
    <col min="11632" max="11632" width="9.140625" style="595"/>
    <col min="11633" max="11633" width="20.5703125" style="595" customWidth="1"/>
    <col min="11634" max="11634" width="15.7109375" style="595" customWidth="1"/>
    <col min="11635" max="11635" width="20.7109375" style="595" customWidth="1"/>
    <col min="11636" max="11636" width="18.28515625" style="595" customWidth="1"/>
    <col min="11637" max="11639" width="9.140625" style="595"/>
    <col min="11640" max="11640" width="13.5703125" style="595" customWidth="1"/>
    <col min="11641" max="11641" width="14.7109375" style="595" customWidth="1"/>
    <col min="11642" max="11642" width="7.28515625" style="595" customWidth="1"/>
    <col min="11643" max="11643" width="17.7109375" style="595" customWidth="1"/>
    <col min="11644" max="11644" width="13.5703125" style="595" customWidth="1"/>
    <col min="11645" max="11645" width="15.5703125" style="595" customWidth="1"/>
    <col min="11646" max="11646" width="16.28515625" style="595" customWidth="1"/>
    <col min="11647" max="11647" width="15.140625" style="595" customWidth="1"/>
    <col min="11648" max="11648" width="9.140625" style="595"/>
    <col min="11649" max="11649" width="14.140625" style="595" customWidth="1"/>
    <col min="11650" max="11650" width="6.5703125" style="595" customWidth="1"/>
    <col min="11651" max="11651" width="14.5703125" style="595" customWidth="1"/>
    <col min="11652" max="11652" width="6.42578125" style="595" customWidth="1"/>
    <col min="11653" max="11653" width="12.85546875" style="595" customWidth="1"/>
    <col min="11654" max="11654" width="7.85546875" style="595" customWidth="1"/>
    <col min="11655" max="11655" width="10.7109375" style="595" customWidth="1"/>
    <col min="11656" max="11656" width="7.140625" style="595" customWidth="1"/>
    <col min="11657" max="11657" width="11.85546875" style="595" customWidth="1"/>
    <col min="11658" max="11658" width="7.42578125" style="595" customWidth="1"/>
    <col min="11659" max="11659" width="12.140625" style="595" customWidth="1"/>
    <col min="11660" max="11660" width="8.42578125" style="595" customWidth="1"/>
    <col min="11661" max="11661" width="11.85546875" style="595" customWidth="1"/>
    <col min="11662" max="11662" width="6.85546875" style="595" customWidth="1"/>
    <col min="11663" max="11663" width="11.42578125" style="595" customWidth="1"/>
    <col min="11664" max="11664" width="9" style="595" customWidth="1"/>
    <col min="11665" max="11665" width="12.42578125" style="595" customWidth="1"/>
    <col min="11666" max="11666" width="5.85546875" style="595" customWidth="1"/>
    <col min="11667" max="11667" width="13.28515625" style="595" customWidth="1"/>
    <col min="11668" max="11668" width="8.85546875" style="595" customWidth="1"/>
    <col min="11669" max="11669" width="12" style="595" customWidth="1"/>
    <col min="11670" max="11670" width="7.5703125" style="595" customWidth="1"/>
    <col min="11671" max="11671" width="11.28515625" style="595" customWidth="1"/>
    <col min="11672" max="11672" width="6.5703125" style="595" customWidth="1"/>
    <col min="11673" max="11673" width="12.140625" style="595" customWidth="1"/>
    <col min="11674" max="11674" width="7.42578125" style="595" customWidth="1"/>
    <col min="11675" max="11675" width="12.42578125" style="595" customWidth="1"/>
    <col min="11676" max="11676" width="7.5703125" style="595" customWidth="1"/>
    <col min="11677" max="11677" width="11.28515625" style="595" customWidth="1"/>
    <col min="11678" max="11678" width="7.140625" style="595" customWidth="1"/>
    <col min="11679" max="11679" width="10.85546875" style="595" customWidth="1"/>
    <col min="11680" max="11680" width="6.140625" style="595" customWidth="1"/>
    <col min="11681" max="11681" width="10.7109375" style="595" customWidth="1"/>
    <col min="11682" max="11682" width="6.85546875" style="595" customWidth="1"/>
    <col min="11683" max="11683" width="10.7109375" style="595" customWidth="1"/>
    <col min="11684" max="11684" width="7" style="595" customWidth="1"/>
    <col min="11685" max="11685" width="11.85546875" style="595" customWidth="1"/>
    <col min="11686" max="11686" width="7.42578125" style="595" customWidth="1"/>
    <col min="11687" max="11687" width="10.7109375" style="595" customWidth="1"/>
    <col min="11688" max="11688" width="8.42578125" style="595" customWidth="1"/>
    <col min="11689" max="11689" width="11.140625" style="595" customWidth="1"/>
    <col min="11690" max="11690" width="8" style="595" customWidth="1"/>
    <col min="11691" max="11691" width="10.85546875" style="595" customWidth="1"/>
    <col min="11692" max="11692" width="7.5703125" style="595" customWidth="1"/>
    <col min="11693" max="11693" width="14.28515625" style="595" customWidth="1"/>
    <col min="11694" max="11694" width="6.5703125" style="595" customWidth="1"/>
    <col min="11695" max="11695" width="14.140625" style="595" customWidth="1"/>
    <col min="11696" max="11696" width="6.5703125" style="595" customWidth="1"/>
    <col min="11697" max="11697" width="14.28515625" style="595" customWidth="1"/>
    <col min="11698" max="11698" width="7.85546875" style="595" customWidth="1"/>
    <col min="11699" max="11699" width="14.140625" style="595" customWidth="1"/>
    <col min="11700" max="11700" width="6.85546875" style="595" customWidth="1"/>
    <col min="11701" max="11701" width="14.140625" style="595" customWidth="1"/>
    <col min="11702" max="11702" width="6.28515625" style="595" customWidth="1"/>
    <col min="11703" max="11703" width="14.140625" style="595" customWidth="1"/>
    <col min="11704" max="11704" width="5.85546875" style="595" customWidth="1"/>
    <col min="11705" max="11705" width="14.85546875" style="595" customWidth="1"/>
    <col min="11706" max="11706" width="6.85546875" style="595" customWidth="1"/>
    <col min="11707" max="11707" width="14.28515625" style="595" customWidth="1"/>
    <col min="11708" max="11708" width="7.28515625" style="595" customWidth="1"/>
    <col min="11709" max="11709" width="14.28515625" style="595" customWidth="1"/>
    <col min="11710" max="11710" width="6.42578125" style="595" customWidth="1"/>
    <col min="11711" max="11711" width="14" style="595" customWidth="1"/>
    <col min="11712" max="11712" width="7" style="595" customWidth="1"/>
    <col min="11713" max="11713" width="14" style="595" customWidth="1"/>
    <col min="11714" max="11714" width="6.42578125" style="595" customWidth="1"/>
    <col min="11715" max="11715" width="14.140625" style="595" customWidth="1"/>
    <col min="11716" max="11716" width="6.28515625" style="595" customWidth="1"/>
    <col min="11717" max="11717" width="14.140625" style="595" customWidth="1"/>
    <col min="11718" max="11718" width="7" style="595" customWidth="1"/>
    <col min="11719" max="11719" width="14.140625" style="595" customWidth="1"/>
    <col min="11720" max="11720" width="7.42578125" style="595" customWidth="1"/>
    <col min="11721" max="11721" width="14.5703125" style="595" customWidth="1"/>
    <col min="11722" max="11722" width="6.7109375" style="595" customWidth="1"/>
    <col min="11723" max="11723" width="14.140625" style="595" customWidth="1"/>
    <col min="11724" max="11724" width="7" style="595" customWidth="1"/>
    <col min="11725" max="11725" width="14.5703125" style="595" customWidth="1"/>
    <col min="11726" max="11726" width="7.42578125" style="595" customWidth="1"/>
    <col min="11727" max="11727" width="14.5703125" style="595" customWidth="1"/>
    <col min="11728" max="11728" width="6.42578125" style="595" customWidth="1"/>
    <col min="11729" max="11729" width="14.7109375" style="595" customWidth="1"/>
    <col min="11730" max="11730" width="6.85546875" style="595" customWidth="1"/>
    <col min="11731" max="11731" width="14.5703125" style="595" customWidth="1"/>
    <col min="11732" max="11732" width="7.140625" style="595" customWidth="1"/>
    <col min="11733" max="11733" width="14.5703125" style="595" customWidth="1"/>
    <col min="11734" max="11734" width="6.7109375" style="595" customWidth="1"/>
    <col min="11735" max="11735" width="14.140625" style="595" customWidth="1"/>
    <col min="11736" max="11736" width="5.85546875" style="595" customWidth="1"/>
    <col min="11737" max="11737" width="14" style="595" customWidth="1"/>
    <col min="11738" max="11738" width="8.28515625" style="595" customWidth="1"/>
    <col min="11739" max="11739" width="14.7109375" style="595" customWidth="1"/>
    <col min="11740" max="11740" width="7.140625" style="595" customWidth="1"/>
    <col min="11741" max="11741" width="14.7109375" style="595" customWidth="1"/>
    <col min="11742" max="11742" width="7.140625" style="595" customWidth="1"/>
    <col min="11743" max="11743" width="14" style="595" customWidth="1"/>
    <col min="11744" max="11744" width="6.42578125" style="595" customWidth="1"/>
    <col min="11745" max="11745" width="14" style="595" customWidth="1"/>
    <col min="11746" max="11746" width="6.28515625" style="595" customWidth="1"/>
    <col min="11747" max="11747" width="14.42578125" style="595" customWidth="1"/>
    <col min="11748" max="11748" width="6.28515625" style="595" customWidth="1"/>
    <col min="11749" max="11749" width="14.85546875" style="595" customWidth="1"/>
    <col min="11750" max="11750" width="7.28515625" style="595" customWidth="1"/>
    <col min="11751" max="11751" width="14.42578125" style="595" customWidth="1"/>
    <col min="11752" max="11752" width="7.28515625" style="595" customWidth="1"/>
    <col min="11753" max="11753" width="14.7109375" style="595" customWidth="1"/>
    <col min="11754" max="11754" width="6" style="595" customWidth="1"/>
    <col min="11755" max="11755" width="14.5703125" style="595" customWidth="1"/>
    <col min="11756" max="11756" width="6.42578125" style="595" customWidth="1"/>
    <col min="11757" max="11757" width="14.140625" style="595" customWidth="1"/>
    <col min="11758" max="11758" width="7.5703125" style="595" customWidth="1"/>
    <col min="11759" max="11759" width="14.5703125" style="595" customWidth="1"/>
    <col min="11760" max="11760" width="6.7109375" style="595" customWidth="1"/>
    <col min="11761" max="11761" width="15" style="595" customWidth="1"/>
    <col min="11762" max="11762" width="9.140625" style="595"/>
    <col min="11763" max="11763" width="14" style="595" customWidth="1"/>
    <col min="11764" max="11764" width="9.140625" style="595"/>
    <col min="11765" max="11765" width="14" style="595" customWidth="1"/>
    <col min="11766" max="11770" width="9.140625" style="595"/>
    <col min="11771" max="11771" width="41.28515625" style="595" customWidth="1"/>
    <col min="11772" max="11843" width="9.140625" style="595"/>
    <col min="11844" max="11844" width="21.140625" style="595" customWidth="1"/>
    <col min="11845" max="11845" width="7.28515625" style="595" customWidth="1"/>
    <col min="11846" max="11846" width="15" style="595" customWidth="1"/>
    <col min="11847" max="11847" width="23.28515625" style="595" customWidth="1"/>
    <col min="11848" max="11848" width="25.5703125" style="595" customWidth="1"/>
    <col min="11849" max="11849" width="7" style="595" bestFit="1" customWidth="1"/>
    <col min="11850" max="11850" width="6.42578125" style="595" bestFit="1" customWidth="1"/>
    <col min="11851" max="11851" width="7.85546875" style="595" customWidth="1"/>
    <col min="11852" max="11852" width="8.7109375" style="595" customWidth="1"/>
    <col min="11853" max="11853" width="7" style="595" bestFit="1" customWidth="1"/>
    <col min="11854" max="11854" width="6.42578125" style="595" bestFit="1" customWidth="1"/>
    <col min="11855" max="11855" width="6.85546875" style="595" customWidth="1"/>
    <col min="11856" max="11856" width="7.140625" style="595" customWidth="1"/>
    <col min="11857" max="11857" width="7" style="595" bestFit="1" customWidth="1"/>
    <col min="11858" max="11858" width="6.42578125" style="595" bestFit="1" customWidth="1"/>
    <col min="11859" max="11859" width="6" style="595" customWidth="1"/>
    <col min="11860" max="11860" width="9.7109375" style="595" customWidth="1"/>
    <col min="11861" max="11861" width="7" style="595" bestFit="1" customWidth="1"/>
    <col min="11862" max="11862" width="6.42578125" style="595" bestFit="1" customWidth="1"/>
    <col min="11863" max="11863" width="7.7109375" style="595" customWidth="1"/>
    <col min="11864" max="11868" width="7.28515625" style="595" customWidth="1"/>
    <col min="11869" max="11869" width="7" style="595" customWidth="1"/>
    <col min="11870" max="11871" width="5.140625" style="595" bestFit="1" customWidth="1"/>
    <col min="11872" max="11872" width="20.5703125" style="595" customWidth="1"/>
    <col min="11873" max="11873" width="8.85546875" style="595" customWidth="1"/>
    <col min="11874" max="11874" width="18.7109375" style="595" customWidth="1"/>
    <col min="11875" max="11875" width="9.7109375" style="595" customWidth="1"/>
    <col min="11876" max="11876" width="8.85546875" style="595" customWidth="1"/>
    <col min="11877" max="11877" width="10.7109375" style="595" customWidth="1"/>
    <col min="11878" max="11878" width="35.85546875" style="595" customWidth="1"/>
    <col min="11879" max="11879" width="18.7109375" style="595" customWidth="1"/>
    <col min="11880" max="11880" width="9.140625" style="595"/>
    <col min="11881" max="11881" width="9.28515625" style="595" bestFit="1" customWidth="1"/>
    <col min="11882" max="11882" width="9.140625" style="595"/>
    <col min="11883" max="11883" width="9" style="595" customWidth="1"/>
    <col min="11884" max="11884" width="9.5703125" style="595" customWidth="1"/>
    <col min="11885" max="11885" width="11.28515625" style="595" customWidth="1"/>
    <col min="11886" max="11886" width="9.140625" style="595"/>
    <col min="11887" max="11887" width="12.7109375" style="595" customWidth="1"/>
    <col min="11888" max="11888" width="9.140625" style="595"/>
    <col min="11889" max="11889" width="20.5703125" style="595" customWidth="1"/>
    <col min="11890" max="11890" width="15.7109375" style="595" customWidth="1"/>
    <col min="11891" max="11891" width="20.7109375" style="595" customWidth="1"/>
    <col min="11892" max="11892" width="18.28515625" style="595" customWidth="1"/>
    <col min="11893" max="11895" width="9.140625" style="595"/>
    <col min="11896" max="11896" width="13.5703125" style="595" customWidth="1"/>
    <col min="11897" max="11897" width="14.7109375" style="595" customWidth="1"/>
    <col min="11898" max="11898" width="7.28515625" style="595" customWidth="1"/>
    <col min="11899" max="11899" width="17.7109375" style="595" customWidth="1"/>
    <col min="11900" max="11900" width="13.5703125" style="595" customWidth="1"/>
    <col min="11901" max="11901" width="15.5703125" style="595" customWidth="1"/>
    <col min="11902" max="11902" width="16.28515625" style="595" customWidth="1"/>
    <col min="11903" max="11903" width="15.140625" style="595" customWidth="1"/>
    <col min="11904" max="11904" width="9.140625" style="595"/>
    <col min="11905" max="11905" width="14.140625" style="595" customWidth="1"/>
    <col min="11906" max="11906" width="6.5703125" style="595" customWidth="1"/>
    <col min="11907" max="11907" width="14.5703125" style="595" customWidth="1"/>
    <col min="11908" max="11908" width="6.42578125" style="595" customWidth="1"/>
    <col min="11909" max="11909" width="12.85546875" style="595" customWidth="1"/>
    <col min="11910" max="11910" width="7.85546875" style="595" customWidth="1"/>
    <col min="11911" max="11911" width="10.7109375" style="595" customWidth="1"/>
    <col min="11912" max="11912" width="7.140625" style="595" customWidth="1"/>
    <col min="11913" max="11913" width="11.85546875" style="595" customWidth="1"/>
    <col min="11914" max="11914" width="7.42578125" style="595" customWidth="1"/>
    <col min="11915" max="11915" width="12.140625" style="595" customWidth="1"/>
    <col min="11916" max="11916" width="8.42578125" style="595" customWidth="1"/>
    <col min="11917" max="11917" width="11.85546875" style="595" customWidth="1"/>
    <col min="11918" max="11918" width="6.85546875" style="595" customWidth="1"/>
    <col min="11919" max="11919" width="11.42578125" style="595" customWidth="1"/>
    <col min="11920" max="11920" width="9" style="595" customWidth="1"/>
    <col min="11921" max="11921" width="12.42578125" style="595" customWidth="1"/>
    <col min="11922" max="11922" width="5.85546875" style="595" customWidth="1"/>
    <col min="11923" max="11923" width="13.28515625" style="595" customWidth="1"/>
    <col min="11924" max="11924" width="8.85546875" style="595" customWidth="1"/>
    <col min="11925" max="11925" width="12" style="595" customWidth="1"/>
    <col min="11926" max="11926" width="7.5703125" style="595" customWidth="1"/>
    <col min="11927" max="11927" width="11.28515625" style="595" customWidth="1"/>
    <col min="11928" max="11928" width="6.5703125" style="595" customWidth="1"/>
    <col min="11929" max="11929" width="12.140625" style="595" customWidth="1"/>
    <col min="11930" max="11930" width="7.42578125" style="595" customWidth="1"/>
    <col min="11931" max="11931" width="12.42578125" style="595" customWidth="1"/>
    <col min="11932" max="11932" width="7.5703125" style="595" customWidth="1"/>
    <col min="11933" max="11933" width="11.28515625" style="595" customWidth="1"/>
    <col min="11934" max="11934" width="7.140625" style="595" customWidth="1"/>
    <col min="11935" max="11935" width="10.85546875" style="595" customWidth="1"/>
    <col min="11936" max="11936" width="6.140625" style="595" customWidth="1"/>
    <col min="11937" max="11937" width="10.7109375" style="595" customWidth="1"/>
    <col min="11938" max="11938" width="6.85546875" style="595" customWidth="1"/>
    <col min="11939" max="11939" width="10.7109375" style="595" customWidth="1"/>
    <col min="11940" max="11940" width="7" style="595" customWidth="1"/>
    <col min="11941" max="11941" width="11.85546875" style="595" customWidth="1"/>
    <col min="11942" max="11942" width="7.42578125" style="595" customWidth="1"/>
    <col min="11943" max="11943" width="10.7109375" style="595" customWidth="1"/>
    <col min="11944" max="11944" width="8.42578125" style="595" customWidth="1"/>
    <col min="11945" max="11945" width="11.140625" style="595" customWidth="1"/>
    <col min="11946" max="11946" width="8" style="595" customWidth="1"/>
    <col min="11947" max="11947" width="10.85546875" style="595" customWidth="1"/>
    <col min="11948" max="11948" width="7.5703125" style="595" customWidth="1"/>
    <col min="11949" max="11949" width="14.28515625" style="595" customWidth="1"/>
    <col min="11950" max="11950" width="6.5703125" style="595" customWidth="1"/>
    <col min="11951" max="11951" width="14.140625" style="595" customWidth="1"/>
    <col min="11952" max="11952" width="6.5703125" style="595" customWidth="1"/>
    <col min="11953" max="11953" width="14.28515625" style="595" customWidth="1"/>
    <col min="11954" max="11954" width="7.85546875" style="595" customWidth="1"/>
    <col min="11955" max="11955" width="14.140625" style="595" customWidth="1"/>
    <col min="11956" max="11956" width="6.85546875" style="595" customWidth="1"/>
    <col min="11957" max="11957" width="14.140625" style="595" customWidth="1"/>
    <col min="11958" max="11958" width="6.28515625" style="595" customWidth="1"/>
    <col min="11959" max="11959" width="14.140625" style="595" customWidth="1"/>
    <col min="11960" max="11960" width="5.85546875" style="595" customWidth="1"/>
    <col min="11961" max="11961" width="14.85546875" style="595" customWidth="1"/>
    <col min="11962" max="11962" width="6.85546875" style="595" customWidth="1"/>
    <col min="11963" max="11963" width="14.28515625" style="595" customWidth="1"/>
    <col min="11964" max="11964" width="7.28515625" style="595" customWidth="1"/>
    <col min="11965" max="11965" width="14.28515625" style="595" customWidth="1"/>
    <col min="11966" max="11966" width="6.42578125" style="595" customWidth="1"/>
    <col min="11967" max="11967" width="14" style="595" customWidth="1"/>
    <col min="11968" max="11968" width="7" style="595" customWidth="1"/>
    <col min="11969" max="11969" width="14" style="595" customWidth="1"/>
    <col min="11970" max="11970" width="6.42578125" style="595" customWidth="1"/>
    <col min="11971" max="11971" width="14.140625" style="595" customWidth="1"/>
    <col min="11972" max="11972" width="6.28515625" style="595" customWidth="1"/>
    <col min="11973" max="11973" width="14.140625" style="595" customWidth="1"/>
    <col min="11974" max="11974" width="7" style="595" customWidth="1"/>
    <col min="11975" max="11975" width="14.140625" style="595" customWidth="1"/>
    <col min="11976" max="11976" width="7.42578125" style="595" customWidth="1"/>
    <col min="11977" max="11977" width="14.5703125" style="595" customWidth="1"/>
    <col min="11978" max="11978" width="6.7109375" style="595" customWidth="1"/>
    <col min="11979" max="11979" width="14.140625" style="595" customWidth="1"/>
    <col min="11980" max="11980" width="7" style="595" customWidth="1"/>
    <col min="11981" max="11981" width="14.5703125" style="595" customWidth="1"/>
    <col min="11982" max="11982" width="7.42578125" style="595" customWidth="1"/>
    <col min="11983" max="11983" width="14.5703125" style="595" customWidth="1"/>
    <col min="11984" max="11984" width="6.42578125" style="595" customWidth="1"/>
    <col min="11985" max="11985" width="14.7109375" style="595" customWidth="1"/>
    <col min="11986" max="11986" width="6.85546875" style="595" customWidth="1"/>
    <col min="11987" max="11987" width="14.5703125" style="595" customWidth="1"/>
    <col min="11988" max="11988" width="7.140625" style="595" customWidth="1"/>
    <col min="11989" max="11989" width="14.5703125" style="595" customWidth="1"/>
    <col min="11990" max="11990" width="6.7109375" style="595" customWidth="1"/>
    <col min="11991" max="11991" width="14.140625" style="595" customWidth="1"/>
    <col min="11992" max="11992" width="5.85546875" style="595" customWidth="1"/>
    <col min="11993" max="11993" width="14" style="595" customWidth="1"/>
    <col min="11994" max="11994" width="8.28515625" style="595" customWidth="1"/>
    <col min="11995" max="11995" width="14.7109375" style="595" customWidth="1"/>
    <col min="11996" max="11996" width="7.140625" style="595" customWidth="1"/>
    <col min="11997" max="11997" width="14.7109375" style="595" customWidth="1"/>
    <col min="11998" max="11998" width="7.140625" style="595" customWidth="1"/>
    <col min="11999" max="11999" width="14" style="595" customWidth="1"/>
    <col min="12000" max="12000" width="6.42578125" style="595" customWidth="1"/>
    <col min="12001" max="12001" width="14" style="595" customWidth="1"/>
    <col min="12002" max="12002" width="6.28515625" style="595" customWidth="1"/>
    <col min="12003" max="12003" width="14.42578125" style="595" customWidth="1"/>
    <col min="12004" max="12004" width="6.28515625" style="595" customWidth="1"/>
    <col min="12005" max="12005" width="14.85546875" style="595" customWidth="1"/>
    <col min="12006" max="12006" width="7.28515625" style="595" customWidth="1"/>
    <col min="12007" max="12007" width="14.42578125" style="595" customWidth="1"/>
    <col min="12008" max="12008" width="7.28515625" style="595" customWidth="1"/>
    <col min="12009" max="12009" width="14.7109375" style="595" customWidth="1"/>
    <col min="12010" max="12010" width="6" style="595" customWidth="1"/>
    <col min="12011" max="12011" width="14.5703125" style="595" customWidth="1"/>
    <col min="12012" max="12012" width="6.42578125" style="595" customWidth="1"/>
    <col min="12013" max="12013" width="14.140625" style="595" customWidth="1"/>
    <col min="12014" max="12014" width="7.5703125" style="595" customWidth="1"/>
    <col min="12015" max="12015" width="14.5703125" style="595" customWidth="1"/>
    <col min="12016" max="12016" width="6.7109375" style="595" customWidth="1"/>
    <col min="12017" max="12017" width="15" style="595" customWidth="1"/>
    <col min="12018" max="12018" width="9.140625" style="595"/>
    <col min="12019" max="12019" width="14" style="595" customWidth="1"/>
    <col min="12020" max="12020" width="9.140625" style="595"/>
    <col min="12021" max="12021" width="14" style="595" customWidth="1"/>
    <col min="12022" max="12026" width="9.140625" style="595"/>
    <col min="12027" max="12027" width="41.28515625" style="595" customWidth="1"/>
    <col min="12028" max="12099" width="9.140625" style="595"/>
    <col min="12100" max="12100" width="21.140625" style="595" customWidth="1"/>
    <col min="12101" max="12101" width="7.28515625" style="595" customWidth="1"/>
    <col min="12102" max="12102" width="15" style="595" customWidth="1"/>
    <col min="12103" max="12103" width="23.28515625" style="595" customWidth="1"/>
    <col min="12104" max="12104" width="25.5703125" style="595" customWidth="1"/>
    <col min="12105" max="12105" width="7" style="595" bestFit="1" customWidth="1"/>
    <col min="12106" max="12106" width="6.42578125" style="595" bestFit="1" customWidth="1"/>
    <col min="12107" max="12107" width="7.85546875" style="595" customWidth="1"/>
    <col min="12108" max="12108" width="8.7109375" style="595" customWidth="1"/>
    <col min="12109" max="12109" width="7" style="595" bestFit="1" customWidth="1"/>
    <col min="12110" max="12110" width="6.42578125" style="595" bestFit="1" customWidth="1"/>
    <col min="12111" max="12111" width="6.85546875" style="595" customWidth="1"/>
    <col min="12112" max="12112" width="7.140625" style="595" customWidth="1"/>
    <col min="12113" max="12113" width="7" style="595" bestFit="1" customWidth="1"/>
    <col min="12114" max="12114" width="6.42578125" style="595" bestFit="1" customWidth="1"/>
    <col min="12115" max="12115" width="6" style="595" customWidth="1"/>
    <col min="12116" max="12116" width="9.7109375" style="595" customWidth="1"/>
    <col min="12117" max="12117" width="7" style="595" bestFit="1" customWidth="1"/>
    <col min="12118" max="12118" width="6.42578125" style="595" bestFit="1" customWidth="1"/>
    <col min="12119" max="12119" width="7.7109375" style="595" customWidth="1"/>
    <col min="12120" max="12124" width="7.28515625" style="595" customWidth="1"/>
    <col min="12125" max="12125" width="7" style="595" customWidth="1"/>
    <col min="12126" max="12127" width="5.140625" style="595" bestFit="1" customWidth="1"/>
    <col min="12128" max="12128" width="20.5703125" style="595" customWidth="1"/>
    <col min="12129" max="12129" width="8.85546875" style="595" customWidth="1"/>
    <col min="12130" max="12130" width="18.7109375" style="595" customWidth="1"/>
    <col min="12131" max="12131" width="9.7109375" style="595" customWidth="1"/>
    <col min="12132" max="12132" width="8.85546875" style="595" customWidth="1"/>
    <col min="12133" max="12133" width="10.7109375" style="595" customWidth="1"/>
    <col min="12134" max="12134" width="35.85546875" style="595" customWidth="1"/>
    <col min="12135" max="12135" width="18.7109375" style="595" customWidth="1"/>
    <col min="12136" max="12136" width="9.140625" style="595"/>
    <col min="12137" max="12137" width="9.28515625" style="595" bestFit="1" customWidth="1"/>
    <col min="12138" max="12138" width="9.140625" style="595"/>
    <col min="12139" max="12139" width="9" style="595" customWidth="1"/>
    <col min="12140" max="12140" width="9.5703125" style="595" customWidth="1"/>
    <col min="12141" max="12141" width="11.28515625" style="595" customWidth="1"/>
    <col min="12142" max="12142" width="9.140625" style="595"/>
    <col min="12143" max="12143" width="12.7109375" style="595" customWidth="1"/>
    <col min="12144" max="12144" width="9.140625" style="595"/>
    <col min="12145" max="12145" width="20.5703125" style="595" customWidth="1"/>
    <col min="12146" max="12146" width="15.7109375" style="595" customWidth="1"/>
    <col min="12147" max="12147" width="20.7109375" style="595" customWidth="1"/>
    <col min="12148" max="12148" width="18.28515625" style="595" customWidth="1"/>
    <col min="12149" max="12151" width="9.140625" style="595"/>
    <col min="12152" max="12152" width="13.5703125" style="595" customWidth="1"/>
    <col min="12153" max="12153" width="14.7109375" style="595" customWidth="1"/>
    <col min="12154" max="12154" width="7.28515625" style="595" customWidth="1"/>
    <col min="12155" max="12155" width="17.7109375" style="595" customWidth="1"/>
    <col min="12156" max="12156" width="13.5703125" style="595" customWidth="1"/>
    <col min="12157" max="12157" width="15.5703125" style="595" customWidth="1"/>
    <col min="12158" max="12158" width="16.28515625" style="595" customWidth="1"/>
    <col min="12159" max="12159" width="15.140625" style="595" customWidth="1"/>
    <col min="12160" max="12160" width="9.140625" style="595"/>
    <col min="12161" max="12161" width="14.140625" style="595" customWidth="1"/>
    <col min="12162" max="12162" width="6.5703125" style="595" customWidth="1"/>
    <col min="12163" max="12163" width="14.5703125" style="595" customWidth="1"/>
    <col min="12164" max="12164" width="6.42578125" style="595" customWidth="1"/>
    <col min="12165" max="12165" width="12.85546875" style="595" customWidth="1"/>
    <col min="12166" max="12166" width="7.85546875" style="595" customWidth="1"/>
    <col min="12167" max="12167" width="10.7109375" style="595" customWidth="1"/>
    <col min="12168" max="12168" width="7.140625" style="595" customWidth="1"/>
    <col min="12169" max="12169" width="11.85546875" style="595" customWidth="1"/>
    <col min="12170" max="12170" width="7.42578125" style="595" customWidth="1"/>
    <col min="12171" max="12171" width="12.140625" style="595" customWidth="1"/>
    <col min="12172" max="12172" width="8.42578125" style="595" customWidth="1"/>
    <col min="12173" max="12173" width="11.85546875" style="595" customWidth="1"/>
    <col min="12174" max="12174" width="6.85546875" style="595" customWidth="1"/>
    <col min="12175" max="12175" width="11.42578125" style="595" customWidth="1"/>
    <col min="12176" max="12176" width="9" style="595" customWidth="1"/>
    <col min="12177" max="12177" width="12.42578125" style="595" customWidth="1"/>
    <col min="12178" max="12178" width="5.85546875" style="595" customWidth="1"/>
    <col min="12179" max="12179" width="13.28515625" style="595" customWidth="1"/>
    <col min="12180" max="12180" width="8.85546875" style="595" customWidth="1"/>
    <col min="12181" max="12181" width="12" style="595" customWidth="1"/>
    <col min="12182" max="12182" width="7.5703125" style="595" customWidth="1"/>
    <col min="12183" max="12183" width="11.28515625" style="595" customWidth="1"/>
    <col min="12184" max="12184" width="6.5703125" style="595" customWidth="1"/>
    <col min="12185" max="12185" width="12.140625" style="595" customWidth="1"/>
    <col min="12186" max="12186" width="7.42578125" style="595" customWidth="1"/>
    <col min="12187" max="12187" width="12.42578125" style="595" customWidth="1"/>
    <col min="12188" max="12188" width="7.5703125" style="595" customWidth="1"/>
    <col min="12189" max="12189" width="11.28515625" style="595" customWidth="1"/>
    <col min="12190" max="12190" width="7.140625" style="595" customWidth="1"/>
    <col min="12191" max="12191" width="10.85546875" style="595" customWidth="1"/>
    <col min="12192" max="12192" width="6.140625" style="595" customWidth="1"/>
    <col min="12193" max="12193" width="10.7109375" style="595" customWidth="1"/>
    <col min="12194" max="12194" width="6.85546875" style="595" customWidth="1"/>
    <col min="12195" max="12195" width="10.7109375" style="595" customWidth="1"/>
    <col min="12196" max="12196" width="7" style="595" customWidth="1"/>
    <col min="12197" max="12197" width="11.85546875" style="595" customWidth="1"/>
    <col min="12198" max="12198" width="7.42578125" style="595" customWidth="1"/>
    <col min="12199" max="12199" width="10.7109375" style="595" customWidth="1"/>
    <col min="12200" max="12200" width="8.42578125" style="595" customWidth="1"/>
    <col min="12201" max="12201" width="11.140625" style="595" customWidth="1"/>
    <col min="12202" max="12202" width="8" style="595" customWidth="1"/>
    <col min="12203" max="12203" width="10.85546875" style="595" customWidth="1"/>
    <col min="12204" max="12204" width="7.5703125" style="595" customWidth="1"/>
    <col min="12205" max="12205" width="14.28515625" style="595" customWidth="1"/>
    <col min="12206" max="12206" width="6.5703125" style="595" customWidth="1"/>
    <col min="12207" max="12207" width="14.140625" style="595" customWidth="1"/>
    <col min="12208" max="12208" width="6.5703125" style="595" customWidth="1"/>
    <col min="12209" max="12209" width="14.28515625" style="595" customWidth="1"/>
    <col min="12210" max="12210" width="7.85546875" style="595" customWidth="1"/>
    <col min="12211" max="12211" width="14.140625" style="595" customWidth="1"/>
    <col min="12212" max="12212" width="6.85546875" style="595" customWidth="1"/>
    <col min="12213" max="12213" width="14.140625" style="595" customWidth="1"/>
    <col min="12214" max="12214" width="6.28515625" style="595" customWidth="1"/>
    <col min="12215" max="12215" width="14.140625" style="595" customWidth="1"/>
    <col min="12216" max="12216" width="5.85546875" style="595" customWidth="1"/>
    <col min="12217" max="12217" width="14.85546875" style="595" customWidth="1"/>
    <col min="12218" max="12218" width="6.85546875" style="595" customWidth="1"/>
    <col min="12219" max="12219" width="14.28515625" style="595" customWidth="1"/>
    <col min="12220" max="12220" width="7.28515625" style="595" customWidth="1"/>
    <col min="12221" max="12221" width="14.28515625" style="595" customWidth="1"/>
    <col min="12222" max="12222" width="6.42578125" style="595" customWidth="1"/>
    <col min="12223" max="12223" width="14" style="595" customWidth="1"/>
    <col min="12224" max="12224" width="7" style="595" customWidth="1"/>
    <col min="12225" max="12225" width="14" style="595" customWidth="1"/>
    <col min="12226" max="12226" width="6.42578125" style="595" customWidth="1"/>
    <col min="12227" max="12227" width="14.140625" style="595" customWidth="1"/>
    <col min="12228" max="12228" width="6.28515625" style="595" customWidth="1"/>
    <col min="12229" max="12229" width="14.140625" style="595" customWidth="1"/>
    <col min="12230" max="12230" width="7" style="595" customWidth="1"/>
    <col min="12231" max="12231" width="14.140625" style="595" customWidth="1"/>
    <col min="12232" max="12232" width="7.42578125" style="595" customWidth="1"/>
    <col min="12233" max="12233" width="14.5703125" style="595" customWidth="1"/>
    <col min="12234" max="12234" width="6.7109375" style="595" customWidth="1"/>
    <col min="12235" max="12235" width="14.140625" style="595" customWidth="1"/>
    <col min="12236" max="12236" width="7" style="595" customWidth="1"/>
    <col min="12237" max="12237" width="14.5703125" style="595" customWidth="1"/>
    <col min="12238" max="12238" width="7.42578125" style="595" customWidth="1"/>
    <col min="12239" max="12239" width="14.5703125" style="595" customWidth="1"/>
    <col min="12240" max="12240" width="6.42578125" style="595" customWidth="1"/>
    <col min="12241" max="12241" width="14.7109375" style="595" customWidth="1"/>
    <col min="12242" max="12242" width="6.85546875" style="595" customWidth="1"/>
    <col min="12243" max="12243" width="14.5703125" style="595" customWidth="1"/>
    <col min="12244" max="12244" width="7.140625" style="595" customWidth="1"/>
    <col min="12245" max="12245" width="14.5703125" style="595" customWidth="1"/>
    <col min="12246" max="12246" width="6.7109375" style="595" customWidth="1"/>
    <col min="12247" max="12247" width="14.140625" style="595" customWidth="1"/>
    <col min="12248" max="12248" width="5.85546875" style="595" customWidth="1"/>
    <col min="12249" max="12249" width="14" style="595" customWidth="1"/>
    <col min="12250" max="12250" width="8.28515625" style="595" customWidth="1"/>
    <col min="12251" max="12251" width="14.7109375" style="595" customWidth="1"/>
    <col min="12252" max="12252" width="7.140625" style="595" customWidth="1"/>
    <col min="12253" max="12253" width="14.7109375" style="595" customWidth="1"/>
    <col min="12254" max="12254" width="7.140625" style="595" customWidth="1"/>
    <col min="12255" max="12255" width="14" style="595" customWidth="1"/>
    <col min="12256" max="12256" width="6.42578125" style="595" customWidth="1"/>
    <col min="12257" max="12257" width="14" style="595" customWidth="1"/>
    <col min="12258" max="12258" width="6.28515625" style="595" customWidth="1"/>
    <col min="12259" max="12259" width="14.42578125" style="595" customWidth="1"/>
    <col min="12260" max="12260" width="6.28515625" style="595" customWidth="1"/>
    <col min="12261" max="12261" width="14.85546875" style="595" customWidth="1"/>
    <col min="12262" max="12262" width="7.28515625" style="595" customWidth="1"/>
    <col min="12263" max="12263" width="14.42578125" style="595" customWidth="1"/>
    <col min="12264" max="12264" width="7.28515625" style="595" customWidth="1"/>
    <col min="12265" max="12265" width="14.7109375" style="595" customWidth="1"/>
    <col min="12266" max="12266" width="6" style="595" customWidth="1"/>
    <col min="12267" max="12267" width="14.5703125" style="595" customWidth="1"/>
    <col min="12268" max="12268" width="6.42578125" style="595" customWidth="1"/>
    <col min="12269" max="12269" width="14.140625" style="595" customWidth="1"/>
    <col min="12270" max="12270" width="7.5703125" style="595" customWidth="1"/>
    <col min="12271" max="12271" width="14.5703125" style="595" customWidth="1"/>
    <col min="12272" max="12272" width="6.7109375" style="595" customWidth="1"/>
    <col min="12273" max="12273" width="15" style="595" customWidth="1"/>
    <col min="12274" max="12274" width="9.140625" style="595"/>
    <col min="12275" max="12275" width="14" style="595" customWidth="1"/>
    <col min="12276" max="12276" width="9.140625" style="595"/>
    <col min="12277" max="12277" width="14" style="595" customWidth="1"/>
    <col min="12278" max="12282" width="9.140625" style="595"/>
    <col min="12283" max="12283" width="41.28515625" style="595" customWidth="1"/>
    <col min="12284" max="12355" width="9.140625" style="595"/>
    <col min="12356" max="12356" width="21.140625" style="595" customWidth="1"/>
    <col min="12357" max="12357" width="7.28515625" style="595" customWidth="1"/>
    <col min="12358" max="12358" width="15" style="595" customWidth="1"/>
    <col min="12359" max="12359" width="23.28515625" style="595" customWidth="1"/>
    <col min="12360" max="12360" width="25.5703125" style="595" customWidth="1"/>
    <col min="12361" max="12361" width="7" style="595" bestFit="1" customWidth="1"/>
    <col min="12362" max="12362" width="6.42578125" style="595" bestFit="1" customWidth="1"/>
    <col min="12363" max="12363" width="7.85546875" style="595" customWidth="1"/>
    <col min="12364" max="12364" width="8.7109375" style="595" customWidth="1"/>
    <col min="12365" max="12365" width="7" style="595" bestFit="1" customWidth="1"/>
    <col min="12366" max="12366" width="6.42578125" style="595" bestFit="1" customWidth="1"/>
    <col min="12367" max="12367" width="6.85546875" style="595" customWidth="1"/>
    <col min="12368" max="12368" width="7.140625" style="595" customWidth="1"/>
    <col min="12369" max="12369" width="7" style="595" bestFit="1" customWidth="1"/>
    <col min="12370" max="12370" width="6.42578125" style="595" bestFit="1" customWidth="1"/>
    <col min="12371" max="12371" width="6" style="595" customWidth="1"/>
    <col min="12372" max="12372" width="9.7109375" style="595" customWidth="1"/>
    <col min="12373" max="12373" width="7" style="595" bestFit="1" customWidth="1"/>
    <col min="12374" max="12374" width="6.42578125" style="595" bestFit="1" customWidth="1"/>
    <col min="12375" max="12375" width="7.7109375" style="595" customWidth="1"/>
    <col min="12376" max="12380" width="7.28515625" style="595" customWidth="1"/>
    <col min="12381" max="12381" width="7" style="595" customWidth="1"/>
    <col min="12382" max="12383" width="5.140625" style="595" bestFit="1" customWidth="1"/>
    <col min="12384" max="12384" width="20.5703125" style="595" customWidth="1"/>
    <col min="12385" max="12385" width="8.85546875" style="595" customWidth="1"/>
    <col min="12386" max="12386" width="18.7109375" style="595" customWidth="1"/>
    <col min="12387" max="12387" width="9.7109375" style="595" customWidth="1"/>
    <col min="12388" max="12388" width="8.85546875" style="595" customWidth="1"/>
    <col min="12389" max="12389" width="10.7109375" style="595" customWidth="1"/>
    <col min="12390" max="12390" width="35.85546875" style="595" customWidth="1"/>
    <col min="12391" max="12391" width="18.7109375" style="595" customWidth="1"/>
    <col min="12392" max="12392" width="9.140625" style="595"/>
    <col min="12393" max="12393" width="9.28515625" style="595" bestFit="1" customWidth="1"/>
    <col min="12394" max="12394" width="9.140625" style="595"/>
    <col min="12395" max="12395" width="9" style="595" customWidth="1"/>
    <col min="12396" max="12396" width="9.5703125" style="595" customWidth="1"/>
    <col min="12397" max="12397" width="11.28515625" style="595" customWidth="1"/>
    <col min="12398" max="12398" width="9.140625" style="595"/>
    <col min="12399" max="12399" width="12.7109375" style="595" customWidth="1"/>
    <col min="12400" max="12400" width="9.140625" style="595"/>
    <col min="12401" max="12401" width="20.5703125" style="595" customWidth="1"/>
    <col min="12402" max="12402" width="15.7109375" style="595" customWidth="1"/>
    <col min="12403" max="12403" width="20.7109375" style="595" customWidth="1"/>
    <col min="12404" max="12404" width="18.28515625" style="595" customWidth="1"/>
    <col min="12405" max="12407" width="9.140625" style="595"/>
    <col min="12408" max="12408" width="13.5703125" style="595" customWidth="1"/>
    <col min="12409" max="12409" width="14.7109375" style="595" customWidth="1"/>
    <col min="12410" max="12410" width="7.28515625" style="595" customWidth="1"/>
    <col min="12411" max="12411" width="17.7109375" style="595" customWidth="1"/>
    <col min="12412" max="12412" width="13.5703125" style="595" customWidth="1"/>
    <col min="12413" max="12413" width="15.5703125" style="595" customWidth="1"/>
    <col min="12414" max="12414" width="16.28515625" style="595" customWidth="1"/>
    <col min="12415" max="12415" width="15.140625" style="595" customWidth="1"/>
    <col min="12416" max="12416" width="9.140625" style="595"/>
    <col min="12417" max="12417" width="14.140625" style="595" customWidth="1"/>
    <col min="12418" max="12418" width="6.5703125" style="595" customWidth="1"/>
    <col min="12419" max="12419" width="14.5703125" style="595" customWidth="1"/>
    <col min="12420" max="12420" width="6.42578125" style="595" customWidth="1"/>
    <col min="12421" max="12421" width="12.85546875" style="595" customWidth="1"/>
    <col min="12422" max="12422" width="7.85546875" style="595" customWidth="1"/>
    <col min="12423" max="12423" width="10.7109375" style="595" customWidth="1"/>
    <col min="12424" max="12424" width="7.140625" style="595" customWidth="1"/>
    <col min="12425" max="12425" width="11.85546875" style="595" customWidth="1"/>
    <col min="12426" max="12426" width="7.42578125" style="595" customWidth="1"/>
    <col min="12427" max="12427" width="12.140625" style="595" customWidth="1"/>
    <col min="12428" max="12428" width="8.42578125" style="595" customWidth="1"/>
    <col min="12429" max="12429" width="11.85546875" style="595" customWidth="1"/>
    <col min="12430" max="12430" width="6.85546875" style="595" customWidth="1"/>
    <col min="12431" max="12431" width="11.42578125" style="595" customWidth="1"/>
    <col min="12432" max="12432" width="9" style="595" customWidth="1"/>
    <col min="12433" max="12433" width="12.42578125" style="595" customWidth="1"/>
    <col min="12434" max="12434" width="5.85546875" style="595" customWidth="1"/>
    <col min="12435" max="12435" width="13.28515625" style="595" customWidth="1"/>
    <col min="12436" max="12436" width="8.85546875" style="595" customWidth="1"/>
    <col min="12437" max="12437" width="12" style="595" customWidth="1"/>
    <col min="12438" max="12438" width="7.5703125" style="595" customWidth="1"/>
    <col min="12439" max="12439" width="11.28515625" style="595" customWidth="1"/>
    <col min="12440" max="12440" width="6.5703125" style="595" customWidth="1"/>
    <col min="12441" max="12441" width="12.140625" style="595" customWidth="1"/>
    <col min="12442" max="12442" width="7.42578125" style="595" customWidth="1"/>
    <col min="12443" max="12443" width="12.42578125" style="595" customWidth="1"/>
    <col min="12444" max="12444" width="7.5703125" style="595" customWidth="1"/>
    <col min="12445" max="12445" width="11.28515625" style="595" customWidth="1"/>
    <col min="12446" max="12446" width="7.140625" style="595" customWidth="1"/>
    <col min="12447" max="12447" width="10.85546875" style="595" customWidth="1"/>
    <col min="12448" max="12448" width="6.140625" style="595" customWidth="1"/>
    <col min="12449" max="12449" width="10.7109375" style="595" customWidth="1"/>
    <col min="12450" max="12450" width="6.85546875" style="595" customWidth="1"/>
    <col min="12451" max="12451" width="10.7109375" style="595" customWidth="1"/>
    <col min="12452" max="12452" width="7" style="595" customWidth="1"/>
    <col min="12453" max="12453" width="11.85546875" style="595" customWidth="1"/>
    <col min="12454" max="12454" width="7.42578125" style="595" customWidth="1"/>
    <col min="12455" max="12455" width="10.7109375" style="595" customWidth="1"/>
    <col min="12456" max="12456" width="8.42578125" style="595" customWidth="1"/>
    <col min="12457" max="12457" width="11.140625" style="595" customWidth="1"/>
    <col min="12458" max="12458" width="8" style="595" customWidth="1"/>
    <col min="12459" max="12459" width="10.85546875" style="595" customWidth="1"/>
    <col min="12460" max="12460" width="7.5703125" style="595" customWidth="1"/>
    <col min="12461" max="12461" width="14.28515625" style="595" customWidth="1"/>
    <col min="12462" max="12462" width="6.5703125" style="595" customWidth="1"/>
    <col min="12463" max="12463" width="14.140625" style="595" customWidth="1"/>
    <col min="12464" max="12464" width="6.5703125" style="595" customWidth="1"/>
    <col min="12465" max="12465" width="14.28515625" style="595" customWidth="1"/>
    <col min="12466" max="12466" width="7.85546875" style="595" customWidth="1"/>
    <col min="12467" max="12467" width="14.140625" style="595" customWidth="1"/>
    <col min="12468" max="12468" width="6.85546875" style="595" customWidth="1"/>
    <col min="12469" max="12469" width="14.140625" style="595" customWidth="1"/>
    <col min="12470" max="12470" width="6.28515625" style="595" customWidth="1"/>
    <col min="12471" max="12471" width="14.140625" style="595" customWidth="1"/>
    <col min="12472" max="12472" width="5.85546875" style="595" customWidth="1"/>
    <col min="12473" max="12473" width="14.85546875" style="595" customWidth="1"/>
    <col min="12474" max="12474" width="6.85546875" style="595" customWidth="1"/>
    <col min="12475" max="12475" width="14.28515625" style="595" customWidth="1"/>
    <col min="12476" max="12476" width="7.28515625" style="595" customWidth="1"/>
    <col min="12477" max="12477" width="14.28515625" style="595" customWidth="1"/>
    <col min="12478" max="12478" width="6.42578125" style="595" customWidth="1"/>
    <col min="12479" max="12479" width="14" style="595" customWidth="1"/>
    <col min="12480" max="12480" width="7" style="595" customWidth="1"/>
    <col min="12481" max="12481" width="14" style="595" customWidth="1"/>
    <col min="12482" max="12482" width="6.42578125" style="595" customWidth="1"/>
    <col min="12483" max="12483" width="14.140625" style="595" customWidth="1"/>
    <col min="12484" max="12484" width="6.28515625" style="595" customWidth="1"/>
    <col min="12485" max="12485" width="14.140625" style="595" customWidth="1"/>
    <col min="12486" max="12486" width="7" style="595" customWidth="1"/>
    <col min="12487" max="12487" width="14.140625" style="595" customWidth="1"/>
    <col min="12488" max="12488" width="7.42578125" style="595" customWidth="1"/>
    <col min="12489" max="12489" width="14.5703125" style="595" customWidth="1"/>
    <col min="12490" max="12490" width="6.7109375" style="595" customWidth="1"/>
    <col min="12491" max="12491" width="14.140625" style="595" customWidth="1"/>
    <col min="12492" max="12492" width="7" style="595" customWidth="1"/>
    <col min="12493" max="12493" width="14.5703125" style="595" customWidth="1"/>
    <col min="12494" max="12494" width="7.42578125" style="595" customWidth="1"/>
    <col min="12495" max="12495" width="14.5703125" style="595" customWidth="1"/>
    <col min="12496" max="12496" width="6.42578125" style="595" customWidth="1"/>
    <col min="12497" max="12497" width="14.7109375" style="595" customWidth="1"/>
    <col min="12498" max="12498" width="6.85546875" style="595" customWidth="1"/>
    <col min="12499" max="12499" width="14.5703125" style="595" customWidth="1"/>
    <col min="12500" max="12500" width="7.140625" style="595" customWidth="1"/>
    <col min="12501" max="12501" width="14.5703125" style="595" customWidth="1"/>
    <col min="12502" max="12502" width="6.7109375" style="595" customWidth="1"/>
    <col min="12503" max="12503" width="14.140625" style="595" customWidth="1"/>
    <col min="12504" max="12504" width="5.85546875" style="595" customWidth="1"/>
    <col min="12505" max="12505" width="14" style="595" customWidth="1"/>
    <col min="12506" max="12506" width="8.28515625" style="595" customWidth="1"/>
    <col min="12507" max="12507" width="14.7109375" style="595" customWidth="1"/>
    <col min="12508" max="12508" width="7.140625" style="595" customWidth="1"/>
    <col min="12509" max="12509" width="14.7109375" style="595" customWidth="1"/>
    <col min="12510" max="12510" width="7.140625" style="595" customWidth="1"/>
    <col min="12511" max="12511" width="14" style="595" customWidth="1"/>
    <col min="12512" max="12512" width="6.42578125" style="595" customWidth="1"/>
    <col min="12513" max="12513" width="14" style="595" customWidth="1"/>
    <col min="12514" max="12514" width="6.28515625" style="595" customWidth="1"/>
    <col min="12515" max="12515" width="14.42578125" style="595" customWidth="1"/>
    <col min="12516" max="12516" width="6.28515625" style="595" customWidth="1"/>
    <col min="12517" max="12517" width="14.85546875" style="595" customWidth="1"/>
    <col min="12518" max="12518" width="7.28515625" style="595" customWidth="1"/>
    <col min="12519" max="12519" width="14.42578125" style="595" customWidth="1"/>
    <col min="12520" max="12520" width="7.28515625" style="595" customWidth="1"/>
    <col min="12521" max="12521" width="14.7109375" style="595" customWidth="1"/>
    <col min="12522" max="12522" width="6" style="595" customWidth="1"/>
    <col min="12523" max="12523" width="14.5703125" style="595" customWidth="1"/>
    <col min="12524" max="12524" width="6.42578125" style="595" customWidth="1"/>
    <col min="12525" max="12525" width="14.140625" style="595" customWidth="1"/>
    <col min="12526" max="12526" width="7.5703125" style="595" customWidth="1"/>
    <col min="12527" max="12527" width="14.5703125" style="595" customWidth="1"/>
    <col min="12528" max="12528" width="6.7109375" style="595" customWidth="1"/>
    <col min="12529" max="12529" width="15" style="595" customWidth="1"/>
    <col min="12530" max="12530" width="9.140625" style="595"/>
    <col min="12531" max="12531" width="14" style="595" customWidth="1"/>
    <col min="12532" max="12532" width="9.140625" style="595"/>
    <col min="12533" max="12533" width="14" style="595" customWidth="1"/>
    <col min="12534" max="12538" width="9.140625" style="595"/>
    <col min="12539" max="12539" width="41.28515625" style="595" customWidth="1"/>
    <col min="12540" max="12611" width="9.140625" style="595"/>
    <col min="12612" max="12612" width="21.140625" style="595" customWidth="1"/>
    <col min="12613" max="12613" width="7.28515625" style="595" customWidth="1"/>
    <col min="12614" max="12614" width="15" style="595" customWidth="1"/>
    <col min="12615" max="12615" width="23.28515625" style="595" customWidth="1"/>
    <col min="12616" max="12616" width="25.5703125" style="595" customWidth="1"/>
    <col min="12617" max="12617" width="7" style="595" bestFit="1" customWidth="1"/>
    <col min="12618" max="12618" width="6.42578125" style="595" bestFit="1" customWidth="1"/>
    <col min="12619" max="12619" width="7.85546875" style="595" customWidth="1"/>
    <col min="12620" max="12620" width="8.7109375" style="595" customWidth="1"/>
    <col min="12621" max="12621" width="7" style="595" bestFit="1" customWidth="1"/>
    <col min="12622" max="12622" width="6.42578125" style="595" bestFit="1" customWidth="1"/>
    <col min="12623" max="12623" width="6.85546875" style="595" customWidth="1"/>
    <col min="12624" max="12624" width="7.140625" style="595" customWidth="1"/>
    <col min="12625" max="12625" width="7" style="595" bestFit="1" customWidth="1"/>
    <col min="12626" max="12626" width="6.42578125" style="595" bestFit="1" customWidth="1"/>
    <col min="12627" max="12627" width="6" style="595" customWidth="1"/>
    <col min="12628" max="12628" width="9.7109375" style="595" customWidth="1"/>
    <col min="12629" max="12629" width="7" style="595" bestFit="1" customWidth="1"/>
    <col min="12630" max="12630" width="6.42578125" style="595" bestFit="1" customWidth="1"/>
    <col min="12631" max="12631" width="7.7109375" style="595" customWidth="1"/>
    <col min="12632" max="12636" width="7.28515625" style="595" customWidth="1"/>
    <col min="12637" max="12637" width="7" style="595" customWidth="1"/>
    <col min="12638" max="12639" width="5.140625" style="595" bestFit="1" customWidth="1"/>
    <col min="12640" max="12640" width="20.5703125" style="595" customWidth="1"/>
    <col min="12641" max="12641" width="8.85546875" style="595" customWidth="1"/>
    <col min="12642" max="12642" width="18.7109375" style="595" customWidth="1"/>
    <col min="12643" max="12643" width="9.7109375" style="595" customWidth="1"/>
    <col min="12644" max="12644" width="8.85546875" style="595" customWidth="1"/>
    <col min="12645" max="12645" width="10.7109375" style="595" customWidth="1"/>
    <col min="12646" max="12646" width="35.85546875" style="595" customWidth="1"/>
    <col min="12647" max="12647" width="18.7109375" style="595" customWidth="1"/>
    <col min="12648" max="12648" width="9.140625" style="595"/>
    <col min="12649" max="12649" width="9.28515625" style="595" bestFit="1" customWidth="1"/>
    <col min="12650" max="12650" width="9.140625" style="595"/>
    <col min="12651" max="12651" width="9" style="595" customWidth="1"/>
    <col min="12652" max="12652" width="9.5703125" style="595" customWidth="1"/>
    <col min="12653" max="12653" width="11.28515625" style="595" customWidth="1"/>
    <col min="12654" max="12654" width="9.140625" style="595"/>
    <col min="12655" max="12655" width="12.7109375" style="595" customWidth="1"/>
    <col min="12656" max="12656" width="9.140625" style="595"/>
    <col min="12657" max="12657" width="20.5703125" style="595" customWidth="1"/>
    <col min="12658" max="12658" width="15.7109375" style="595" customWidth="1"/>
    <col min="12659" max="12659" width="20.7109375" style="595" customWidth="1"/>
    <col min="12660" max="12660" width="18.28515625" style="595" customWidth="1"/>
    <col min="12661" max="12663" width="9.140625" style="595"/>
    <col min="12664" max="12664" width="13.5703125" style="595" customWidth="1"/>
    <col min="12665" max="12665" width="14.7109375" style="595" customWidth="1"/>
    <col min="12666" max="12666" width="7.28515625" style="595" customWidth="1"/>
    <col min="12667" max="12667" width="17.7109375" style="595" customWidth="1"/>
    <col min="12668" max="12668" width="13.5703125" style="595" customWidth="1"/>
    <col min="12669" max="12669" width="15.5703125" style="595" customWidth="1"/>
    <col min="12670" max="12670" width="16.28515625" style="595" customWidth="1"/>
    <col min="12671" max="12671" width="15.140625" style="595" customWidth="1"/>
    <col min="12672" max="12672" width="9.140625" style="595"/>
    <col min="12673" max="12673" width="14.140625" style="595" customWidth="1"/>
    <col min="12674" max="12674" width="6.5703125" style="595" customWidth="1"/>
    <col min="12675" max="12675" width="14.5703125" style="595" customWidth="1"/>
    <col min="12676" max="12676" width="6.42578125" style="595" customWidth="1"/>
    <col min="12677" max="12677" width="12.85546875" style="595" customWidth="1"/>
    <col min="12678" max="12678" width="7.85546875" style="595" customWidth="1"/>
    <col min="12679" max="12679" width="10.7109375" style="595" customWidth="1"/>
    <col min="12680" max="12680" width="7.140625" style="595" customWidth="1"/>
    <col min="12681" max="12681" width="11.85546875" style="595" customWidth="1"/>
    <col min="12682" max="12682" width="7.42578125" style="595" customWidth="1"/>
    <col min="12683" max="12683" width="12.140625" style="595" customWidth="1"/>
    <col min="12684" max="12684" width="8.42578125" style="595" customWidth="1"/>
    <col min="12685" max="12685" width="11.85546875" style="595" customWidth="1"/>
    <col min="12686" max="12686" width="6.85546875" style="595" customWidth="1"/>
    <col min="12687" max="12687" width="11.42578125" style="595" customWidth="1"/>
    <col min="12688" max="12688" width="9" style="595" customWidth="1"/>
    <col min="12689" max="12689" width="12.42578125" style="595" customWidth="1"/>
    <col min="12690" max="12690" width="5.85546875" style="595" customWidth="1"/>
    <col min="12691" max="12691" width="13.28515625" style="595" customWidth="1"/>
    <col min="12692" max="12692" width="8.85546875" style="595" customWidth="1"/>
    <col min="12693" max="12693" width="12" style="595" customWidth="1"/>
    <col min="12694" max="12694" width="7.5703125" style="595" customWidth="1"/>
    <col min="12695" max="12695" width="11.28515625" style="595" customWidth="1"/>
    <col min="12696" max="12696" width="6.5703125" style="595" customWidth="1"/>
    <col min="12697" max="12697" width="12.140625" style="595" customWidth="1"/>
    <col min="12698" max="12698" width="7.42578125" style="595" customWidth="1"/>
    <col min="12699" max="12699" width="12.42578125" style="595" customWidth="1"/>
    <col min="12700" max="12700" width="7.5703125" style="595" customWidth="1"/>
    <col min="12701" max="12701" width="11.28515625" style="595" customWidth="1"/>
    <col min="12702" max="12702" width="7.140625" style="595" customWidth="1"/>
    <col min="12703" max="12703" width="10.85546875" style="595" customWidth="1"/>
    <col min="12704" max="12704" width="6.140625" style="595" customWidth="1"/>
    <col min="12705" max="12705" width="10.7109375" style="595" customWidth="1"/>
    <col min="12706" max="12706" width="6.85546875" style="595" customWidth="1"/>
    <col min="12707" max="12707" width="10.7109375" style="595" customWidth="1"/>
    <col min="12708" max="12708" width="7" style="595" customWidth="1"/>
    <col min="12709" max="12709" width="11.85546875" style="595" customWidth="1"/>
    <col min="12710" max="12710" width="7.42578125" style="595" customWidth="1"/>
    <col min="12711" max="12711" width="10.7109375" style="595" customWidth="1"/>
    <col min="12712" max="12712" width="8.42578125" style="595" customWidth="1"/>
    <col min="12713" max="12713" width="11.140625" style="595" customWidth="1"/>
    <col min="12714" max="12714" width="8" style="595" customWidth="1"/>
    <col min="12715" max="12715" width="10.85546875" style="595" customWidth="1"/>
    <col min="12716" max="12716" width="7.5703125" style="595" customWidth="1"/>
    <col min="12717" max="12717" width="14.28515625" style="595" customWidth="1"/>
    <col min="12718" max="12718" width="6.5703125" style="595" customWidth="1"/>
    <col min="12719" max="12719" width="14.140625" style="595" customWidth="1"/>
    <col min="12720" max="12720" width="6.5703125" style="595" customWidth="1"/>
    <col min="12721" max="12721" width="14.28515625" style="595" customWidth="1"/>
    <col min="12722" max="12722" width="7.85546875" style="595" customWidth="1"/>
    <col min="12723" max="12723" width="14.140625" style="595" customWidth="1"/>
    <col min="12724" max="12724" width="6.85546875" style="595" customWidth="1"/>
    <col min="12725" max="12725" width="14.140625" style="595" customWidth="1"/>
    <col min="12726" max="12726" width="6.28515625" style="595" customWidth="1"/>
    <col min="12727" max="12727" width="14.140625" style="595" customWidth="1"/>
    <col min="12728" max="12728" width="5.85546875" style="595" customWidth="1"/>
    <col min="12729" max="12729" width="14.85546875" style="595" customWidth="1"/>
    <col min="12730" max="12730" width="6.85546875" style="595" customWidth="1"/>
    <col min="12731" max="12731" width="14.28515625" style="595" customWidth="1"/>
    <col min="12732" max="12732" width="7.28515625" style="595" customWidth="1"/>
    <col min="12733" max="12733" width="14.28515625" style="595" customWidth="1"/>
    <col min="12734" max="12734" width="6.42578125" style="595" customWidth="1"/>
    <col min="12735" max="12735" width="14" style="595" customWidth="1"/>
    <col min="12736" max="12736" width="7" style="595" customWidth="1"/>
    <col min="12737" max="12737" width="14" style="595" customWidth="1"/>
    <col min="12738" max="12738" width="6.42578125" style="595" customWidth="1"/>
    <col min="12739" max="12739" width="14.140625" style="595" customWidth="1"/>
    <col min="12740" max="12740" width="6.28515625" style="595" customWidth="1"/>
    <col min="12741" max="12741" width="14.140625" style="595" customWidth="1"/>
    <col min="12742" max="12742" width="7" style="595" customWidth="1"/>
    <col min="12743" max="12743" width="14.140625" style="595" customWidth="1"/>
    <col min="12744" max="12744" width="7.42578125" style="595" customWidth="1"/>
    <col min="12745" max="12745" width="14.5703125" style="595" customWidth="1"/>
    <col min="12746" max="12746" width="6.7109375" style="595" customWidth="1"/>
    <col min="12747" max="12747" width="14.140625" style="595" customWidth="1"/>
    <col min="12748" max="12748" width="7" style="595" customWidth="1"/>
    <col min="12749" max="12749" width="14.5703125" style="595" customWidth="1"/>
    <col min="12750" max="12750" width="7.42578125" style="595" customWidth="1"/>
    <col min="12751" max="12751" width="14.5703125" style="595" customWidth="1"/>
    <col min="12752" max="12752" width="6.42578125" style="595" customWidth="1"/>
    <col min="12753" max="12753" width="14.7109375" style="595" customWidth="1"/>
    <col min="12754" max="12754" width="6.85546875" style="595" customWidth="1"/>
    <col min="12755" max="12755" width="14.5703125" style="595" customWidth="1"/>
    <col min="12756" max="12756" width="7.140625" style="595" customWidth="1"/>
    <col min="12757" max="12757" width="14.5703125" style="595" customWidth="1"/>
    <col min="12758" max="12758" width="6.7109375" style="595" customWidth="1"/>
    <col min="12759" max="12759" width="14.140625" style="595" customWidth="1"/>
    <col min="12760" max="12760" width="5.85546875" style="595" customWidth="1"/>
    <col min="12761" max="12761" width="14" style="595" customWidth="1"/>
    <col min="12762" max="12762" width="8.28515625" style="595" customWidth="1"/>
    <col min="12763" max="12763" width="14.7109375" style="595" customWidth="1"/>
    <col min="12764" max="12764" width="7.140625" style="595" customWidth="1"/>
    <col min="12765" max="12765" width="14.7109375" style="595" customWidth="1"/>
    <col min="12766" max="12766" width="7.140625" style="595" customWidth="1"/>
    <col min="12767" max="12767" width="14" style="595" customWidth="1"/>
    <col min="12768" max="12768" width="6.42578125" style="595" customWidth="1"/>
    <col min="12769" max="12769" width="14" style="595" customWidth="1"/>
    <col min="12770" max="12770" width="6.28515625" style="595" customWidth="1"/>
    <col min="12771" max="12771" width="14.42578125" style="595" customWidth="1"/>
    <col min="12772" max="12772" width="6.28515625" style="595" customWidth="1"/>
    <col min="12773" max="12773" width="14.85546875" style="595" customWidth="1"/>
    <col min="12774" max="12774" width="7.28515625" style="595" customWidth="1"/>
    <col min="12775" max="12775" width="14.42578125" style="595" customWidth="1"/>
    <col min="12776" max="12776" width="7.28515625" style="595" customWidth="1"/>
    <col min="12777" max="12777" width="14.7109375" style="595" customWidth="1"/>
    <col min="12778" max="12778" width="6" style="595" customWidth="1"/>
    <col min="12779" max="12779" width="14.5703125" style="595" customWidth="1"/>
    <col min="12780" max="12780" width="6.42578125" style="595" customWidth="1"/>
    <col min="12781" max="12781" width="14.140625" style="595" customWidth="1"/>
    <col min="12782" max="12782" width="7.5703125" style="595" customWidth="1"/>
    <col min="12783" max="12783" width="14.5703125" style="595" customWidth="1"/>
    <col min="12784" max="12784" width="6.7109375" style="595" customWidth="1"/>
    <col min="12785" max="12785" width="15" style="595" customWidth="1"/>
    <col min="12786" max="12786" width="9.140625" style="595"/>
    <col min="12787" max="12787" width="14" style="595" customWidth="1"/>
    <col min="12788" max="12788" width="9.140625" style="595"/>
    <col min="12789" max="12789" width="14" style="595" customWidth="1"/>
    <col min="12790" max="12794" width="9.140625" style="595"/>
    <col min="12795" max="12795" width="41.28515625" style="595" customWidth="1"/>
    <col min="12796" max="12867" width="9.140625" style="595"/>
    <col min="12868" max="12868" width="21.140625" style="595" customWidth="1"/>
    <col min="12869" max="12869" width="7.28515625" style="595" customWidth="1"/>
    <col min="12870" max="12870" width="15" style="595" customWidth="1"/>
    <col min="12871" max="12871" width="23.28515625" style="595" customWidth="1"/>
    <col min="12872" max="12872" width="25.5703125" style="595" customWidth="1"/>
    <col min="12873" max="12873" width="7" style="595" bestFit="1" customWidth="1"/>
    <col min="12874" max="12874" width="6.42578125" style="595" bestFit="1" customWidth="1"/>
    <col min="12875" max="12875" width="7.85546875" style="595" customWidth="1"/>
    <col min="12876" max="12876" width="8.7109375" style="595" customWidth="1"/>
    <col min="12877" max="12877" width="7" style="595" bestFit="1" customWidth="1"/>
    <col min="12878" max="12878" width="6.42578125" style="595" bestFit="1" customWidth="1"/>
    <col min="12879" max="12879" width="6.85546875" style="595" customWidth="1"/>
    <col min="12880" max="12880" width="7.140625" style="595" customWidth="1"/>
    <col min="12881" max="12881" width="7" style="595" bestFit="1" customWidth="1"/>
    <col min="12882" max="12882" width="6.42578125" style="595" bestFit="1" customWidth="1"/>
    <col min="12883" max="12883" width="6" style="595" customWidth="1"/>
    <col min="12884" max="12884" width="9.7109375" style="595" customWidth="1"/>
    <col min="12885" max="12885" width="7" style="595" bestFit="1" customWidth="1"/>
    <col min="12886" max="12886" width="6.42578125" style="595" bestFit="1" customWidth="1"/>
    <col min="12887" max="12887" width="7.7109375" style="595" customWidth="1"/>
    <col min="12888" max="12892" width="7.28515625" style="595" customWidth="1"/>
    <col min="12893" max="12893" width="7" style="595" customWidth="1"/>
    <col min="12894" max="12895" width="5.140625" style="595" bestFit="1" customWidth="1"/>
    <col min="12896" max="12896" width="20.5703125" style="595" customWidth="1"/>
    <col min="12897" max="12897" width="8.85546875" style="595" customWidth="1"/>
    <col min="12898" max="12898" width="18.7109375" style="595" customWidth="1"/>
    <col min="12899" max="12899" width="9.7109375" style="595" customWidth="1"/>
    <col min="12900" max="12900" width="8.85546875" style="595" customWidth="1"/>
    <col min="12901" max="12901" width="10.7109375" style="595" customWidth="1"/>
    <col min="12902" max="12902" width="35.85546875" style="595" customWidth="1"/>
    <col min="12903" max="12903" width="18.7109375" style="595" customWidth="1"/>
    <col min="12904" max="12904" width="9.140625" style="595"/>
    <col min="12905" max="12905" width="9.28515625" style="595" bestFit="1" customWidth="1"/>
    <col min="12906" max="12906" width="9.140625" style="595"/>
    <col min="12907" max="12907" width="9" style="595" customWidth="1"/>
    <col min="12908" max="12908" width="9.5703125" style="595" customWidth="1"/>
    <col min="12909" max="12909" width="11.28515625" style="595" customWidth="1"/>
    <col min="12910" max="12910" width="9.140625" style="595"/>
    <col min="12911" max="12911" width="12.7109375" style="595" customWidth="1"/>
    <col min="12912" max="12912" width="9.140625" style="595"/>
    <col min="12913" max="12913" width="20.5703125" style="595" customWidth="1"/>
    <col min="12914" max="12914" width="15.7109375" style="595" customWidth="1"/>
    <col min="12915" max="12915" width="20.7109375" style="595" customWidth="1"/>
    <col min="12916" max="12916" width="18.28515625" style="595" customWidth="1"/>
    <col min="12917" max="12919" width="9.140625" style="595"/>
    <col min="12920" max="12920" width="13.5703125" style="595" customWidth="1"/>
    <col min="12921" max="12921" width="14.7109375" style="595" customWidth="1"/>
    <col min="12922" max="12922" width="7.28515625" style="595" customWidth="1"/>
    <col min="12923" max="12923" width="17.7109375" style="595" customWidth="1"/>
    <col min="12924" max="12924" width="13.5703125" style="595" customWidth="1"/>
    <col min="12925" max="12925" width="15.5703125" style="595" customWidth="1"/>
    <col min="12926" max="12926" width="16.28515625" style="595" customWidth="1"/>
    <col min="12927" max="12927" width="15.140625" style="595" customWidth="1"/>
    <col min="12928" max="12928" width="9.140625" style="595"/>
    <col min="12929" max="12929" width="14.140625" style="595" customWidth="1"/>
    <col min="12930" max="12930" width="6.5703125" style="595" customWidth="1"/>
    <col min="12931" max="12931" width="14.5703125" style="595" customWidth="1"/>
    <col min="12932" max="12932" width="6.42578125" style="595" customWidth="1"/>
    <col min="12933" max="12933" width="12.85546875" style="595" customWidth="1"/>
    <col min="12934" max="12934" width="7.85546875" style="595" customWidth="1"/>
    <col min="12935" max="12935" width="10.7109375" style="595" customWidth="1"/>
    <col min="12936" max="12936" width="7.140625" style="595" customWidth="1"/>
    <col min="12937" max="12937" width="11.85546875" style="595" customWidth="1"/>
    <col min="12938" max="12938" width="7.42578125" style="595" customWidth="1"/>
    <col min="12939" max="12939" width="12.140625" style="595" customWidth="1"/>
    <col min="12940" max="12940" width="8.42578125" style="595" customWidth="1"/>
    <col min="12941" max="12941" width="11.85546875" style="595" customWidth="1"/>
    <col min="12942" max="12942" width="6.85546875" style="595" customWidth="1"/>
    <col min="12943" max="12943" width="11.42578125" style="595" customWidth="1"/>
    <col min="12944" max="12944" width="9" style="595" customWidth="1"/>
    <col min="12945" max="12945" width="12.42578125" style="595" customWidth="1"/>
    <col min="12946" max="12946" width="5.85546875" style="595" customWidth="1"/>
    <col min="12947" max="12947" width="13.28515625" style="595" customWidth="1"/>
    <col min="12948" max="12948" width="8.85546875" style="595" customWidth="1"/>
    <col min="12949" max="12949" width="12" style="595" customWidth="1"/>
    <col min="12950" max="12950" width="7.5703125" style="595" customWidth="1"/>
    <col min="12951" max="12951" width="11.28515625" style="595" customWidth="1"/>
    <col min="12952" max="12952" width="6.5703125" style="595" customWidth="1"/>
    <col min="12953" max="12953" width="12.140625" style="595" customWidth="1"/>
    <col min="12954" max="12954" width="7.42578125" style="595" customWidth="1"/>
    <col min="12955" max="12955" width="12.42578125" style="595" customWidth="1"/>
    <col min="12956" max="12956" width="7.5703125" style="595" customWidth="1"/>
    <col min="12957" max="12957" width="11.28515625" style="595" customWidth="1"/>
    <col min="12958" max="12958" width="7.140625" style="595" customWidth="1"/>
    <col min="12959" max="12959" width="10.85546875" style="595" customWidth="1"/>
    <col min="12960" max="12960" width="6.140625" style="595" customWidth="1"/>
    <col min="12961" max="12961" width="10.7109375" style="595" customWidth="1"/>
    <col min="12962" max="12962" width="6.85546875" style="595" customWidth="1"/>
    <col min="12963" max="12963" width="10.7109375" style="595" customWidth="1"/>
    <col min="12964" max="12964" width="7" style="595" customWidth="1"/>
    <col min="12965" max="12965" width="11.85546875" style="595" customWidth="1"/>
    <col min="12966" max="12966" width="7.42578125" style="595" customWidth="1"/>
    <col min="12967" max="12967" width="10.7109375" style="595" customWidth="1"/>
    <col min="12968" max="12968" width="8.42578125" style="595" customWidth="1"/>
    <col min="12969" max="12969" width="11.140625" style="595" customWidth="1"/>
    <col min="12970" max="12970" width="8" style="595" customWidth="1"/>
    <col min="12971" max="12971" width="10.85546875" style="595" customWidth="1"/>
    <col min="12972" max="12972" width="7.5703125" style="595" customWidth="1"/>
    <col min="12973" max="12973" width="14.28515625" style="595" customWidth="1"/>
    <col min="12974" max="12974" width="6.5703125" style="595" customWidth="1"/>
    <col min="12975" max="12975" width="14.140625" style="595" customWidth="1"/>
    <col min="12976" max="12976" width="6.5703125" style="595" customWidth="1"/>
    <col min="12977" max="12977" width="14.28515625" style="595" customWidth="1"/>
    <col min="12978" max="12978" width="7.85546875" style="595" customWidth="1"/>
    <col min="12979" max="12979" width="14.140625" style="595" customWidth="1"/>
    <col min="12980" max="12980" width="6.85546875" style="595" customWidth="1"/>
    <col min="12981" max="12981" width="14.140625" style="595" customWidth="1"/>
    <col min="12982" max="12982" width="6.28515625" style="595" customWidth="1"/>
    <col min="12983" max="12983" width="14.140625" style="595" customWidth="1"/>
    <col min="12984" max="12984" width="5.85546875" style="595" customWidth="1"/>
    <col min="12985" max="12985" width="14.85546875" style="595" customWidth="1"/>
    <col min="12986" max="12986" width="6.85546875" style="595" customWidth="1"/>
    <col min="12987" max="12987" width="14.28515625" style="595" customWidth="1"/>
    <col min="12988" max="12988" width="7.28515625" style="595" customWidth="1"/>
    <col min="12989" max="12989" width="14.28515625" style="595" customWidth="1"/>
    <col min="12990" max="12990" width="6.42578125" style="595" customWidth="1"/>
    <col min="12991" max="12991" width="14" style="595" customWidth="1"/>
    <col min="12992" max="12992" width="7" style="595" customWidth="1"/>
    <col min="12993" max="12993" width="14" style="595" customWidth="1"/>
    <col min="12994" max="12994" width="6.42578125" style="595" customWidth="1"/>
    <col min="12995" max="12995" width="14.140625" style="595" customWidth="1"/>
    <col min="12996" max="12996" width="6.28515625" style="595" customWidth="1"/>
    <col min="12997" max="12997" width="14.140625" style="595" customWidth="1"/>
    <col min="12998" max="12998" width="7" style="595" customWidth="1"/>
    <col min="12999" max="12999" width="14.140625" style="595" customWidth="1"/>
    <col min="13000" max="13000" width="7.42578125" style="595" customWidth="1"/>
    <col min="13001" max="13001" width="14.5703125" style="595" customWidth="1"/>
    <col min="13002" max="13002" width="6.7109375" style="595" customWidth="1"/>
    <col min="13003" max="13003" width="14.140625" style="595" customWidth="1"/>
    <col min="13004" max="13004" width="7" style="595" customWidth="1"/>
    <col min="13005" max="13005" width="14.5703125" style="595" customWidth="1"/>
    <col min="13006" max="13006" width="7.42578125" style="595" customWidth="1"/>
    <col min="13007" max="13007" width="14.5703125" style="595" customWidth="1"/>
    <col min="13008" max="13008" width="6.42578125" style="595" customWidth="1"/>
    <col min="13009" max="13009" width="14.7109375" style="595" customWidth="1"/>
    <col min="13010" max="13010" width="6.85546875" style="595" customWidth="1"/>
    <col min="13011" max="13011" width="14.5703125" style="595" customWidth="1"/>
    <col min="13012" max="13012" width="7.140625" style="595" customWidth="1"/>
    <col min="13013" max="13013" width="14.5703125" style="595" customWidth="1"/>
    <col min="13014" max="13014" width="6.7109375" style="595" customWidth="1"/>
    <col min="13015" max="13015" width="14.140625" style="595" customWidth="1"/>
    <col min="13016" max="13016" width="5.85546875" style="595" customWidth="1"/>
    <col min="13017" max="13017" width="14" style="595" customWidth="1"/>
    <col min="13018" max="13018" width="8.28515625" style="595" customWidth="1"/>
    <col min="13019" max="13019" width="14.7109375" style="595" customWidth="1"/>
    <col min="13020" max="13020" width="7.140625" style="595" customWidth="1"/>
    <col min="13021" max="13021" width="14.7109375" style="595" customWidth="1"/>
    <col min="13022" max="13022" width="7.140625" style="595" customWidth="1"/>
    <col min="13023" max="13023" width="14" style="595" customWidth="1"/>
    <col min="13024" max="13024" width="6.42578125" style="595" customWidth="1"/>
    <col min="13025" max="13025" width="14" style="595" customWidth="1"/>
    <col min="13026" max="13026" width="6.28515625" style="595" customWidth="1"/>
    <col min="13027" max="13027" width="14.42578125" style="595" customWidth="1"/>
    <col min="13028" max="13028" width="6.28515625" style="595" customWidth="1"/>
    <col min="13029" max="13029" width="14.85546875" style="595" customWidth="1"/>
    <col min="13030" max="13030" width="7.28515625" style="595" customWidth="1"/>
    <col min="13031" max="13031" width="14.42578125" style="595" customWidth="1"/>
    <col min="13032" max="13032" width="7.28515625" style="595" customWidth="1"/>
    <col min="13033" max="13033" width="14.7109375" style="595" customWidth="1"/>
    <col min="13034" max="13034" width="6" style="595" customWidth="1"/>
    <col min="13035" max="13035" width="14.5703125" style="595" customWidth="1"/>
    <col min="13036" max="13036" width="6.42578125" style="595" customWidth="1"/>
    <col min="13037" max="13037" width="14.140625" style="595" customWidth="1"/>
    <col min="13038" max="13038" width="7.5703125" style="595" customWidth="1"/>
    <col min="13039" max="13039" width="14.5703125" style="595" customWidth="1"/>
    <col min="13040" max="13040" width="6.7109375" style="595" customWidth="1"/>
    <col min="13041" max="13041" width="15" style="595" customWidth="1"/>
    <col min="13042" max="13042" width="9.140625" style="595"/>
    <col min="13043" max="13043" width="14" style="595" customWidth="1"/>
    <col min="13044" max="13044" width="9.140625" style="595"/>
    <col min="13045" max="13045" width="14" style="595" customWidth="1"/>
    <col min="13046" max="13050" width="9.140625" style="595"/>
    <col min="13051" max="13051" width="41.28515625" style="595" customWidth="1"/>
    <col min="13052" max="13123" width="9.140625" style="595"/>
    <col min="13124" max="13124" width="21.140625" style="595" customWidth="1"/>
    <col min="13125" max="13125" width="7.28515625" style="595" customWidth="1"/>
    <col min="13126" max="13126" width="15" style="595" customWidth="1"/>
    <col min="13127" max="13127" width="23.28515625" style="595" customWidth="1"/>
    <col min="13128" max="13128" width="25.5703125" style="595" customWidth="1"/>
    <col min="13129" max="13129" width="7" style="595" bestFit="1" customWidth="1"/>
    <col min="13130" max="13130" width="6.42578125" style="595" bestFit="1" customWidth="1"/>
    <col min="13131" max="13131" width="7.85546875" style="595" customWidth="1"/>
    <col min="13132" max="13132" width="8.7109375" style="595" customWidth="1"/>
    <col min="13133" max="13133" width="7" style="595" bestFit="1" customWidth="1"/>
    <col min="13134" max="13134" width="6.42578125" style="595" bestFit="1" customWidth="1"/>
    <col min="13135" max="13135" width="6.85546875" style="595" customWidth="1"/>
    <col min="13136" max="13136" width="7.140625" style="595" customWidth="1"/>
    <col min="13137" max="13137" width="7" style="595" bestFit="1" customWidth="1"/>
    <col min="13138" max="13138" width="6.42578125" style="595" bestFit="1" customWidth="1"/>
    <col min="13139" max="13139" width="6" style="595" customWidth="1"/>
    <col min="13140" max="13140" width="9.7109375" style="595" customWidth="1"/>
    <col min="13141" max="13141" width="7" style="595" bestFit="1" customWidth="1"/>
    <col min="13142" max="13142" width="6.42578125" style="595" bestFit="1" customWidth="1"/>
    <col min="13143" max="13143" width="7.7109375" style="595" customWidth="1"/>
    <col min="13144" max="13148" width="7.28515625" style="595" customWidth="1"/>
    <col min="13149" max="13149" width="7" style="595" customWidth="1"/>
    <col min="13150" max="13151" width="5.140625" style="595" bestFit="1" customWidth="1"/>
    <col min="13152" max="13152" width="20.5703125" style="595" customWidth="1"/>
    <col min="13153" max="13153" width="8.85546875" style="595" customWidth="1"/>
    <col min="13154" max="13154" width="18.7109375" style="595" customWidth="1"/>
    <col min="13155" max="13155" width="9.7109375" style="595" customWidth="1"/>
    <col min="13156" max="13156" width="8.85546875" style="595" customWidth="1"/>
    <col min="13157" max="13157" width="10.7109375" style="595" customWidth="1"/>
    <col min="13158" max="13158" width="35.85546875" style="595" customWidth="1"/>
    <col min="13159" max="13159" width="18.7109375" style="595" customWidth="1"/>
    <col min="13160" max="13160" width="9.140625" style="595"/>
    <col min="13161" max="13161" width="9.28515625" style="595" bestFit="1" customWidth="1"/>
    <col min="13162" max="13162" width="9.140625" style="595"/>
    <col min="13163" max="13163" width="9" style="595" customWidth="1"/>
    <col min="13164" max="13164" width="9.5703125" style="595" customWidth="1"/>
    <col min="13165" max="13165" width="11.28515625" style="595" customWidth="1"/>
    <col min="13166" max="13166" width="9.140625" style="595"/>
    <col min="13167" max="13167" width="12.7109375" style="595" customWidth="1"/>
    <col min="13168" max="13168" width="9.140625" style="595"/>
    <col min="13169" max="13169" width="20.5703125" style="595" customWidth="1"/>
    <col min="13170" max="13170" width="15.7109375" style="595" customWidth="1"/>
    <col min="13171" max="13171" width="20.7109375" style="595" customWidth="1"/>
    <col min="13172" max="13172" width="18.28515625" style="595" customWidth="1"/>
    <col min="13173" max="13175" width="9.140625" style="595"/>
    <col min="13176" max="13176" width="13.5703125" style="595" customWidth="1"/>
    <col min="13177" max="13177" width="14.7109375" style="595" customWidth="1"/>
    <col min="13178" max="13178" width="7.28515625" style="595" customWidth="1"/>
    <col min="13179" max="13179" width="17.7109375" style="595" customWidth="1"/>
    <col min="13180" max="13180" width="13.5703125" style="595" customWidth="1"/>
    <col min="13181" max="13181" width="15.5703125" style="595" customWidth="1"/>
    <col min="13182" max="13182" width="16.28515625" style="595" customWidth="1"/>
    <col min="13183" max="13183" width="15.140625" style="595" customWidth="1"/>
    <col min="13184" max="13184" width="9.140625" style="595"/>
    <col min="13185" max="13185" width="14.140625" style="595" customWidth="1"/>
    <col min="13186" max="13186" width="6.5703125" style="595" customWidth="1"/>
    <col min="13187" max="13187" width="14.5703125" style="595" customWidth="1"/>
    <col min="13188" max="13188" width="6.42578125" style="595" customWidth="1"/>
    <col min="13189" max="13189" width="12.85546875" style="595" customWidth="1"/>
    <col min="13190" max="13190" width="7.85546875" style="595" customWidth="1"/>
    <col min="13191" max="13191" width="10.7109375" style="595" customWidth="1"/>
    <col min="13192" max="13192" width="7.140625" style="595" customWidth="1"/>
    <col min="13193" max="13193" width="11.85546875" style="595" customWidth="1"/>
    <col min="13194" max="13194" width="7.42578125" style="595" customWidth="1"/>
    <col min="13195" max="13195" width="12.140625" style="595" customWidth="1"/>
    <col min="13196" max="13196" width="8.42578125" style="595" customWidth="1"/>
    <col min="13197" max="13197" width="11.85546875" style="595" customWidth="1"/>
    <col min="13198" max="13198" width="6.85546875" style="595" customWidth="1"/>
    <col min="13199" max="13199" width="11.42578125" style="595" customWidth="1"/>
    <col min="13200" max="13200" width="9" style="595" customWidth="1"/>
    <col min="13201" max="13201" width="12.42578125" style="595" customWidth="1"/>
    <col min="13202" max="13202" width="5.85546875" style="595" customWidth="1"/>
    <col min="13203" max="13203" width="13.28515625" style="595" customWidth="1"/>
    <col min="13204" max="13204" width="8.85546875" style="595" customWidth="1"/>
    <col min="13205" max="13205" width="12" style="595" customWidth="1"/>
    <col min="13206" max="13206" width="7.5703125" style="595" customWidth="1"/>
    <col min="13207" max="13207" width="11.28515625" style="595" customWidth="1"/>
    <col min="13208" max="13208" width="6.5703125" style="595" customWidth="1"/>
    <col min="13209" max="13209" width="12.140625" style="595" customWidth="1"/>
    <col min="13210" max="13210" width="7.42578125" style="595" customWidth="1"/>
    <col min="13211" max="13211" width="12.42578125" style="595" customWidth="1"/>
    <col min="13212" max="13212" width="7.5703125" style="595" customWidth="1"/>
    <col min="13213" max="13213" width="11.28515625" style="595" customWidth="1"/>
    <col min="13214" max="13214" width="7.140625" style="595" customWidth="1"/>
    <col min="13215" max="13215" width="10.85546875" style="595" customWidth="1"/>
    <col min="13216" max="13216" width="6.140625" style="595" customWidth="1"/>
    <col min="13217" max="13217" width="10.7109375" style="595" customWidth="1"/>
    <col min="13218" max="13218" width="6.85546875" style="595" customWidth="1"/>
    <col min="13219" max="13219" width="10.7109375" style="595" customWidth="1"/>
    <col min="13220" max="13220" width="7" style="595" customWidth="1"/>
    <col min="13221" max="13221" width="11.85546875" style="595" customWidth="1"/>
    <col min="13222" max="13222" width="7.42578125" style="595" customWidth="1"/>
    <col min="13223" max="13223" width="10.7109375" style="595" customWidth="1"/>
    <col min="13224" max="13224" width="8.42578125" style="595" customWidth="1"/>
    <col min="13225" max="13225" width="11.140625" style="595" customWidth="1"/>
    <col min="13226" max="13226" width="8" style="595" customWidth="1"/>
    <col min="13227" max="13227" width="10.85546875" style="595" customWidth="1"/>
    <col min="13228" max="13228" width="7.5703125" style="595" customWidth="1"/>
    <col min="13229" max="13229" width="14.28515625" style="595" customWidth="1"/>
    <col min="13230" max="13230" width="6.5703125" style="595" customWidth="1"/>
    <col min="13231" max="13231" width="14.140625" style="595" customWidth="1"/>
    <col min="13232" max="13232" width="6.5703125" style="595" customWidth="1"/>
    <col min="13233" max="13233" width="14.28515625" style="595" customWidth="1"/>
    <col min="13234" max="13234" width="7.85546875" style="595" customWidth="1"/>
    <col min="13235" max="13235" width="14.140625" style="595" customWidth="1"/>
    <col min="13236" max="13236" width="6.85546875" style="595" customWidth="1"/>
    <col min="13237" max="13237" width="14.140625" style="595" customWidth="1"/>
    <col min="13238" max="13238" width="6.28515625" style="595" customWidth="1"/>
    <col min="13239" max="13239" width="14.140625" style="595" customWidth="1"/>
    <col min="13240" max="13240" width="5.85546875" style="595" customWidth="1"/>
    <col min="13241" max="13241" width="14.85546875" style="595" customWidth="1"/>
    <col min="13242" max="13242" width="6.85546875" style="595" customWidth="1"/>
    <col min="13243" max="13243" width="14.28515625" style="595" customWidth="1"/>
    <col min="13244" max="13244" width="7.28515625" style="595" customWidth="1"/>
    <col min="13245" max="13245" width="14.28515625" style="595" customWidth="1"/>
    <col min="13246" max="13246" width="6.42578125" style="595" customWidth="1"/>
    <col min="13247" max="13247" width="14" style="595" customWidth="1"/>
    <col min="13248" max="13248" width="7" style="595" customWidth="1"/>
    <col min="13249" max="13249" width="14" style="595" customWidth="1"/>
    <col min="13250" max="13250" width="6.42578125" style="595" customWidth="1"/>
    <col min="13251" max="13251" width="14.140625" style="595" customWidth="1"/>
    <col min="13252" max="13252" width="6.28515625" style="595" customWidth="1"/>
    <col min="13253" max="13253" width="14.140625" style="595" customWidth="1"/>
    <col min="13254" max="13254" width="7" style="595" customWidth="1"/>
    <col min="13255" max="13255" width="14.140625" style="595" customWidth="1"/>
    <col min="13256" max="13256" width="7.42578125" style="595" customWidth="1"/>
    <col min="13257" max="13257" width="14.5703125" style="595" customWidth="1"/>
    <col min="13258" max="13258" width="6.7109375" style="595" customWidth="1"/>
    <col min="13259" max="13259" width="14.140625" style="595" customWidth="1"/>
    <col min="13260" max="13260" width="7" style="595" customWidth="1"/>
    <col min="13261" max="13261" width="14.5703125" style="595" customWidth="1"/>
    <col min="13262" max="13262" width="7.42578125" style="595" customWidth="1"/>
    <col min="13263" max="13263" width="14.5703125" style="595" customWidth="1"/>
    <col min="13264" max="13264" width="6.42578125" style="595" customWidth="1"/>
    <col min="13265" max="13265" width="14.7109375" style="595" customWidth="1"/>
    <col min="13266" max="13266" width="6.85546875" style="595" customWidth="1"/>
    <col min="13267" max="13267" width="14.5703125" style="595" customWidth="1"/>
    <col min="13268" max="13268" width="7.140625" style="595" customWidth="1"/>
    <col min="13269" max="13269" width="14.5703125" style="595" customWidth="1"/>
    <col min="13270" max="13270" width="6.7109375" style="595" customWidth="1"/>
    <col min="13271" max="13271" width="14.140625" style="595" customWidth="1"/>
    <col min="13272" max="13272" width="5.85546875" style="595" customWidth="1"/>
    <col min="13273" max="13273" width="14" style="595" customWidth="1"/>
    <col min="13274" max="13274" width="8.28515625" style="595" customWidth="1"/>
    <col min="13275" max="13275" width="14.7109375" style="595" customWidth="1"/>
    <col min="13276" max="13276" width="7.140625" style="595" customWidth="1"/>
    <col min="13277" max="13277" width="14.7109375" style="595" customWidth="1"/>
    <col min="13278" max="13278" width="7.140625" style="595" customWidth="1"/>
    <col min="13279" max="13279" width="14" style="595" customWidth="1"/>
    <col min="13280" max="13280" width="6.42578125" style="595" customWidth="1"/>
    <col min="13281" max="13281" width="14" style="595" customWidth="1"/>
    <col min="13282" max="13282" width="6.28515625" style="595" customWidth="1"/>
    <col min="13283" max="13283" width="14.42578125" style="595" customWidth="1"/>
    <col min="13284" max="13284" width="6.28515625" style="595" customWidth="1"/>
    <col min="13285" max="13285" width="14.85546875" style="595" customWidth="1"/>
    <col min="13286" max="13286" width="7.28515625" style="595" customWidth="1"/>
    <col min="13287" max="13287" width="14.42578125" style="595" customWidth="1"/>
    <col min="13288" max="13288" width="7.28515625" style="595" customWidth="1"/>
    <col min="13289" max="13289" width="14.7109375" style="595" customWidth="1"/>
    <col min="13290" max="13290" width="6" style="595" customWidth="1"/>
    <col min="13291" max="13291" width="14.5703125" style="595" customWidth="1"/>
    <col min="13292" max="13292" width="6.42578125" style="595" customWidth="1"/>
    <col min="13293" max="13293" width="14.140625" style="595" customWidth="1"/>
    <col min="13294" max="13294" width="7.5703125" style="595" customWidth="1"/>
    <col min="13295" max="13295" width="14.5703125" style="595" customWidth="1"/>
    <col min="13296" max="13296" width="6.7109375" style="595" customWidth="1"/>
    <col min="13297" max="13297" width="15" style="595" customWidth="1"/>
    <col min="13298" max="13298" width="9.140625" style="595"/>
    <col min="13299" max="13299" width="14" style="595" customWidth="1"/>
    <col min="13300" max="13300" width="9.140625" style="595"/>
    <col min="13301" max="13301" width="14" style="595" customWidth="1"/>
    <col min="13302" max="13306" width="9.140625" style="595"/>
    <col min="13307" max="13307" width="41.28515625" style="595" customWidth="1"/>
    <col min="13308" max="13379" width="9.140625" style="595"/>
    <col min="13380" max="13380" width="21.140625" style="595" customWidth="1"/>
    <col min="13381" max="13381" width="7.28515625" style="595" customWidth="1"/>
    <col min="13382" max="13382" width="15" style="595" customWidth="1"/>
    <col min="13383" max="13383" width="23.28515625" style="595" customWidth="1"/>
    <col min="13384" max="13384" width="25.5703125" style="595" customWidth="1"/>
    <col min="13385" max="13385" width="7" style="595" bestFit="1" customWidth="1"/>
    <col min="13386" max="13386" width="6.42578125" style="595" bestFit="1" customWidth="1"/>
    <col min="13387" max="13387" width="7.85546875" style="595" customWidth="1"/>
    <col min="13388" max="13388" width="8.7109375" style="595" customWidth="1"/>
    <col min="13389" max="13389" width="7" style="595" bestFit="1" customWidth="1"/>
    <col min="13390" max="13390" width="6.42578125" style="595" bestFit="1" customWidth="1"/>
    <col min="13391" max="13391" width="6.85546875" style="595" customWidth="1"/>
    <col min="13392" max="13392" width="7.140625" style="595" customWidth="1"/>
    <col min="13393" max="13393" width="7" style="595" bestFit="1" customWidth="1"/>
    <col min="13394" max="13394" width="6.42578125" style="595" bestFit="1" customWidth="1"/>
    <col min="13395" max="13395" width="6" style="595" customWidth="1"/>
    <col min="13396" max="13396" width="9.7109375" style="595" customWidth="1"/>
    <col min="13397" max="13397" width="7" style="595" bestFit="1" customWidth="1"/>
    <col min="13398" max="13398" width="6.42578125" style="595" bestFit="1" customWidth="1"/>
    <col min="13399" max="13399" width="7.7109375" style="595" customWidth="1"/>
    <col min="13400" max="13404" width="7.28515625" style="595" customWidth="1"/>
    <col min="13405" max="13405" width="7" style="595" customWidth="1"/>
    <col min="13406" max="13407" width="5.140625" style="595" bestFit="1" customWidth="1"/>
    <col min="13408" max="13408" width="20.5703125" style="595" customWidth="1"/>
    <col min="13409" max="13409" width="8.85546875" style="595" customWidth="1"/>
    <col min="13410" max="13410" width="18.7109375" style="595" customWidth="1"/>
    <col min="13411" max="13411" width="9.7109375" style="595" customWidth="1"/>
    <col min="13412" max="13412" width="8.85546875" style="595" customWidth="1"/>
    <col min="13413" max="13413" width="10.7109375" style="595" customWidth="1"/>
    <col min="13414" max="13414" width="35.85546875" style="595" customWidth="1"/>
    <col min="13415" max="13415" width="18.7109375" style="595" customWidth="1"/>
    <col min="13416" max="13416" width="9.140625" style="595"/>
    <col min="13417" max="13417" width="9.28515625" style="595" bestFit="1" customWidth="1"/>
    <col min="13418" max="13418" width="9.140625" style="595"/>
    <col min="13419" max="13419" width="9" style="595" customWidth="1"/>
    <col min="13420" max="13420" width="9.5703125" style="595" customWidth="1"/>
    <col min="13421" max="13421" width="11.28515625" style="595" customWidth="1"/>
    <col min="13422" max="13422" width="9.140625" style="595"/>
    <col min="13423" max="13423" width="12.7109375" style="595" customWidth="1"/>
    <col min="13424" max="13424" width="9.140625" style="595"/>
    <col min="13425" max="13425" width="20.5703125" style="595" customWidth="1"/>
    <col min="13426" max="13426" width="15.7109375" style="595" customWidth="1"/>
    <col min="13427" max="13427" width="20.7109375" style="595" customWidth="1"/>
    <col min="13428" max="13428" width="18.28515625" style="595" customWidth="1"/>
    <col min="13429" max="13431" width="9.140625" style="595"/>
    <col min="13432" max="13432" width="13.5703125" style="595" customWidth="1"/>
    <col min="13433" max="13433" width="14.7109375" style="595" customWidth="1"/>
    <col min="13434" max="13434" width="7.28515625" style="595" customWidth="1"/>
    <col min="13435" max="13435" width="17.7109375" style="595" customWidth="1"/>
    <col min="13436" max="13436" width="13.5703125" style="595" customWidth="1"/>
    <col min="13437" max="13437" width="15.5703125" style="595" customWidth="1"/>
    <col min="13438" max="13438" width="16.28515625" style="595" customWidth="1"/>
    <col min="13439" max="13439" width="15.140625" style="595" customWidth="1"/>
    <col min="13440" max="13440" width="9.140625" style="595"/>
    <col min="13441" max="13441" width="14.140625" style="595" customWidth="1"/>
    <col min="13442" max="13442" width="6.5703125" style="595" customWidth="1"/>
    <col min="13443" max="13443" width="14.5703125" style="595" customWidth="1"/>
    <col min="13444" max="13444" width="6.42578125" style="595" customWidth="1"/>
    <col min="13445" max="13445" width="12.85546875" style="595" customWidth="1"/>
    <col min="13446" max="13446" width="7.85546875" style="595" customWidth="1"/>
    <col min="13447" max="13447" width="10.7109375" style="595" customWidth="1"/>
    <col min="13448" max="13448" width="7.140625" style="595" customWidth="1"/>
    <col min="13449" max="13449" width="11.85546875" style="595" customWidth="1"/>
    <col min="13450" max="13450" width="7.42578125" style="595" customWidth="1"/>
    <col min="13451" max="13451" width="12.140625" style="595" customWidth="1"/>
    <col min="13452" max="13452" width="8.42578125" style="595" customWidth="1"/>
    <col min="13453" max="13453" width="11.85546875" style="595" customWidth="1"/>
    <col min="13454" max="13454" width="6.85546875" style="595" customWidth="1"/>
    <col min="13455" max="13455" width="11.42578125" style="595" customWidth="1"/>
    <col min="13456" max="13456" width="9" style="595" customWidth="1"/>
    <col min="13457" max="13457" width="12.42578125" style="595" customWidth="1"/>
    <col min="13458" max="13458" width="5.85546875" style="595" customWidth="1"/>
    <col min="13459" max="13459" width="13.28515625" style="595" customWidth="1"/>
    <col min="13460" max="13460" width="8.85546875" style="595" customWidth="1"/>
    <col min="13461" max="13461" width="12" style="595" customWidth="1"/>
    <col min="13462" max="13462" width="7.5703125" style="595" customWidth="1"/>
    <col min="13463" max="13463" width="11.28515625" style="595" customWidth="1"/>
    <col min="13464" max="13464" width="6.5703125" style="595" customWidth="1"/>
    <col min="13465" max="13465" width="12.140625" style="595" customWidth="1"/>
    <col min="13466" max="13466" width="7.42578125" style="595" customWidth="1"/>
    <col min="13467" max="13467" width="12.42578125" style="595" customWidth="1"/>
    <col min="13468" max="13468" width="7.5703125" style="595" customWidth="1"/>
    <col min="13469" max="13469" width="11.28515625" style="595" customWidth="1"/>
    <col min="13470" max="13470" width="7.140625" style="595" customWidth="1"/>
    <col min="13471" max="13471" width="10.85546875" style="595" customWidth="1"/>
    <col min="13472" max="13472" width="6.140625" style="595" customWidth="1"/>
    <col min="13473" max="13473" width="10.7109375" style="595" customWidth="1"/>
    <col min="13474" max="13474" width="6.85546875" style="595" customWidth="1"/>
    <col min="13475" max="13475" width="10.7109375" style="595" customWidth="1"/>
    <col min="13476" max="13476" width="7" style="595" customWidth="1"/>
    <col min="13477" max="13477" width="11.85546875" style="595" customWidth="1"/>
    <col min="13478" max="13478" width="7.42578125" style="595" customWidth="1"/>
    <col min="13479" max="13479" width="10.7109375" style="595" customWidth="1"/>
    <col min="13480" max="13480" width="8.42578125" style="595" customWidth="1"/>
    <col min="13481" max="13481" width="11.140625" style="595" customWidth="1"/>
    <col min="13482" max="13482" width="8" style="595" customWidth="1"/>
    <col min="13483" max="13483" width="10.85546875" style="595" customWidth="1"/>
    <col min="13484" max="13484" width="7.5703125" style="595" customWidth="1"/>
    <col min="13485" max="13485" width="14.28515625" style="595" customWidth="1"/>
    <col min="13486" max="13486" width="6.5703125" style="595" customWidth="1"/>
    <col min="13487" max="13487" width="14.140625" style="595" customWidth="1"/>
    <col min="13488" max="13488" width="6.5703125" style="595" customWidth="1"/>
    <col min="13489" max="13489" width="14.28515625" style="595" customWidth="1"/>
    <col min="13490" max="13490" width="7.85546875" style="595" customWidth="1"/>
    <col min="13491" max="13491" width="14.140625" style="595" customWidth="1"/>
    <col min="13492" max="13492" width="6.85546875" style="595" customWidth="1"/>
    <col min="13493" max="13493" width="14.140625" style="595" customWidth="1"/>
    <col min="13494" max="13494" width="6.28515625" style="595" customWidth="1"/>
    <col min="13495" max="13495" width="14.140625" style="595" customWidth="1"/>
    <col min="13496" max="13496" width="5.85546875" style="595" customWidth="1"/>
    <col min="13497" max="13497" width="14.85546875" style="595" customWidth="1"/>
    <col min="13498" max="13498" width="6.85546875" style="595" customWidth="1"/>
    <col min="13499" max="13499" width="14.28515625" style="595" customWidth="1"/>
    <col min="13500" max="13500" width="7.28515625" style="595" customWidth="1"/>
    <col min="13501" max="13501" width="14.28515625" style="595" customWidth="1"/>
    <col min="13502" max="13502" width="6.42578125" style="595" customWidth="1"/>
    <col min="13503" max="13503" width="14" style="595" customWidth="1"/>
    <col min="13504" max="13504" width="7" style="595" customWidth="1"/>
    <col min="13505" max="13505" width="14" style="595" customWidth="1"/>
    <col min="13506" max="13506" width="6.42578125" style="595" customWidth="1"/>
    <col min="13507" max="13507" width="14.140625" style="595" customWidth="1"/>
    <col min="13508" max="13508" width="6.28515625" style="595" customWidth="1"/>
    <col min="13509" max="13509" width="14.140625" style="595" customWidth="1"/>
    <col min="13510" max="13510" width="7" style="595" customWidth="1"/>
    <col min="13511" max="13511" width="14.140625" style="595" customWidth="1"/>
    <col min="13512" max="13512" width="7.42578125" style="595" customWidth="1"/>
    <col min="13513" max="13513" width="14.5703125" style="595" customWidth="1"/>
    <col min="13514" max="13514" width="6.7109375" style="595" customWidth="1"/>
    <col min="13515" max="13515" width="14.140625" style="595" customWidth="1"/>
    <col min="13516" max="13516" width="7" style="595" customWidth="1"/>
    <col min="13517" max="13517" width="14.5703125" style="595" customWidth="1"/>
    <col min="13518" max="13518" width="7.42578125" style="595" customWidth="1"/>
    <col min="13519" max="13519" width="14.5703125" style="595" customWidth="1"/>
    <col min="13520" max="13520" width="6.42578125" style="595" customWidth="1"/>
    <col min="13521" max="13521" width="14.7109375" style="595" customWidth="1"/>
    <col min="13522" max="13522" width="6.85546875" style="595" customWidth="1"/>
    <col min="13523" max="13523" width="14.5703125" style="595" customWidth="1"/>
    <col min="13524" max="13524" width="7.140625" style="595" customWidth="1"/>
    <col min="13525" max="13525" width="14.5703125" style="595" customWidth="1"/>
    <col min="13526" max="13526" width="6.7109375" style="595" customWidth="1"/>
    <col min="13527" max="13527" width="14.140625" style="595" customWidth="1"/>
    <col min="13528" max="13528" width="5.85546875" style="595" customWidth="1"/>
    <col min="13529" max="13529" width="14" style="595" customWidth="1"/>
    <col min="13530" max="13530" width="8.28515625" style="595" customWidth="1"/>
    <col min="13531" max="13531" width="14.7109375" style="595" customWidth="1"/>
    <col min="13532" max="13532" width="7.140625" style="595" customWidth="1"/>
    <col min="13533" max="13533" width="14.7109375" style="595" customWidth="1"/>
    <col min="13534" max="13534" width="7.140625" style="595" customWidth="1"/>
    <col min="13535" max="13535" width="14" style="595" customWidth="1"/>
    <col min="13536" max="13536" width="6.42578125" style="595" customWidth="1"/>
    <col min="13537" max="13537" width="14" style="595" customWidth="1"/>
    <col min="13538" max="13538" width="6.28515625" style="595" customWidth="1"/>
    <col min="13539" max="13539" width="14.42578125" style="595" customWidth="1"/>
    <col min="13540" max="13540" width="6.28515625" style="595" customWidth="1"/>
    <col min="13541" max="13541" width="14.85546875" style="595" customWidth="1"/>
    <col min="13542" max="13542" width="7.28515625" style="595" customWidth="1"/>
    <col min="13543" max="13543" width="14.42578125" style="595" customWidth="1"/>
    <col min="13544" max="13544" width="7.28515625" style="595" customWidth="1"/>
    <col min="13545" max="13545" width="14.7109375" style="595" customWidth="1"/>
    <col min="13546" max="13546" width="6" style="595" customWidth="1"/>
    <col min="13547" max="13547" width="14.5703125" style="595" customWidth="1"/>
    <col min="13548" max="13548" width="6.42578125" style="595" customWidth="1"/>
    <col min="13549" max="13549" width="14.140625" style="595" customWidth="1"/>
    <col min="13550" max="13550" width="7.5703125" style="595" customWidth="1"/>
    <col min="13551" max="13551" width="14.5703125" style="595" customWidth="1"/>
    <col min="13552" max="13552" width="6.7109375" style="595" customWidth="1"/>
    <col min="13553" max="13553" width="15" style="595" customWidth="1"/>
    <col min="13554" max="13554" width="9.140625" style="595"/>
    <col min="13555" max="13555" width="14" style="595" customWidth="1"/>
    <col min="13556" max="13556" width="9.140625" style="595"/>
    <col min="13557" max="13557" width="14" style="595" customWidth="1"/>
    <col min="13558" max="13562" width="9.140625" style="595"/>
    <col min="13563" max="13563" width="41.28515625" style="595" customWidth="1"/>
    <col min="13564" max="13635" width="9.140625" style="595"/>
    <col min="13636" max="13636" width="21.140625" style="595" customWidth="1"/>
    <col min="13637" max="13637" width="7.28515625" style="595" customWidth="1"/>
    <col min="13638" max="13638" width="15" style="595" customWidth="1"/>
    <col min="13639" max="13639" width="23.28515625" style="595" customWidth="1"/>
    <col min="13640" max="13640" width="25.5703125" style="595" customWidth="1"/>
    <col min="13641" max="13641" width="7" style="595" bestFit="1" customWidth="1"/>
    <col min="13642" max="13642" width="6.42578125" style="595" bestFit="1" customWidth="1"/>
    <col min="13643" max="13643" width="7.85546875" style="595" customWidth="1"/>
    <col min="13644" max="13644" width="8.7109375" style="595" customWidth="1"/>
    <col min="13645" max="13645" width="7" style="595" bestFit="1" customWidth="1"/>
    <col min="13646" max="13646" width="6.42578125" style="595" bestFit="1" customWidth="1"/>
    <col min="13647" max="13647" width="6.85546875" style="595" customWidth="1"/>
    <col min="13648" max="13648" width="7.140625" style="595" customWidth="1"/>
    <col min="13649" max="13649" width="7" style="595" bestFit="1" customWidth="1"/>
    <col min="13650" max="13650" width="6.42578125" style="595" bestFit="1" customWidth="1"/>
    <col min="13651" max="13651" width="6" style="595" customWidth="1"/>
    <col min="13652" max="13652" width="9.7109375" style="595" customWidth="1"/>
    <col min="13653" max="13653" width="7" style="595" bestFit="1" customWidth="1"/>
    <col min="13654" max="13654" width="6.42578125" style="595" bestFit="1" customWidth="1"/>
    <col min="13655" max="13655" width="7.7109375" style="595" customWidth="1"/>
    <col min="13656" max="13660" width="7.28515625" style="595" customWidth="1"/>
    <col min="13661" max="13661" width="7" style="595" customWidth="1"/>
    <col min="13662" max="13663" width="5.140625" style="595" bestFit="1" customWidth="1"/>
    <col min="13664" max="13664" width="20.5703125" style="595" customWidth="1"/>
    <col min="13665" max="13665" width="8.85546875" style="595" customWidth="1"/>
    <col min="13666" max="13666" width="18.7109375" style="595" customWidth="1"/>
    <col min="13667" max="13667" width="9.7109375" style="595" customWidth="1"/>
    <col min="13668" max="13668" width="8.85546875" style="595" customWidth="1"/>
    <col min="13669" max="13669" width="10.7109375" style="595" customWidth="1"/>
    <col min="13670" max="13670" width="35.85546875" style="595" customWidth="1"/>
    <col min="13671" max="13671" width="18.7109375" style="595" customWidth="1"/>
    <col min="13672" max="13672" width="9.140625" style="595"/>
    <col min="13673" max="13673" width="9.28515625" style="595" bestFit="1" customWidth="1"/>
    <col min="13674" max="13674" width="9.140625" style="595"/>
    <col min="13675" max="13675" width="9" style="595" customWidth="1"/>
    <col min="13676" max="13676" width="9.5703125" style="595" customWidth="1"/>
    <col min="13677" max="13677" width="11.28515625" style="595" customWidth="1"/>
    <col min="13678" max="13678" width="9.140625" style="595"/>
    <col min="13679" max="13679" width="12.7109375" style="595" customWidth="1"/>
    <col min="13680" max="13680" width="9.140625" style="595"/>
    <col min="13681" max="13681" width="20.5703125" style="595" customWidth="1"/>
    <col min="13682" max="13682" width="15.7109375" style="595" customWidth="1"/>
    <col min="13683" max="13683" width="20.7109375" style="595" customWidth="1"/>
    <col min="13684" max="13684" width="18.28515625" style="595" customWidth="1"/>
    <col min="13685" max="13687" width="9.140625" style="595"/>
    <col min="13688" max="13688" width="13.5703125" style="595" customWidth="1"/>
    <col min="13689" max="13689" width="14.7109375" style="595" customWidth="1"/>
    <col min="13690" max="13690" width="7.28515625" style="595" customWidth="1"/>
    <col min="13691" max="13691" width="17.7109375" style="595" customWidth="1"/>
    <col min="13692" max="13692" width="13.5703125" style="595" customWidth="1"/>
    <col min="13693" max="13693" width="15.5703125" style="595" customWidth="1"/>
    <col min="13694" max="13694" width="16.28515625" style="595" customWidth="1"/>
    <col min="13695" max="13695" width="15.140625" style="595" customWidth="1"/>
    <col min="13696" max="13696" width="9.140625" style="595"/>
    <col min="13697" max="13697" width="14.140625" style="595" customWidth="1"/>
    <col min="13698" max="13698" width="6.5703125" style="595" customWidth="1"/>
    <col min="13699" max="13699" width="14.5703125" style="595" customWidth="1"/>
    <col min="13700" max="13700" width="6.42578125" style="595" customWidth="1"/>
    <col min="13701" max="13701" width="12.85546875" style="595" customWidth="1"/>
    <col min="13702" max="13702" width="7.85546875" style="595" customWidth="1"/>
    <col min="13703" max="13703" width="10.7109375" style="595" customWidth="1"/>
    <col min="13704" max="13704" width="7.140625" style="595" customWidth="1"/>
    <col min="13705" max="13705" width="11.85546875" style="595" customWidth="1"/>
    <col min="13706" max="13706" width="7.42578125" style="595" customWidth="1"/>
    <col min="13707" max="13707" width="12.140625" style="595" customWidth="1"/>
    <col min="13708" max="13708" width="8.42578125" style="595" customWidth="1"/>
    <col min="13709" max="13709" width="11.85546875" style="595" customWidth="1"/>
    <col min="13710" max="13710" width="6.85546875" style="595" customWidth="1"/>
    <col min="13711" max="13711" width="11.42578125" style="595" customWidth="1"/>
    <col min="13712" max="13712" width="9" style="595" customWidth="1"/>
    <col min="13713" max="13713" width="12.42578125" style="595" customWidth="1"/>
    <col min="13714" max="13714" width="5.85546875" style="595" customWidth="1"/>
    <col min="13715" max="13715" width="13.28515625" style="595" customWidth="1"/>
    <col min="13716" max="13716" width="8.85546875" style="595" customWidth="1"/>
    <col min="13717" max="13717" width="12" style="595" customWidth="1"/>
    <col min="13718" max="13718" width="7.5703125" style="595" customWidth="1"/>
    <col min="13719" max="13719" width="11.28515625" style="595" customWidth="1"/>
    <col min="13720" max="13720" width="6.5703125" style="595" customWidth="1"/>
    <col min="13721" max="13721" width="12.140625" style="595" customWidth="1"/>
    <col min="13722" max="13722" width="7.42578125" style="595" customWidth="1"/>
    <col min="13723" max="13723" width="12.42578125" style="595" customWidth="1"/>
    <col min="13724" max="13724" width="7.5703125" style="595" customWidth="1"/>
    <col min="13725" max="13725" width="11.28515625" style="595" customWidth="1"/>
    <col min="13726" max="13726" width="7.140625" style="595" customWidth="1"/>
    <col min="13727" max="13727" width="10.85546875" style="595" customWidth="1"/>
    <col min="13728" max="13728" width="6.140625" style="595" customWidth="1"/>
    <col min="13729" max="13729" width="10.7109375" style="595" customWidth="1"/>
    <col min="13730" max="13730" width="6.85546875" style="595" customWidth="1"/>
    <col min="13731" max="13731" width="10.7109375" style="595" customWidth="1"/>
    <col min="13732" max="13732" width="7" style="595" customWidth="1"/>
    <col min="13733" max="13733" width="11.85546875" style="595" customWidth="1"/>
    <col min="13734" max="13734" width="7.42578125" style="595" customWidth="1"/>
    <col min="13735" max="13735" width="10.7109375" style="595" customWidth="1"/>
    <col min="13736" max="13736" width="8.42578125" style="595" customWidth="1"/>
    <col min="13737" max="13737" width="11.140625" style="595" customWidth="1"/>
    <col min="13738" max="13738" width="8" style="595" customWidth="1"/>
    <col min="13739" max="13739" width="10.85546875" style="595" customWidth="1"/>
    <col min="13740" max="13740" width="7.5703125" style="595" customWidth="1"/>
    <col min="13741" max="13741" width="14.28515625" style="595" customWidth="1"/>
    <col min="13742" max="13742" width="6.5703125" style="595" customWidth="1"/>
    <col min="13743" max="13743" width="14.140625" style="595" customWidth="1"/>
    <col min="13744" max="13744" width="6.5703125" style="595" customWidth="1"/>
    <col min="13745" max="13745" width="14.28515625" style="595" customWidth="1"/>
    <col min="13746" max="13746" width="7.85546875" style="595" customWidth="1"/>
    <col min="13747" max="13747" width="14.140625" style="595" customWidth="1"/>
    <col min="13748" max="13748" width="6.85546875" style="595" customWidth="1"/>
    <col min="13749" max="13749" width="14.140625" style="595" customWidth="1"/>
    <col min="13750" max="13750" width="6.28515625" style="595" customWidth="1"/>
    <col min="13751" max="13751" width="14.140625" style="595" customWidth="1"/>
    <col min="13752" max="13752" width="5.85546875" style="595" customWidth="1"/>
    <col min="13753" max="13753" width="14.85546875" style="595" customWidth="1"/>
    <col min="13754" max="13754" width="6.85546875" style="595" customWidth="1"/>
    <col min="13755" max="13755" width="14.28515625" style="595" customWidth="1"/>
    <col min="13756" max="13756" width="7.28515625" style="595" customWidth="1"/>
    <col min="13757" max="13757" width="14.28515625" style="595" customWidth="1"/>
    <col min="13758" max="13758" width="6.42578125" style="595" customWidth="1"/>
    <col min="13759" max="13759" width="14" style="595" customWidth="1"/>
    <col min="13760" max="13760" width="7" style="595" customWidth="1"/>
    <col min="13761" max="13761" width="14" style="595" customWidth="1"/>
    <col min="13762" max="13762" width="6.42578125" style="595" customWidth="1"/>
    <col min="13763" max="13763" width="14.140625" style="595" customWidth="1"/>
    <col min="13764" max="13764" width="6.28515625" style="595" customWidth="1"/>
    <col min="13765" max="13765" width="14.140625" style="595" customWidth="1"/>
    <col min="13766" max="13766" width="7" style="595" customWidth="1"/>
    <col min="13767" max="13767" width="14.140625" style="595" customWidth="1"/>
    <col min="13768" max="13768" width="7.42578125" style="595" customWidth="1"/>
    <col min="13769" max="13769" width="14.5703125" style="595" customWidth="1"/>
    <col min="13770" max="13770" width="6.7109375" style="595" customWidth="1"/>
    <col min="13771" max="13771" width="14.140625" style="595" customWidth="1"/>
    <col min="13772" max="13772" width="7" style="595" customWidth="1"/>
    <col min="13773" max="13773" width="14.5703125" style="595" customWidth="1"/>
    <col min="13774" max="13774" width="7.42578125" style="595" customWidth="1"/>
    <col min="13775" max="13775" width="14.5703125" style="595" customWidth="1"/>
    <col min="13776" max="13776" width="6.42578125" style="595" customWidth="1"/>
    <col min="13777" max="13777" width="14.7109375" style="595" customWidth="1"/>
    <col min="13778" max="13778" width="6.85546875" style="595" customWidth="1"/>
    <col min="13779" max="13779" width="14.5703125" style="595" customWidth="1"/>
    <col min="13780" max="13780" width="7.140625" style="595" customWidth="1"/>
    <col min="13781" max="13781" width="14.5703125" style="595" customWidth="1"/>
    <col min="13782" max="13782" width="6.7109375" style="595" customWidth="1"/>
    <col min="13783" max="13783" width="14.140625" style="595" customWidth="1"/>
    <col min="13784" max="13784" width="5.85546875" style="595" customWidth="1"/>
    <col min="13785" max="13785" width="14" style="595" customWidth="1"/>
    <col min="13786" max="13786" width="8.28515625" style="595" customWidth="1"/>
    <col min="13787" max="13787" width="14.7109375" style="595" customWidth="1"/>
    <col min="13788" max="13788" width="7.140625" style="595" customWidth="1"/>
    <col min="13789" max="13789" width="14.7109375" style="595" customWidth="1"/>
    <col min="13790" max="13790" width="7.140625" style="595" customWidth="1"/>
    <col min="13791" max="13791" width="14" style="595" customWidth="1"/>
    <col min="13792" max="13792" width="6.42578125" style="595" customWidth="1"/>
    <col min="13793" max="13793" width="14" style="595" customWidth="1"/>
    <col min="13794" max="13794" width="6.28515625" style="595" customWidth="1"/>
    <col min="13795" max="13795" width="14.42578125" style="595" customWidth="1"/>
    <col min="13796" max="13796" width="6.28515625" style="595" customWidth="1"/>
    <col min="13797" max="13797" width="14.85546875" style="595" customWidth="1"/>
    <col min="13798" max="13798" width="7.28515625" style="595" customWidth="1"/>
    <col min="13799" max="13799" width="14.42578125" style="595" customWidth="1"/>
    <col min="13800" max="13800" width="7.28515625" style="595" customWidth="1"/>
    <col min="13801" max="13801" width="14.7109375" style="595" customWidth="1"/>
    <col min="13802" max="13802" width="6" style="595" customWidth="1"/>
    <col min="13803" max="13803" width="14.5703125" style="595" customWidth="1"/>
    <col min="13804" max="13804" width="6.42578125" style="595" customWidth="1"/>
    <col min="13805" max="13805" width="14.140625" style="595" customWidth="1"/>
    <col min="13806" max="13806" width="7.5703125" style="595" customWidth="1"/>
    <col min="13807" max="13807" width="14.5703125" style="595" customWidth="1"/>
    <col min="13808" max="13808" width="6.7109375" style="595" customWidth="1"/>
    <col min="13809" max="13809" width="15" style="595" customWidth="1"/>
    <col min="13810" max="13810" width="9.140625" style="595"/>
    <col min="13811" max="13811" width="14" style="595" customWidth="1"/>
    <col min="13812" max="13812" width="9.140625" style="595"/>
    <col min="13813" max="13813" width="14" style="595" customWidth="1"/>
    <col min="13814" max="13818" width="9.140625" style="595"/>
    <col min="13819" max="13819" width="41.28515625" style="595" customWidth="1"/>
    <col min="13820" max="13891" width="9.140625" style="595"/>
    <col min="13892" max="13892" width="21.140625" style="595" customWidth="1"/>
    <col min="13893" max="13893" width="7.28515625" style="595" customWidth="1"/>
    <col min="13894" max="13894" width="15" style="595" customWidth="1"/>
    <col min="13895" max="13895" width="23.28515625" style="595" customWidth="1"/>
    <col min="13896" max="13896" width="25.5703125" style="595" customWidth="1"/>
    <col min="13897" max="13897" width="7" style="595" bestFit="1" customWidth="1"/>
    <col min="13898" max="13898" width="6.42578125" style="595" bestFit="1" customWidth="1"/>
    <col min="13899" max="13899" width="7.85546875" style="595" customWidth="1"/>
    <col min="13900" max="13900" width="8.7109375" style="595" customWidth="1"/>
    <col min="13901" max="13901" width="7" style="595" bestFit="1" customWidth="1"/>
    <col min="13902" max="13902" width="6.42578125" style="595" bestFit="1" customWidth="1"/>
    <col min="13903" max="13903" width="6.85546875" style="595" customWidth="1"/>
    <col min="13904" max="13904" width="7.140625" style="595" customWidth="1"/>
    <col min="13905" max="13905" width="7" style="595" bestFit="1" customWidth="1"/>
    <col min="13906" max="13906" width="6.42578125" style="595" bestFit="1" customWidth="1"/>
    <col min="13907" max="13907" width="6" style="595" customWidth="1"/>
    <col min="13908" max="13908" width="9.7109375" style="595" customWidth="1"/>
    <col min="13909" max="13909" width="7" style="595" bestFit="1" customWidth="1"/>
    <col min="13910" max="13910" width="6.42578125" style="595" bestFit="1" customWidth="1"/>
    <col min="13911" max="13911" width="7.7109375" style="595" customWidth="1"/>
    <col min="13912" max="13916" width="7.28515625" style="595" customWidth="1"/>
    <col min="13917" max="13917" width="7" style="595" customWidth="1"/>
    <col min="13918" max="13919" width="5.140625" style="595" bestFit="1" customWidth="1"/>
    <col min="13920" max="13920" width="20.5703125" style="595" customWidth="1"/>
    <col min="13921" max="13921" width="8.85546875" style="595" customWidth="1"/>
    <col min="13922" max="13922" width="18.7109375" style="595" customWidth="1"/>
    <col min="13923" max="13923" width="9.7109375" style="595" customWidth="1"/>
    <col min="13924" max="13924" width="8.85546875" style="595" customWidth="1"/>
    <col min="13925" max="13925" width="10.7109375" style="595" customWidth="1"/>
    <col min="13926" max="13926" width="35.85546875" style="595" customWidth="1"/>
    <col min="13927" max="13927" width="18.7109375" style="595" customWidth="1"/>
    <col min="13928" max="13928" width="9.140625" style="595"/>
    <col min="13929" max="13929" width="9.28515625" style="595" bestFit="1" customWidth="1"/>
    <col min="13930" max="13930" width="9.140625" style="595"/>
    <col min="13931" max="13931" width="9" style="595" customWidth="1"/>
    <col min="13932" max="13932" width="9.5703125" style="595" customWidth="1"/>
    <col min="13933" max="13933" width="11.28515625" style="595" customWidth="1"/>
    <col min="13934" max="13934" width="9.140625" style="595"/>
    <col min="13935" max="13935" width="12.7109375" style="595" customWidth="1"/>
    <col min="13936" max="13936" width="9.140625" style="595"/>
    <col min="13937" max="13937" width="20.5703125" style="595" customWidth="1"/>
    <col min="13938" max="13938" width="15.7109375" style="595" customWidth="1"/>
    <col min="13939" max="13939" width="20.7109375" style="595" customWidth="1"/>
    <col min="13940" max="13940" width="18.28515625" style="595" customWidth="1"/>
    <col min="13941" max="13943" width="9.140625" style="595"/>
    <col min="13944" max="13944" width="13.5703125" style="595" customWidth="1"/>
    <col min="13945" max="13945" width="14.7109375" style="595" customWidth="1"/>
    <col min="13946" max="13946" width="7.28515625" style="595" customWidth="1"/>
    <col min="13947" max="13947" width="17.7109375" style="595" customWidth="1"/>
    <col min="13948" max="13948" width="13.5703125" style="595" customWidth="1"/>
    <col min="13949" max="13949" width="15.5703125" style="595" customWidth="1"/>
    <col min="13950" max="13950" width="16.28515625" style="595" customWidth="1"/>
    <col min="13951" max="13951" width="15.140625" style="595" customWidth="1"/>
    <col min="13952" max="13952" width="9.140625" style="595"/>
    <col min="13953" max="13953" width="14.140625" style="595" customWidth="1"/>
    <col min="13954" max="13954" width="6.5703125" style="595" customWidth="1"/>
    <col min="13955" max="13955" width="14.5703125" style="595" customWidth="1"/>
    <col min="13956" max="13956" width="6.42578125" style="595" customWidth="1"/>
    <col min="13957" max="13957" width="12.85546875" style="595" customWidth="1"/>
    <col min="13958" max="13958" width="7.85546875" style="595" customWidth="1"/>
    <col min="13959" max="13959" width="10.7109375" style="595" customWidth="1"/>
    <col min="13960" max="13960" width="7.140625" style="595" customWidth="1"/>
    <col min="13961" max="13961" width="11.85546875" style="595" customWidth="1"/>
    <col min="13962" max="13962" width="7.42578125" style="595" customWidth="1"/>
    <col min="13963" max="13963" width="12.140625" style="595" customWidth="1"/>
    <col min="13964" max="13964" width="8.42578125" style="595" customWidth="1"/>
    <col min="13965" max="13965" width="11.85546875" style="595" customWidth="1"/>
    <col min="13966" max="13966" width="6.85546875" style="595" customWidth="1"/>
    <col min="13967" max="13967" width="11.42578125" style="595" customWidth="1"/>
    <col min="13968" max="13968" width="9" style="595" customWidth="1"/>
    <col min="13969" max="13969" width="12.42578125" style="595" customWidth="1"/>
    <col min="13970" max="13970" width="5.85546875" style="595" customWidth="1"/>
    <col min="13971" max="13971" width="13.28515625" style="595" customWidth="1"/>
    <col min="13972" max="13972" width="8.85546875" style="595" customWidth="1"/>
    <col min="13973" max="13973" width="12" style="595" customWidth="1"/>
    <col min="13974" max="13974" width="7.5703125" style="595" customWidth="1"/>
    <col min="13975" max="13975" width="11.28515625" style="595" customWidth="1"/>
    <col min="13976" max="13976" width="6.5703125" style="595" customWidth="1"/>
    <col min="13977" max="13977" width="12.140625" style="595" customWidth="1"/>
    <col min="13978" max="13978" width="7.42578125" style="595" customWidth="1"/>
    <col min="13979" max="13979" width="12.42578125" style="595" customWidth="1"/>
    <col min="13980" max="13980" width="7.5703125" style="595" customWidth="1"/>
    <col min="13981" max="13981" width="11.28515625" style="595" customWidth="1"/>
    <col min="13982" max="13982" width="7.140625" style="595" customWidth="1"/>
    <col min="13983" max="13983" width="10.85546875" style="595" customWidth="1"/>
    <col min="13984" max="13984" width="6.140625" style="595" customWidth="1"/>
    <col min="13985" max="13985" width="10.7109375" style="595" customWidth="1"/>
    <col min="13986" max="13986" width="6.85546875" style="595" customWidth="1"/>
    <col min="13987" max="13987" width="10.7109375" style="595" customWidth="1"/>
    <col min="13988" max="13988" width="7" style="595" customWidth="1"/>
    <col min="13989" max="13989" width="11.85546875" style="595" customWidth="1"/>
    <col min="13990" max="13990" width="7.42578125" style="595" customWidth="1"/>
    <col min="13991" max="13991" width="10.7109375" style="595" customWidth="1"/>
    <col min="13992" max="13992" width="8.42578125" style="595" customWidth="1"/>
    <col min="13993" max="13993" width="11.140625" style="595" customWidth="1"/>
    <col min="13994" max="13994" width="8" style="595" customWidth="1"/>
    <col min="13995" max="13995" width="10.85546875" style="595" customWidth="1"/>
    <col min="13996" max="13996" width="7.5703125" style="595" customWidth="1"/>
    <col min="13997" max="13997" width="14.28515625" style="595" customWidth="1"/>
    <col min="13998" max="13998" width="6.5703125" style="595" customWidth="1"/>
    <col min="13999" max="13999" width="14.140625" style="595" customWidth="1"/>
    <col min="14000" max="14000" width="6.5703125" style="595" customWidth="1"/>
    <col min="14001" max="14001" width="14.28515625" style="595" customWidth="1"/>
    <col min="14002" max="14002" width="7.85546875" style="595" customWidth="1"/>
    <col min="14003" max="14003" width="14.140625" style="595" customWidth="1"/>
    <col min="14004" max="14004" width="6.85546875" style="595" customWidth="1"/>
    <col min="14005" max="14005" width="14.140625" style="595" customWidth="1"/>
    <col min="14006" max="14006" width="6.28515625" style="595" customWidth="1"/>
    <col min="14007" max="14007" width="14.140625" style="595" customWidth="1"/>
    <col min="14008" max="14008" width="5.85546875" style="595" customWidth="1"/>
    <col min="14009" max="14009" width="14.85546875" style="595" customWidth="1"/>
    <col min="14010" max="14010" width="6.85546875" style="595" customWidth="1"/>
    <col min="14011" max="14011" width="14.28515625" style="595" customWidth="1"/>
    <col min="14012" max="14012" width="7.28515625" style="595" customWidth="1"/>
    <col min="14013" max="14013" width="14.28515625" style="595" customWidth="1"/>
    <col min="14014" max="14014" width="6.42578125" style="595" customWidth="1"/>
    <col min="14015" max="14015" width="14" style="595" customWidth="1"/>
    <col min="14016" max="14016" width="7" style="595" customWidth="1"/>
    <col min="14017" max="14017" width="14" style="595" customWidth="1"/>
    <col min="14018" max="14018" width="6.42578125" style="595" customWidth="1"/>
    <col min="14019" max="14019" width="14.140625" style="595" customWidth="1"/>
    <col min="14020" max="14020" width="6.28515625" style="595" customWidth="1"/>
    <col min="14021" max="14021" width="14.140625" style="595" customWidth="1"/>
    <col min="14022" max="14022" width="7" style="595" customWidth="1"/>
    <col min="14023" max="14023" width="14.140625" style="595" customWidth="1"/>
    <col min="14024" max="14024" width="7.42578125" style="595" customWidth="1"/>
    <col min="14025" max="14025" width="14.5703125" style="595" customWidth="1"/>
    <col min="14026" max="14026" width="6.7109375" style="595" customWidth="1"/>
    <col min="14027" max="14027" width="14.140625" style="595" customWidth="1"/>
    <col min="14028" max="14028" width="7" style="595" customWidth="1"/>
    <col min="14029" max="14029" width="14.5703125" style="595" customWidth="1"/>
    <col min="14030" max="14030" width="7.42578125" style="595" customWidth="1"/>
    <col min="14031" max="14031" width="14.5703125" style="595" customWidth="1"/>
    <col min="14032" max="14032" width="6.42578125" style="595" customWidth="1"/>
    <col min="14033" max="14033" width="14.7109375" style="595" customWidth="1"/>
    <col min="14034" max="14034" width="6.85546875" style="595" customWidth="1"/>
    <col min="14035" max="14035" width="14.5703125" style="595" customWidth="1"/>
    <col min="14036" max="14036" width="7.140625" style="595" customWidth="1"/>
    <col min="14037" max="14037" width="14.5703125" style="595" customWidth="1"/>
    <col min="14038" max="14038" width="6.7109375" style="595" customWidth="1"/>
    <col min="14039" max="14039" width="14.140625" style="595" customWidth="1"/>
    <col min="14040" max="14040" width="5.85546875" style="595" customWidth="1"/>
    <col min="14041" max="14041" width="14" style="595" customWidth="1"/>
    <col min="14042" max="14042" width="8.28515625" style="595" customWidth="1"/>
    <col min="14043" max="14043" width="14.7109375" style="595" customWidth="1"/>
    <col min="14044" max="14044" width="7.140625" style="595" customWidth="1"/>
    <col min="14045" max="14045" width="14.7109375" style="595" customWidth="1"/>
    <col min="14046" max="14046" width="7.140625" style="595" customWidth="1"/>
    <col min="14047" max="14047" width="14" style="595" customWidth="1"/>
    <col min="14048" max="14048" width="6.42578125" style="595" customWidth="1"/>
    <col min="14049" max="14049" width="14" style="595" customWidth="1"/>
    <col min="14050" max="14050" width="6.28515625" style="595" customWidth="1"/>
    <col min="14051" max="14051" width="14.42578125" style="595" customWidth="1"/>
    <col min="14052" max="14052" width="6.28515625" style="595" customWidth="1"/>
    <col min="14053" max="14053" width="14.85546875" style="595" customWidth="1"/>
    <col min="14054" max="14054" width="7.28515625" style="595" customWidth="1"/>
    <col min="14055" max="14055" width="14.42578125" style="595" customWidth="1"/>
    <col min="14056" max="14056" width="7.28515625" style="595" customWidth="1"/>
    <col min="14057" max="14057" width="14.7109375" style="595" customWidth="1"/>
    <col min="14058" max="14058" width="6" style="595" customWidth="1"/>
    <col min="14059" max="14059" width="14.5703125" style="595" customWidth="1"/>
    <col min="14060" max="14060" width="6.42578125" style="595" customWidth="1"/>
    <col min="14061" max="14061" width="14.140625" style="595" customWidth="1"/>
    <col min="14062" max="14062" width="7.5703125" style="595" customWidth="1"/>
    <col min="14063" max="14063" width="14.5703125" style="595" customWidth="1"/>
    <col min="14064" max="14064" width="6.7109375" style="595" customWidth="1"/>
    <col min="14065" max="14065" width="15" style="595" customWidth="1"/>
    <col min="14066" max="14066" width="9.140625" style="595"/>
    <col min="14067" max="14067" width="14" style="595" customWidth="1"/>
    <col min="14068" max="14068" width="9.140625" style="595"/>
    <col min="14069" max="14069" width="14" style="595" customWidth="1"/>
    <col min="14070" max="14074" width="9.140625" style="595"/>
    <col min="14075" max="14075" width="41.28515625" style="595" customWidth="1"/>
    <col min="14076" max="14147" width="9.140625" style="595"/>
    <col min="14148" max="14148" width="21.140625" style="595" customWidth="1"/>
    <col min="14149" max="14149" width="7.28515625" style="595" customWidth="1"/>
    <col min="14150" max="14150" width="15" style="595" customWidth="1"/>
    <col min="14151" max="14151" width="23.28515625" style="595" customWidth="1"/>
    <col min="14152" max="14152" width="25.5703125" style="595" customWidth="1"/>
    <col min="14153" max="14153" width="7" style="595" bestFit="1" customWidth="1"/>
    <col min="14154" max="14154" width="6.42578125" style="595" bestFit="1" customWidth="1"/>
    <col min="14155" max="14155" width="7.85546875" style="595" customWidth="1"/>
    <col min="14156" max="14156" width="8.7109375" style="595" customWidth="1"/>
    <col min="14157" max="14157" width="7" style="595" bestFit="1" customWidth="1"/>
    <col min="14158" max="14158" width="6.42578125" style="595" bestFit="1" customWidth="1"/>
    <col min="14159" max="14159" width="6.85546875" style="595" customWidth="1"/>
    <col min="14160" max="14160" width="7.140625" style="595" customWidth="1"/>
    <col min="14161" max="14161" width="7" style="595" bestFit="1" customWidth="1"/>
    <col min="14162" max="14162" width="6.42578125" style="595" bestFit="1" customWidth="1"/>
    <col min="14163" max="14163" width="6" style="595" customWidth="1"/>
    <col min="14164" max="14164" width="9.7109375" style="595" customWidth="1"/>
    <col min="14165" max="14165" width="7" style="595" bestFit="1" customWidth="1"/>
    <col min="14166" max="14166" width="6.42578125" style="595" bestFit="1" customWidth="1"/>
    <col min="14167" max="14167" width="7.7109375" style="595" customWidth="1"/>
    <col min="14168" max="14172" width="7.28515625" style="595" customWidth="1"/>
    <col min="14173" max="14173" width="7" style="595" customWidth="1"/>
    <col min="14174" max="14175" width="5.140625" style="595" bestFit="1" customWidth="1"/>
    <col min="14176" max="14176" width="20.5703125" style="595" customWidth="1"/>
    <col min="14177" max="14177" width="8.85546875" style="595" customWidth="1"/>
    <col min="14178" max="14178" width="18.7109375" style="595" customWidth="1"/>
    <col min="14179" max="14179" width="9.7109375" style="595" customWidth="1"/>
    <col min="14180" max="14180" width="8.85546875" style="595" customWidth="1"/>
    <col min="14181" max="14181" width="10.7109375" style="595" customWidth="1"/>
    <col min="14182" max="14182" width="35.85546875" style="595" customWidth="1"/>
    <col min="14183" max="14183" width="18.7109375" style="595" customWidth="1"/>
    <col min="14184" max="14184" width="9.140625" style="595"/>
    <col min="14185" max="14185" width="9.28515625" style="595" bestFit="1" customWidth="1"/>
    <col min="14186" max="14186" width="9.140625" style="595"/>
    <col min="14187" max="14187" width="9" style="595" customWidth="1"/>
    <col min="14188" max="14188" width="9.5703125" style="595" customWidth="1"/>
    <col min="14189" max="14189" width="11.28515625" style="595" customWidth="1"/>
    <col min="14190" max="14190" width="9.140625" style="595"/>
    <col min="14191" max="14191" width="12.7109375" style="595" customWidth="1"/>
    <col min="14192" max="14192" width="9.140625" style="595"/>
    <col min="14193" max="14193" width="20.5703125" style="595" customWidth="1"/>
    <col min="14194" max="14194" width="15.7109375" style="595" customWidth="1"/>
    <col min="14195" max="14195" width="20.7109375" style="595" customWidth="1"/>
    <col min="14196" max="14196" width="18.28515625" style="595" customWidth="1"/>
    <col min="14197" max="14199" width="9.140625" style="595"/>
    <col min="14200" max="14200" width="13.5703125" style="595" customWidth="1"/>
    <col min="14201" max="14201" width="14.7109375" style="595" customWidth="1"/>
    <col min="14202" max="14202" width="7.28515625" style="595" customWidth="1"/>
    <col min="14203" max="14203" width="17.7109375" style="595" customWidth="1"/>
    <col min="14204" max="14204" width="13.5703125" style="595" customWidth="1"/>
    <col min="14205" max="14205" width="15.5703125" style="595" customWidth="1"/>
    <col min="14206" max="14206" width="16.28515625" style="595" customWidth="1"/>
    <col min="14207" max="14207" width="15.140625" style="595" customWidth="1"/>
    <col min="14208" max="14208" width="9.140625" style="595"/>
    <col min="14209" max="14209" width="14.140625" style="595" customWidth="1"/>
    <col min="14210" max="14210" width="6.5703125" style="595" customWidth="1"/>
    <col min="14211" max="14211" width="14.5703125" style="595" customWidth="1"/>
    <col min="14212" max="14212" width="6.42578125" style="595" customWidth="1"/>
    <col min="14213" max="14213" width="12.85546875" style="595" customWidth="1"/>
    <col min="14214" max="14214" width="7.85546875" style="595" customWidth="1"/>
    <col min="14215" max="14215" width="10.7109375" style="595" customWidth="1"/>
    <col min="14216" max="14216" width="7.140625" style="595" customWidth="1"/>
    <col min="14217" max="14217" width="11.85546875" style="595" customWidth="1"/>
    <col min="14218" max="14218" width="7.42578125" style="595" customWidth="1"/>
    <col min="14219" max="14219" width="12.140625" style="595" customWidth="1"/>
    <col min="14220" max="14220" width="8.42578125" style="595" customWidth="1"/>
    <col min="14221" max="14221" width="11.85546875" style="595" customWidth="1"/>
    <col min="14222" max="14222" width="6.85546875" style="595" customWidth="1"/>
    <col min="14223" max="14223" width="11.42578125" style="595" customWidth="1"/>
    <col min="14224" max="14224" width="9" style="595" customWidth="1"/>
    <col min="14225" max="14225" width="12.42578125" style="595" customWidth="1"/>
    <col min="14226" max="14226" width="5.85546875" style="595" customWidth="1"/>
    <col min="14227" max="14227" width="13.28515625" style="595" customWidth="1"/>
    <col min="14228" max="14228" width="8.85546875" style="595" customWidth="1"/>
    <col min="14229" max="14229" width="12" style="595" customWidth="1"/>
    <col min="14230" max="14230" width="7.5703125" style="595" customWidth="1"/>
    <col min="14231" max="14231" width="11.28515625" style="595" customWidth="1"/>
    <col min="14232" max="14232" width="6.5703125" style="595" customWidth="1"/>
    <col min="14233" max="14233" width="12.140625" style="595" customWidth="1"/>
    <col min="14234" max="14234" width="7.42578125" style="595" customWidth="1"/>
    <col min="14235" max="14235" width="12.42578125" style="595" customWidth="1"/>
    <col min="14236" max="14236" width="7.5703125" style="595" customWidth="1"/>
    <col min="14237" max="14237" width="11.28515625" style="595" customWidth="1"/>
    <col min="14238" max="14238" width="7.140625" style="595" customWidth="1"/>
    <col min="14239" max="14239" width="10.85546875" style="595" customWidth="1"/>
    <col min="14240" max="14240" width="6.140625" style="595" customWidth="1"/>
    <col min="14241" max="14241" width="10.7109375" style="595" customWidth="1"/>
    <col min="14242" max="14242" width="6.85546875" style="595" customWidth="1"/>
    <col min="14243" max="14243" width="10.7109375" style="595" customWidth="1"/>
    <col min="14244" max="14244" width="7" style="595" customWidth="1"/>
    <col min="14245" max="14245" width="11.85546875" style="595" customWidth="1"/>
    <col min="14246" max="14246" width="7.42578125" style="595" customWidth="1"/>
    <col min="14247" max="14247" width="10.7109375" style="595" customWidth="1"/>
    <col min="14248" max="14248" width="8.42578125" style="595" customWidth="1"/>
    <col min="14249" max="14249" width="11.140625" style="595" customWidth="1"/>
    <col min="14250" max="14250" width="8" style="595" customWidth="1"/>
    <col min="14251" max="14251" width="10.85546875" style="595" customWidth="1"/>
    <col min="14252" max="14252" width="7.5703125" style="595" customWidth="1"/>
    <col min="14253" max="14253" width="14.28515625" style="595" customWidth="1"/>
    <col min="14254" max="14254" width="6.5703125" style="595" customWidth="1"/>
    <col min="14255" max="14255" width="14.140625" style="595" customWidth="1"/>
    <col min="14256" max="14256" width="6.5703125" style="595" customWidth="1"/>
    <col min="14257" max="14257" width="14.28515625" style="595" customWidth="1"/>
    <col min="14258" max="14258" width="7.85546875" style="595" customWidth="1"/>
    <col min="14259" max="14259" width="14.140625" style="595" customWidth="1"/>
    <col min="14260" max="14260" width="6.85546875" style="595" customWidth="1"/>
    <col min="14261" max="14261" width="14.140625" style="595" customWidth="1"/>
    <col min="14262" max="14262" width="6.28515625" style="595" customWidth="1"/>
    <col min="14263" max="14263" width="14.140625" style="595" customWidth="1"/>
    <col min="14264" max="14264" width="5.85546875" style="595" customWidth="1"/>
    <col min="14265" max="14265" width="14.85546875" style="595" customWidth="1"/>
    <col min="14266" max="14266" width="6.85546875" style="595" customWidth="1"/>
    <col min="14267" max="14267" width="14.28515625" style="595" customWidth="1"/>
    <col min="14268" max="14268" width="7.28515625" style="595" customWidth="1"/>
    <col min="14269" max="14269" width="14.28515625" style="595" customWidth="1"/>
    <col min="14270" max="14270" width="6.42578125" style="595" customWidth="1"/>
    <col min="14271" max="14271" width="14" style="595" customWidth="1"/>
    <col min="14272" max="14272" width="7" style="595" customWidth="1"/>
    <col min="14273" max="14273" width="14" style="595" customWidth="1"/>
    <col min="14274" max="14274" width="6.42578125" style="595" customWidth="1"/>
    <col min="14275" max="14275" width="14.140625" style="595" customWidth="1"/>
    <col min="14276" max="14276" width="6.28515625" style="595" customWidth="1"/>
    <col min="14277" max="14277" width="14.140625" style="595" customWidth="1"/>
    <col min="14278" max="14278" width="7" style="595" customWidth="1"/>
    <col min="14279" max="14279" width="14.140625" style="595" customWidth="1"/>
    <col min="14280" max="14280" width="7.42578125" style="595" customWidth="1"/>
    <col min="14281" max="14281" width="14.5703125" style="595" customWidth="1"/>
    <col min="14282" max="14282" width="6.7109375" style="595" customWidth="1"/>
    <col min="14283" max="14283" width="14.140625" style="595" customWidth="1"/>
    <col min="14284" max="14284" width="7" style="595" customWidth="1"/>
    <col min="14285" max="14285" width="14.5703125" style="595" customWidth="1"/>
    <col min="14286" max="14286" width="7.42578125" style="595" customWidth="1"/>
    <col min="14287" max="14287" width="14.5703125" style="595" customWidth="1"/>
    <col min="14288" max="14288" width="6.42578125" style="595" customWidth="1"/>
    <col min="14289" max="14289" width="14.7109375" style="595" customWidth="1"/>
    <col min="14290" max="14290" width="6.85546875" style="595" customWidth="1"/>
    <col min="14291" max="14291" width="14.5703125" style="595" customWidth="1"/>
    <col min="14292" max="14292" width="7.140625" style="595" customWidth="1"/>
    <col min="14293" max="14293" width="14.5703125" style="595" customWidth="1"/>
    <col min="14294" max="14294" width="6.7109375" style="595" customWidth="1"/>
    <col min="14295" max="14295" width="14.140625" style="595" customWidth="1"/>
    <col min="14296" max="14296" width="5.85546875" style="595" customWidth="1"/>
    <col min="14297" max="14297" width="14" style="595" customWidth="1"/>
    <col min="14298" max="14298" width="8.28515625" style="595" customWidth="1"/>
    <col min="14299" max="14299" width="14.7109375" style="595" customWidth="1"/>
    <col min="14300" max="14300" width="7.140625" style="595" customWidth="1"/>
    <col min="14301" max="14301" width="14.7109375" style="595" customWidth="1"/>
    <col min="14302" max="14302" width="7.140625" style="595" customWidth="1"/>
    <col min="14303" max="14303" width="14" style="595" customWidth="1"/>
    <col min="14304" max="14304" width="6.42578125" style="595" customWidth="1"/>
    <col min="14305" max="14305" width="14" style="595" customWidth="1"/>
    <col min="14306" max="14306" width="6.28515625" style="595" customWidth="1"/>
    <col min="14307" max="14307" width="14.42578125" style="595" customWidth="1"/>
    <col min="14308" max="14308" width="6.28515625" style="595" customWidth="1"/>
    <col min="14309" max="14309" width="14.85546875" style="595" customWidth="1"/>
    <col min="14310" max="14310" width="7.28515625" style="595" customWidth="1"/>
    <col min="14311" max="14311" width="14.42578125" style="595" customWidth="1"/>
    <col min="14312" max="14312" width="7.28515625" style="595" customWidth="1"/>
    <col min="14313" max="14313" width="14.7109375" style="595" customWidth="1"/>
    <col min="14314" max="14314" width="6" style="595" customWidth="1"/>
    <col min="14315" max="14315" width="14.5703125" style="595" customWidth="1"/>
    <col min="14316" max="14316" width="6.42578125" style="595" customWidth="1"/>
    <col min="14317" max="14317" width="14.140625" style="595" customWidth="1"/>
    <col min="14318" max="14318" width="7.5703125" style="595" customWidth="1"/>
    <col min="14319" max="14319" width="14.5703125" style="595" customWidth="1"/>
    <col min="14320" max="14320" width="6.7109375" style="595" customWidth="1"/>
    <col min="14321" max="14321" width="15" style="595" customWidth="1"/>
    <col min="14322" max="14322" width="9.140625" style="595"/>
    <col min="14323" max="14323" width="14" style="595" customWidth="1"/>
    <col min="14324" max="14324" width="9.140625" style="595"/>
    <col min="14325" max="14325" width="14" style="595" customWidth="1"/>
    <col min="14326" max="14330" width="9.140625" style="595"/>
    <col min="14331" max="14331" width="41.28515625" style="595" customWidth="1"/>
    <col min="14332" max="14403" width="9.140625" style="595"/>
    <col min="14404" max="14404" width="21.140625" style="595" customWidth="1"/>
    <col min="14405" max="14405" width="7.28515625" style="595" customWidth="1"/>
    <col min="14406" max="14406" width="15" style="595" customWidth="1"/>
    <col min="14407" max="14407" width="23.28515625" style="595" customWidth="1"/>
    <col min="14408" max="14408" width="25.5703125" style="595" customWidth="1"/>
    <col min="14409" max="14409" width="7" style="595" bestFit="1" customWidth="1"/>
    <col min="14410" max="14410" width="6.42578125" style="595" bestFit="1" customWidth="1"/>
    <col min="14411" max="14411" width="7.85546875" style="595" customWidth="1"/>
    <col min="14412" max="14412" width="8.7109375" style="595" customWidth="1"/>
    <col min="14413" max="14413" width="7" style="595" bestFit="1" customWidth="1"/>
    <col min="14414" max="14414" width="6.42578125" style="595" bestFit="1" customWidth="1"/>
    <col min="14415" max="14415" width="6.85546875" style="595" customWidth="1"/>
    <col min="14416" max="14416" width="7.140625" style="595" customWidth="1"/>
    <col min="14417" max="14417" width="7" style="595" bestFit="1" customWidth="1"/>
    <col min="14418" max="14418" width="6.42578125" style="595" bestFit="1" customWidth="1"/>
    <col min="14419" max="14419" width="6" style="595" customWidth="1"/>
    <col min="14420" max="14420" width="9.7109375" style="595" customWidth="1"/>
    <col min="14421" max="14421" width="7" style="595" bestFit="1" customWidth="1"/>
    <col min="14422" max="14422" width="6.42578125" style="595" bestFit="1" customWidth="1"/>
    <col min="14423" max="14423" width="7.7109375" style="595" customWidth="1"/>
    <col min="14424" max="14428" width="7.28515625" style="595" customWidth="1"/>
    <col min="14429" max="14429" width="7" style="595" customWidth="1"/>
    <col min="14430" max="14431" width="5.140625" style="595" bestFit="1" customWidth="1"/>
    <col min="14432" max="14432" width="20.5703125" style="595" customWidth="1"/>
    <col min="14433" max="14433" width="8.85546875" style="595" customWidth="1"/>
    <col min="14434" max="14434" width="18.7109375" style="595" customWidth="1"/>
    <col min="14435" max="14435" width="9.7109375" style="595" customWidth="1"/>
    <col min="14436" max="14436" width="8.85546875" style="595" customWidth="1"/>
    <col min="14437" max="14437" width="10.7109375" style="595" customWidth="1"/>
    <col min="14438" max="14438" width="35.85546875" style="595" customWidth="1"/>
    <col min="14439" max="14439" width="18.7109375" style="595" customWidth="1"/>
    <col min="14440" max="14440" width="9.140625" style="595"/>
    <col min="14441" max="14441" width="9.28515625" style="595" bestFit="1" customWidth="1"/>
    <col min="14442" max="14442" width="9.140625" style="595"/>
    <col min="14443" max="14443" width="9" style="595" customWidth="1"/>
    <col min="14444" max="14444" width="9.5703125" style="595" customWidth="1"/>
    <col min="14445" max="14445" width="11.28515625" style="595" customWidth="1"/>
    <col min="14446" max="14446" width="9.140625" style="595"/>
    <col min="14447" max="14447" width="12.7109375" style="595" customWidth="1"/>
    <col min="14448" max="14448" width="9.140625" style="595"/>
    <col min="14449" max="14449" width="20.5703125" style="595" customWidth="1"/>
    <col min="14450" max="14450" width="15.7109375" style="595" customWidth="1"/>
    <col min="14451" max="14451" width="20.7109375" style="595" customWidth="1"/>
    <col min="14452" max="14452" width="18.28515625" style="595" customWidth="1"/>
    <col min="14453" max="14455" width="9.140625" style="595"/>
    <col min="14456" max="14456" width="13.5703125" style="595" customWidth="1"/>
    <col min="14457" max="14457" width="14.7109375" style="595" customWidth="1"/>
    <col min="14458" max="14458" width="7.28515625" style="595" customWidth="1"/>
    <col min="14459" max="14459" width="17.7109375" style="595" customWidth="1"/>
    <col min="14460" max="14460" width="13.5703125" style="595" customWidth="1"/>
    <col min="14461" max="14461" width="15.5703125" style="595" customWidth="1"/>
    <col min="14462" max="14462" width="16.28515625" style="595" customWidth="1"/>
    <col min="14463" max="14463" width="15.140625" style="595" customWidth="1"/>
    <col min="14464" max="14464" width="9.140625" style="595"/>
    <col min="14465" max="14465" width="14.140625" style="595" customWidth="1"/>
    <col min="14466" max="14466" width="6.5703125" style="595" customWidth="1"/>
    <col min="14467" max="14467" width="14.5703125" style="595" customWidth="1"/>
    <col min="14468" max="14468" width="6.42578125" style="595" customWidth="1"/>
    <col min="14469" max="14469" width="12.85546875" style="595" customWidth="1"/>
    <col min="14470" max="14470" width="7.85546875" style="595" customWidth="1"/>
    <col min="14471" max="14471" width="10.7109375" style="595" customWidth="1"/>
    <col min="14472" max="14472" width="7.140625" style="595" customWidth="1"/>
    <col min="14473" max="14473" width="11.85546875" style="595" customWidth="1"/>
    <col min="14474" max="14474" width="7.42578125" style="595" customWidth="1"/>
    <col min="14475" max="14475" width="12.140625" style="595" customWidth="1"/>
    <col min="14476" max="14476" width="8.42578125" style="595" customWidth="1"/>
    <col min="14477" max="14477" width="11.85546875" style="595" customWidth="1"/>
    <col min="14478" max="14478" width="6.85546875" style="595" customWidth="1"/>
    <col min="14479" max="14479" width="11.42578125" style="595" customWidth="1"/>
    <col min="14480" max="14480" width="9" style="595" customWidth="1"/>
    <col min="14481" max="14481" width="12.42578125" style="595" customWidth="1"/>
    <col min="14482" max="14482" width="5.85546875" style="595" customWidth="1"/>
    <col min="14483" max="14483" width="13.28515625" style="595" customWidth="1"/>
    <col min="14484" max="14484" width="8.85546875" style="595" customWidth="1"/>
    <col min="14485" max="14485" width="12" style="595" customWidth="1"/>
    <col min="14486" max="14486" width="7.5703125" style="595" customWidth="1"/>
    <col min="14487" max="14487" width="11.28515625" style="595" customWidth="1"/>
    <col min="14488" max="14488" width="6.5703125" style="595" customWidth="1"/>
    <col min="14489" max="14489" width="12.140625" style="595" customWidth="1"/>
    <col min="14490" max="14490" width="7.42578125" style="595" customWidth="1"/>
    <col min="14491" max="14491" width="12.42578125" style="595" customWidth="1"/>
    <col min="14492" max="14492" width="7.5703125" style="595" customWidth="1"/>
    <col min="14493" max="14493" width="11.28515625" style="595" customWidth="1"/>
    <col min="14494" max="14494" width="7.140625" style="595" customWidth="1"/>
    <col min="14495" max="14495" width="10.85546875" style="595" customWidth="1"/>
    <col min="14496" max="14496" width="6.140625" style="595" customWidth="1"/>
    <col min="14497" max="14497" width="10.7109375" style="595" customWidth="1"/>
    <col min="14498" max="14498" width="6.85546875" style="595" customWidth="1"/>
    <col min="14499" max="14499" width="10.7109375" style="595" customWidth="1"/>
    <col min="14500" max="14500" width="7" style="595" customWidth="1"/>
    <col min="14501" max="14501" width="11.85546875" style="595" customWidth="1"/>
    <col min="14502" max="14502" width="7.42578125" style="595" customWidth="1"/>
    <col min="14503" max="14503" width="10.7109375" style="595" customWidth="1"/>
    <col min="14504" max="14504" width="8.42578125" style="595" customWidth="1"/>
    <col min="14505" max="14505" width="11.140625" style="595" customWidth="1"/>
    <col min="14506" max="14506" width="8" style="595" customWidth="1"/>
    <col min="14507" max="14507" width="10.85546875" style="595" customWidth="1"/>
    <col min="14508" max="14508" width="7.5703125" style="595" customWidth="1"/>
    <col min="14509" max="14509" width="14.28515625" style="595" customWidth="1"/>
    <col min="14510" max="14510" width="6.5703125" style="595" customWidth="1"/>
    <col min="14511" max="14511" width="14.140625" style="595" customWidth="1"/>
    <col min="14512" max="14512" width="6.5703125" style="595" customWidth="1"/>
    <col min="14513" max="14513" width="14.28515625" style="595" customWidth="1"/>
    <col min="14514" max="14514" width="7.85546875" style="595" customWidth="1"/>
    <col min="14515" max="14515" width="14.140625" style="595" customWidth="1"/>
    <col min="14516" max="14516" width="6.85546875" style="595" customWidth="1"/>
    <col min="14517" max="14517" width="14.140625" style="595" customWidth="1"/>
    <col min="14518" max="14518" width="6.28515625" style="595" customWidth="1"/>
    <col min="14519" max="14519" width="14.140625" style="595" customWidth="1"/>
    <col min="14520" max="14520" width="5.85546875" style="595" customWidth="1"/>
    <col min="14521" max="14521" width="14.85546875" style="595" customWidth="1"/>
    <col min="14522" max="14522" width="6.85546875" style="595" customWidth="1"/>
    <col min="14523" max="14523" width="14.28515625" style="595" customWidth="1"/>
    <col min="14524" max="14524" width="7.28515625" style="595" customWidth="1"/>
    <col min="14525" max="14525" width="14.28515625" style="595" customWidth="1"/>
    <col min="14526" max="14526" width="6.42578125" style="595" customWidth="1"/>
    <col min="14527" max="14527" width="14" style="595" customWidth="1"/>
    <col min="14528" max="14528" width="7" style="595" customWidth="1"/>
    <col min="14529" max="14529" width="14" style="595" customWidth="1"/>
    <col min="14530" max="14530" width="6.42578125" style="595" customWidth="1"/>
    <col min="14531" max="14531" width="14.140625" style="595" customWidth="1"/>
    <col min="14532" max="14532" width="6.28515625" style="595" customWidth="1"/>
    <col min="14533" max="14533" width="14.140625" style="595" customWidth="1"/>
    <col min="14534" max="14534" width="7" style="595" customWidth="1"/>
    <col min="14535" max="14535" width="14.140625" style="595" customWidth="1"/>
    <col min="14536" max="14536" width="7.42578125" style="595" customWidth="1"/>
    <col min="14537" max="14537" width="14.5703125" style="595" customWidth="1"/>
    <col min="14538" max="14538" width="6.7109375" style="595" customWidth="1"/>
    <col min="14539" max="14539" width="14.140625" style="595" customWidth="1"/>
    <col min="14540" max="14540" width="7" style="595" customWidth="1"/>
    <col min="14541" max="14541" width="14.5703125" style="595" customWidth="1"/>
    <col min="14542" max="14542" width="7.42578125" style="595" customWidth="1"/>
    <col min="14543" max="14543" width="14.5703125" style="595" customWidth="1"/>
    <col min="14544" max="14544" width="6.42578125" style="595" customWidth="1"/>
    <col min="14545" max="14545" width="14.7109375" style="595" customWidth="1"/>
    <col min="14546" max="14546" width="6.85546875" style="595" customWidth="1"/>
    <col min="14547" max="14547" width="14.5703125" style="595" customWidth="1"/>
    <col min="14548" max="14548" width="7.140625" style="595" customWidth="1"/>
    <col min="14549" max="14549" width="14.5703125" style="595" customWidth="1"/>
    <col min="14550" max="14550" width="6.7109375" style="595" customWidth="1"/>
    <col min="14551" max="14551" width="14.140625" style="595" customWidth="1"/>
    <col min="14552" max="14552" width="5.85546875" style="595" customWidth="1"/>
    <col min="14553" max="14553" width="14" style="595" customWidth="1"/>
    <col min="14554" max="14554" width="8.28515625" style="595" customWidth="1"/>
    <col min="14555" max="14555" width="14.7109375" style="595" customWidth="1"/>
    <col min="14556" max="14556" width="7.140625" style="595" customWidth="1"/>
    <col min="14557" max="14557" width="14.7109375" style="595" customWidth="1"/>
    <col min="14558" max="14558" width="7.140625" style="595" customWidth="1"/>
    <col min="14559" max="14559" width="14" style="595" customWidth="1"/>
    <col min="14560" max="14560" width="6.42578125" style="595" customWidth="1"/>
    <col min="14561" max="14561" width="14" style="595" customWidth="1"/>
    <col min="14562" max="14562" width="6.28515625" style="595" customWidth="1"/>
    <col min="14563" max="14563" width="14.42578125" style="595" customWidth="1"/>
    <col min="14564" max="14564" width="6.28515625" style="595" customWidth="1"/>
    <col min="14565" max="14565" width="14.85546875" style="595" customWidth="1"/>
    <col min="14566" max="14566" width="7.28515625" style="595" customWidth="1"/>
    <col min="14567" max="14567" width="14.42578125" style="595" customWidth="1"/>
    <col min="14568" max="14568" width="7.28515625" style="595" customWidth="1"/>
    <col min="14569" max="14569" width="14.7109375" style="595" customWidth="1"/>
    <col min="14570" max="14570" width="6" style="595" customWidth="1"/>
    <col min="14571" max="14571" width="14.5703125" style="595" customWidth="1"/>
    <col min="14572" max="14572" width="6.42578125" style="595" customWidth="1"/>
    <col min="14573" max="14573" width="14.140625" style="595" customWidth="1"/>
    <col min="14574" max="14574" width="7.5703125" style="595" customWidth="1"/>
    <col min="14575" max="14575" width="14.5703125" style="595" customWidth="1"/>
    <col min="14576" max="14576" width="6.7109375" style="595" customWidth="1"/>
    <col min="14577" max="14577" width="15" style="595" customWidth="1"/>
    <col min="14578" max="14578" width="9.140625" style="595"/>
    <col min="14579" max="14579" width="14" style="595" customWidth="1"/>
    <col min="14580" max="14580" width="9.140625" style="595"/>
    <col min="14581" max="14581" width="14" style="595" customWidth="1"/>
    <col min="14582" max="14586" width="9.140625" style="595"/>
    <col min="14587" max="14587" width="41.28515625" style="595" customWidth="1"/>
    <col min="14588" max="14659" width="9.140625" style="595"/>
    <col min="14660" max="14660" width="21.140625" style="595" customWidth="1"/>
    <col min="14661" max="14661" width="7.28515625" style="595" customWidth="1"/>
    <col min="14662" max="14662" width="15" style="595" customWidth="1"/>
    <col min="14663" max="14663" width="23.28515625" style="595" customWidth="1"/>
    <col min="14664" max="14664" width="25.5703125" style="595" customWidth="1"/>
    <col min="14665" max="14665" width="7" style="595" bestFit="1" customWidth="1"/>
    <col min="14666" max="14666" width="6.42578125" style="595" bestFit="1" customWidth="1"/>
    <col min="14667" max="14667" width="7.85546875" style="595" customWidth="1"/>
    <col min="14668" max="14668" width="8.7109375" style="595" customWidth="1"/>
    <col min="14669" max="14669" width="7" style="595" bestFit="1" customWidth="1"/>
    <col min="14670" max="14670" width="6.42578125" style="595" bestFit="1" customWidth="1"/>
    <col min="14671" max="14671" width="6.85546875" style="595" customWidth="1"/>
    <col min="14672" max="14672" width="7.140625" style="595" customWidth="1"/>
    <col min="14673" max="14673" width="7" style="595" bestFit="1" customWidth="1"/>
    <col min="14674" max="14674" width="6.42578125" style="595" bestFit="1" customWidth="1"/>
    <col min="14675" max="14675" width="6" style="595" customWidth="1"/>
    <col min="14676" max="14676" width="9.7109375" style="595" customWidth="1"/>
    <col min="14677" max="14677" width="7" style="595" bestFit="1" customWidth="1"/>
    <col min="14678" max="14678" width="6.42578125" style="595" bestFit="1" customWidth="1"/>
    <col min="14679" max="14679" width="7.7109375" style="595" customWidth="1"/>
    <col min="14680" max="14684" width="7.28515625" style="595" customWidth="1"/>
    <col min="14685" max="14685" width="7" style="595" customWidth="1"/>
    <col min="14686" max="14687" width="5.140625" style="595" bestFit="1" customWidth="1"/>
    <col min="14688" max="14688" width="20.5703125" style="595" customWidth="1"/>
    <col min="14689" max="14689" width="8.85546875" style="595" customWidth="1"/>
    <col min="14690" max="14690" width="18.7109375" style="595" customWidth="1"/>
    <col min="14691" max="14691" width="9.7109375" style="595" customWidth="1"/>
    <col min="14692" max="14692" width="8.85546875" style="595" customWidth="1"/>
    <col min="14693" max="14693" width="10.7109375" style="595" customWidth="1"/>
    <col min="14694" max="14694" width="35.85546875" style="595" customWidth="1"/>
    <col min="14695" max="14695" width="18.7109375" style="595" customWidth="1"/>
    <col min="14696" max="14696" width="9.140625" style="595"/>
    <col min="14697" max="14697" width="9.28515625" style="595" bestFit="1" customWidth="1"/>
    <col min="14698" max="14698" width="9.140625" style="595"/>
    <col min="14699" max="14699" width="9" style="595" customWidth="1"/>
    <col min="14700" max="14700" width="9.5703125" style="595" customWidth="1"/>
    <col min="14701" max="14701" width="11.28515625" style="595" customWidth="1"/>
    <col min="14702" max="14702" width="9.140625" style="595"/>
    <col min="14703" max="14703" width="12.7109375" style="595" customWidth="1"/>
    <col min="14704" max="14704" width="9.140625" style="595"/>
    <col min="14705" max="14705" width="20.5703125" style="595" customWidth="1"/>
    <col min="14706" max="14706" width="15.7109375" style="595" customWidth="1"/>
    <col min="14707" max="14707" width="20.7109375" style="595" customWidth="1"/>
    <col min="14708" max="14708" width="18.28515625" style="595" customWidth="1"/>
    <col min="14709" max="14711" width="9.140625" style="595"/>
    <col min="14712" max="14712" width="13.5703125" style="595" customWidth="1"/>
    <col min="14713" max="14713" width="14.7109375" style="595" customWidth="1"/>
    <col min="14714" max="14714" width="7.28515625" style="595" customWidth="1"/>
    <col min="14715" max="14715" width="17.7109375" style="595" customWidth="1"/>
    <col min="14716" max="14716" width="13.5703125" style="595" customWidth="1"/>
    <col min="14717" max="14717" width="15.5703125" style="595" customWidth="1"/>
    <col min="14718" max="14718" width="16.28515625" style="595" customWidth="1"/>
    <col min="14719" max="14719" width="15.140625" style="595" customWidth="1"/>
    <col min="14720" max="14720" width="9.140625" style="595"/>
    <col min="14721" max="14721" width="14.140625" style="595" customWidth="1"/>
    <col min="14722" max="14722" width="6.5703125" style="595" customWidth="1"/>
    <col min="14723" max="14723" width="14.5703125" style="595" customWidth="1"/>
    <col min="14724" max="14724" width="6.42578125" style="595" customWidth="1"/>
    <col min="14725" max="14725" width="12.85546875" style="595" customWidth="1"/>
    <col min="14726" max="14726" width="7.85546875" style="595" customWidth="1"/>
    <col min="14727" max="14727" width="10.7109375" style="595" customWidth="1"/>
    <col min="14728" max="14728" width="7.140625" style="595" customWidth="1"/>
    <col min="14729" max="14729" width="11.85546875" style="595" customWidth="1"/>
    <col min="14730" max="14730" width="7.42578125" style="595" customWidth="1"/>
    <col min="14731" max="14731" width="12.140625" style="595" customWidth="1"/>
    <col min="14732" max="14732" width="8.42578125" style="595" customWidth="1"/>
    <col min="14733" max="14733" width="11.85546875" style="595" customWidth="1"/>
    <col min="14734" max="14734" width="6.85546875" style="595" customWidth="1"/>
    <col min="14735" max="14735" width="11.42578125" style="595" customWidth="1"/>
    <col min="14736" max="14736" width="9" style="595" customWidth="1"/>
    <col min="14737" max="14737" width="12.42578125" style="595" customWidth="1"/>
    <col min="14738" max="14738" width="5.85546875" style="595" customWidth="1"/>
    <col min="14739" max="14739" width="13.28515625" style="595" customWidth="1"/>
    <col min="14740" max="14740" width="8.85546875" style="595" customWidth="1"/>
    <col min="14741" max="14741" width="12" style="595" customWidth="1"/>
    <col min="14742" max="14742" width="7.5703125" style="595" customWidth="1"/>
    <col min="14743" max="14743" width="11.28515625" style="595" customWidth="1"/>
    <col min="14744" max="14744" width="6.5703125" style="595" customWidth="1"/>
    <col min="14745" max="14745" width="12.140625" style="595" customWidth="1"/>
    <col min="14746" max="14746" width="7.42578125" style="595" customWidth="1"/>
    <col min="14747" max="14747" width="12.42578125" style="595" customWidth="1"/>
    <col min="14748" max="14748" width="7.5703125" style="595" customWidth="1"/>
    <col min="14749" max="14749" width="11.28515625" style="595" customWidth="1"/>
    <col min="14750" max="14750" width="7.140625" style="595" customWidth="1"/>
    <col min="14751" max="14751" width="10.85546875" style="595" customWidth="1"/>
    <col min="14752" max="14752" width="6.140625" style="595" customWidth="1"/>
    <col min="14753" max="14753" width="10.7109375" style="595" customWidth="1"/>
    <col min="14754" max="14754" width="6.85546875" style="595" customWidth="1"/>
    <col min="14755" max="14755" width="10.7109375" style="595" customWidth="1"/>
    <col min="14756" max="14756" width="7" style="595" customWidth="1"/>
    <col min="14757" max="14757" width="11.85546875" style="595" customWidth="1"/>
    <col min="14758" max="14758" width="7.42578125" style="595" customWidth="1"/>
    <col min="14759" max="14759" width="10.7109375" style="595" customWidth="1"/>
    <col min="14760" max="14760" width="8.42578125" style="595" customWidth="1"/>
    <col min="14761" max="14761" width="11.140625" style="595" customWidth="1"/>
    <col min="14762" max="14762" width="8" style="595" customWidth="1"/>
    <col min="14763" max="14763" width="10.85546875" style="595" customWidth="1"/>
    <col min="14764" max="14764" width="7.5703125" style="595" customWidth="1"/>
    <col min="14765" max="14765" width="14.28515625" style="595" customWidth="1"/>
    <col min="14766" max="14766" width="6.5703125" style="595" customWidth="1"/>
    <col min="14767" max="14767" width="14.140625" style="595" customWidth="1"/>
    <col min="14768" max="14768" width="6.5703125" style="595" customWidth="1"/>
    <col min="14769" max="14769" width="14.28515625" style="595" customWidth="1"/>
    <col min="14770" max="14770" width="7.85546875" style="595" customWidth="1"/>
    <col min="14771" max="14771" width="14.140625" style="595" customWidth="1"/>
    <col min="14772" max="14772" width="6.85546875" style="595" customWidth="1"/>
    <col min="14773" max="14773" width="14.140625" style="595" customWidth="1"/>
    <col min="14774" max="14774" width="6.28515625" style="595" customWidth="1"/>
    <col min="14775" max="14775" width="14.140625" style="595" customWidth="1"/>
    <col min="14776" max="14776" width="5.85546875" style="595" customWidth="1"/>
    <col min="14777" max="14777" width="14.85546875" style="595" customWidth="1"/>
    <col min="14778" max="14778" width="6.85546875" style="595" customWidth="1"/>
    <col min="14779" max="14779" width="14.28515625" style="595" customWidth="1"/>
    <col min="14780" max="14780" width="7.28515625" style="595" customWidth="1"/>
    <col min="14781" max="14781" width="14.28515625" style="595" customWidth="1"/>
    <col min="14782" max="14782" width="6.42578125" style="595" customWidth="1"/>
    <col min="14783" max="14783" width="14" style="595" customWidth="1"/>
    <col min="14784" max="14784" width="7" style="595" customWidth="1"/>
    <col min="14785" max="14785" width="14" style="595" customWidth="1"/>
    <col min="14786" max="14786" width="6.42578125" style="595" customWidth="1"/>
    <col min="14787" max="14787" width="14.140625" style="595" customWidth="1"/>
    <col min="14788" max="14788" width="6.28515625" style="595" customWidth="1"/>
    <col min="14789" max="14789" width="14.140625" style="595" customWidth="1"/>
    <col min="14790" max="14790" width="7" style="595" customWidth="1"/>
    <col min="14791" max="14791" width="14.140625" style="595" customWidth="1"/>
    <col min="14792" max="14792" width="7.42578125" style="595" customWidth="1"/>
    <col min="14793" max="14793" width="14.5703125" style="595" customWidth="1"/>
    <col min="14794" max="14794" width="6.7109375" style="595" customWidth="1"/>
    <col min="14795" max="14795" width="14.140625" style="595" customWidth="1"/>
    <col min="14796" max="14796" width="7" style="595" customWidth="1"/>
    <col min="14797" max="14797" width="14.5703125" style="595" customWidth="1"/>
    <col min="14798" max="14798" width="7.42578125" style="595" customWidth="1"/>
    <col min="14799" max="14799" width="14.5703125" style="595" customWidth="1"/>
    <col min="14800" max="14800" width="6.42578125" style="595" customWidth="1"/>
    <col min="14801" max="14801" width="14.7109375" style="595" customWidth="1"/>
    <col min="14802" max="14802" width="6.85546875" style="595" customWidth="1"/>
    <col min="14803" max="14803" width="14.5703125" style="595" customWidth="1"/>
    <col min="14804" max="14804" width="7.140625" style="595" customWidth="1"/>
    <col min="14805" max="14805" width="14.5703125" style="595" customWidth="1"/>
    <col min="14806" max="14806" width="6.7109375" style="595" customWidth="1"/>
    <col min="14807" max="14807" width="14.140625" style="595" customWidth="1"/>
    <col min="14808" max="14808" width="5.85546875" style="595" customWidth="1"/>
    <col min="14809" max="14809" width="14" style="595" customWidth="1"/>
    <col min="14810" max="14810" width="8.28515625" style="595" customWidth="1"/>
    <col min="14811" max="14811" width="14.7109375" style="595" customWidth="1"/>
    <col min="14812" max="14812" width="7.140625" style="595" customWidth="1"/>
    <col min="14813" max="14813" width="14.7109375" style="595" customWidth="1"/>
    <col min="14814" max="14814" width="7.140625" style="595" customWidth="1"/>
    <col min="14815" max="14815" width="14" style="595" customWidth="1"/>
    <col min="14816" max="14816" width="6.42578125" style="595" customWidth="1"/>
    <col min="14817" max="14817" width="14" style="595" customWidth="1"/>
    <col min="14818" max="14818" width="6.28515625" style="595" customWidth="1"/>
    <col min="14819" max="14819" width="14.42578125" style="595" customWidth="1"/>
    <col min="14820" max="14820" width="6.28515625" style="595" customWidth="1"/>
    <col min="14821" max="14821" width="14.85546875" style="595" customWidth="1"/>
    <col min="14822" max="14822" width="7.28515625" style="595" customWidth="1"/>
    <col min="14823" max="14823" width="14.42578125" style="595" customWidth="1"/>
    <col min="14824" max="14824" width="7.28515625" style="595" customWidth="1"/>
    <col min="14825" max="14825" width="14.7109375" style="595" customWidth="1"/>
    <col min="14826" max="14826" width="6" style="595" customWidth="1"/>
    <col min="14827" max="14827" width="14.5703125" style="595" customWidth="1"/>
    <col min="14828" max="14828" width="6.42578125" style="595" customWidth="1"/>
    <col min="14829" max="14829" width="14.140625" style="595" customWidth="1"/>
    <col min="14830" max="14830" width="7.5703125" style="595" customWidth="1"/>
    <col min="14831" max="14831" width="14.5703125" style="595" customWidth="1"/>
    <col min="14832" max="14832" width="6.7109375" style="595" customWidth="1"/>
    <col min="14833" max="14833" width="15" style="595" customWidth="1"/>
    <col min="14834" max="14834" width="9.140625" style="595"/>
    <col min="14835" max="14835" width="14" style="595" customWidth="1"/>
    <col min="14836" max="14836" width="9.140625" style="595"/>
    <col min="14837" max="14837" width="14" style="595" customWidth="1"/>
    <col min="14838" max="14842" width="9.140625" style="595"/>
    <col min="14843" max="14843" width="41.28515625" style="595" customWidth="1"/>
    <col min="14844" max="14915" width="9.140625" style="595"/>
    <col min="14916" max="14916" width="21.140625" style="595" customWidth="1"/>
    <col min="14917" max="14917" width="7.28515625" style="595" customWidth="1"/>
    <col min="14918" max="14918" width="15" style="595" customWidth="1"/>
    <col min="14919" max="14919" width="23.28515625" style="595" customWidth="1"/>
    <col min="14920" max="14920" width="25.5703125" style="595" customWidth="1"/>
    <col min="14921" max="14921" width="7" style="595" bestFit="1" customWidth="1"/>
    <col min="14922" max="14922" width="6.42578125" style="595" bestFit="1" customWidth="1"/>
    <col min="14923" max="14923" width="7.85546875" style="595" customWidth="1"/>
    <col min="14924" max="14924" width="8.7109375" style="595" customWidth="1"/>
    <col min="14925" max="14925" width="7" style="595" bestFit="1" customWidth="1"/>
    <col min="14926" max="14926" width="6.42578125" style="595" bestFit="1" customWidth="1"/>
    <col min="14927" max="14927" width="6.85546875" style="595" customWidth="1"/>
    <col min="14928" max="14928" width="7.140625" style="595" customWidth="1"/>
    <col min="14929" max="14929" width="7" style="595" bestFit="1" customWidth="1"/>
    <col min="14930" max="14930" width="6.42578125" style="595" bestFit="1" customWidth="1"/>
    <col min="14931" max="14931" width="6" style="595" customWidth="1"/>
    <col min="14932" max="14932" width="9.7109375" style="595" customWidth="1"/>
    <col min="14933" max="14933" width="7" style="595" bestFit="1" customWidth="1"/>
    <col min="14934" max="14934" width="6.42578125" style="595" bestFit="1" customWidth="1"/>
    <col min="14935" max="14935" width="7.7109375" style="595" customWidth="1"/>
    <col min="14936" max="14940" width="7.28515625" style="595" customWidth="1"/>
    <col min="14941" max="14941" width="7" style="595" customWidth="1"/>
    <col min="14942" max="14943" width="5.140625" style="595" bestFit="1" customWidth="1"/>
    <col min="14944" max="14944" width="20.5703125" style="595" customWidth="1"/>
    <col min="14945" max="14945" width="8.85546875" style="595" customWidth="1"/>
    <col min="14946" max="14946" width="18.7109375" style="595" customWidth="1"/>
    <col min="14947" max="14947" width="9.7109375" style="595" customWidth="1"/>
    <col min="14948" max="14948" width="8.85546875" style="595" customWidth="1"/>
    <col min="14949" max="14949" width="10.7109375" style="595" customWidth="1"/>
    <col min="14950" max="14950" width="35.85546875" style="595" customWidth="1"/>
    <col min="14951" max="14951" width="18.7109375" style="595" customWidth="1"/>
    <col min="14952" max="14952" width="9.140625" style="595"/>
    <col min="14953" max="14953" width="9.28515625" style="595" bestFit="1" customWidth="1"/>
    <col min="14954" max="14954" width="9.140625" style="595"/>
    <col min="14955" max="14955" width="9" style="595" customWidth="1"/>
    <col min="14956" max="14956" width="9.5703125" style="595" customWidth="1"/>
    <col min="14957" max="14957" width="11.28515625" style="595" customWidth="1"/>
    <col min="14958" max="14958" width="9.140625" style="595"/>
    <col min="14959" max="14959" width="12.7109375" style="595" customWidth="1"/>
    <col min="14960" max="14960" width="9.140625" style="595"/>
    <col min="14961" max="14961" width="20.5703125" style="595" customWidth="1"/>
    <col min="14962" max="14962" width="15.7109375" style="595" customWidth="1"/>
    <col min="14963" max="14963" width="20.7109375" style="595" customWidth="1"/>
    <col min="14964" max="14964" width="18.28515625" style="595" customWidth="1"/>
    <col min="14965" max="14967" width="9.140625" style="595"/>
    <col min="14968" max="14968" width="13.5703125" style="595" customWidth="1"/>
    <col min="14969" max="14969" width="14.7109375" style="595" customWidth="1"/>
    <col min="14970" max="14970" width="7.28515625" style="595" customWidth="1"/>
    <col min="14971" max="14971" width="17.7109375" style="595" customWidth="1"/>
    <col min="14972" max="14972" width="13.5703125" style="595" customWidth="1"/>
    <col min="14973" max="14973" width="15.5703125" style="595" customWidth="1"/>
    <col min="14974" max="14974" width="16.28515625" style="595" customWidth="1"/>
    <col min="14975" max="14975" width="15.140625" style="595" customWidth="1"/>
    <col min="14976" max="14976" width="9.140625" style="595"/>
    <col min="14977" max="14977" width="14.140625" style="595" customWidth="1"/>
    <col min="14978" max="14978" width="6.5703125" style="595" customWidth="1"/>
    <col min="14979" max="14979" width="14.5703125" style="595" customWidth="1"/>
    <col min="14980" max="14980" width="6.42578125" style="595" customWidth="1"/>
    <col min="14981" max="14981" width="12.85546875" style="595" customWidth="1"/>
    <col min="14982" max="14982" width="7.85546875" style="595" customWidth="1"/>
    <col min="14983" max="14983" width="10.7109375" style="595" customWidth="1"/>
    <col min="14984" max="14984" width="7.140625" style="595" customWidth="1"/>
    <col min="14985" max="14985" width="11.85546875" style="595" customWidth="1"/>
    <col min="14986" max="14986" width="7.42578125" style="595" customWidth="1"/>
    <col min="14987" max="14987" width="12.140625" style="595" customWidth="1"/>
    <col min="14988" max="14988" width="8.42578125" style="595" customWidth="1"/>
    <col min="14989" max="14989" width="11.85546875" style="595" customWidth="1"/>
    <col min="14990" max="14990" width="6.85546875" style="595" customWidth="1"/>
    <col min="14991" max="14991" width="11.42578125" style="595" customWidth="1"/>
    <col min="14992" max="14992" width="9" style="595" customWidth="1"/>
    <col min="14993" max="14993" width="12.42578125" style="595" customWidth="1"/>
    <col min="14994" max="14994" width="5.85546875" style="595" customWidth="1"/>
    <col min="14995" max="14995" width="13.28515625" style="595" customWidth="1"/>
    <col min="14996" max="14996" width="8.85546875" style="595" customWidth="1"/>
    <col min="14997" max="14997" width="12" style="595" customWidth="1"/>
    <col min="14998" max="14998" width="7.5703125" style="595" customWidth="1"/>
    <col min="14999" max="14999" width="11.28515625" style="595" customWidth="1"/>
    <col min="15000" max="15000" width="6.5703125" style="595" customWidth="1"/>
    <col min="15001" max="15001" width="12.140625" style="595" customWidth="1"/>
    <col min="15002" max="15002" width="7.42578125" style="595" customWidth="1"/>
    <col min="15003" max="15003" width="12.42578125" style="595" customWidth="1"/>
    <col min="15004" max="15004" width="7.5703125" style="595" customWidth="1"/>
    <col min="15005" max="15005" width="11.28515625" style="595" customWidth="1"/>
    <col min="15006" max="15006" width="7.140625" style="595" customWidth="1"/>
    <col min="15007" max="15007" width="10.85546875" style="595" customWidth="1"/>
    <col min="15008" max="15008" width="6.140625" style="595" customWidth="1"/>
    <col min="15009" max="15009" width="10.7109375" style="595" customWidth="1"/>
    <col min="15010" max="15010" width="6.85546875" style="595" customWidth="1"/>
    <col min="15011" max="15011" width="10.7109375" style="595" customWidth="1"/>
    <col min="15012" max="15012" width="7" style="595" customWidth="1"/>
    <col min="15013" max="15013" width="11.85546875" style="595" customWidth="1"/>
    <col min="15014" max="15014" width="7.42578125" style="595" customWidth="1"/>
    <col min="15015" max="15015" width="10.7109375" style="595" customWidth="1"/>
    <col min="15016" max="15016" width="8.42578125" style="595" customWidth="1"/>
    <col min="15017" max="15017" width="11.140625" style="595" customWidth="1"/>
    <col min="15018" max="15018" width="8" style="595" customWidth="1"/>
    <col min="15019" max="15019" width="10.85546875" style="595" customWidth="1"/>
    <col min="15020" max="15020" width="7.5703125" style="595" customWidth="1"/>
    <col min="15021" max="15021" width="14.28515625" style="595" customWidth="1"/>
    <col min="15022" max="15022" width="6.5703125" style="595" customWidth="1"/>
    <col min="15023" max="15023" width="14.140625" style="595" customWidth="1"/>
    <col min="15024" max="15024" width="6.5703125" style="595" customWidth="1"/>
    <col min="15025" max="15025" width="14.28515625" style="595" customWidth="1"/>
    <col min="15026" max="15026" width="7.85546875" style="595" customWidth="1"/>
    <col min="15027" max="15027" width="14.140625" style="595" customWidth="1"/>
    <col min="15028" max="15028" width="6.85546875" style="595" customWidth="1"/>
    <col min="15029" max="15029" width="14.140625" style="595" customWidth="1"/>
    <col min="15030" max="15030" width="6.28515625" style="595" customWidth="1"/>
    <col min="15031" max="15031" width="14.140625" style="595" customWidth="1"/>
    <col min="15032" max="15032" width="5.85546875" style="595" customWidth="1"/>
    <col min="15033" max="15033" width="14.85546875" style="595" customWidth="1"/>
    <col min="15034" max="15034" width="6.85546875" style="595" customWidth="1"/>
    <col min="15035" max="15035" width="14.28515625" style="595" customWidth="1"/>
    <col min="15036" max="15036" width="7.28515625" style="595" customWidth="1"/>
    <col min="15037" max="15037" width="14.28515625" style="595" customWidth="1"/>
    <col min="15038" max="15038" width="6.42578125" style="595" customWidth="1"/>
    <col min="15039" max="15039" width="14" style="595" customWidth="1"/>
    <col min="15040" max="15040" width="7" style="595" customWidth="1"/>
    <col min="15041" max="15041" width="14" style="595" customWidth="1"/>
    <col min="15042" max="15042" width="6.42578125" style="595" customWidth="1"/>
    <col min="15043" max="15043" width="14.140625" style="595" customWidth="1"/>
    <col min="15044" max="15044" width="6.28515625" style="595" customWidth="1"/>
    <col min="15045" max="15045" width="14.140625" style="595" customWidth="1"/>
    <col min="15046" max="15046" width="7" style="595" customWidth="1"/>
    <col min="15047" max="15047" width="14.140625" style="595" customWidth="1"/>
    <col min="15048" max="15048" width="7.42578125" style="595" customWidth="1"/>
    <col min="15049" max="15049" width="14.5703125" style="595" customWidth="1"/>
    <col min="15050" max="15050" width="6.7109375" style="595" customWidth="1"/>
    <col min="15051" max="15051" width="14.140625" style="595" customWidth="1"/>
    <col min="15052" max="15052" width="7" style="595" customWidth="1"/>
    <col min="15053" max="15053" width="14.5703125" style="595" customWidth="1"/>
    <col min="15054" max="15054" width="7.42578125" style="595" customWidth="1"/>
    <col min="15055" max="15055" width="14.5703125" style="595" customWidth="1"/>
    <col min="15056" max="15056" width="6.42578125" style="595" customWidth="1"/>
    <col min="15057" max="15057" width="14.7109375" style="595" customWidth="1"/>
    <col min="15058" max="15058" width="6.85546875" style="595" customWidth="1"/>
    <col min="15059" max="15059" width="14.5703125" style="595" customWidth="1"/>
    <col min="15060" max="15060" width="7.140625" style="595" customWidth="1"/>
    <col min="15061" max="15061" width="14.5703125" style="595" customWidth="1"/>
    <col min="15062" max="15062" width="6.7109375" style="595" customWidth="1"/>
    <col min="15063" max="15063" width="14.140625" style="595" customWidth="1"/>
    <col min="15064" max="15064" width="5.85546875" style="595" customWidth="1"/>
    <col min="15065" max="15065" width="14" style="595" customWidth="1"/>
    <col min="15066" max="15066" width="8.28515625" style="595" customWidth="1"/>
    <col min="15067" max="15067" width="14.7109375" style="595" customWidth="1"/>
    <col min="15068" max="15068" width="7.140625" style="595" customWidth="1"/>
    <col min="15069" max="15069" width="14.7109375" style="595" customWidth="1"/>
    <col min="15070" max="15070" width="7.140625" style="595" customWidth="1"/>
    <col min="15071" max="15071" width="14" style="595" customWidth="1"/>
    <col min="15072" max="15072" width="6.42578125" style="595" customWidth="1"/>
    <col min="15073" max="15073" width="14" style="595" customWidth="1"/>
    <col min="15074" max="15074" width="6.28515625" style="595" customWidth="1"/>
    <col min="15075" max="15075" width="14.42578125" style="595" customWidth="1"/>
    <col min="15076" max="15076" width="6.28515625" style="595" customWidth="1"/>
    <col min="15077" max="15077" width="14.85546875" style="595" customWidth="1"/>
    <col min="15078" max="15078" width="7.28515625" style="595" customWidth="1"/>
    <col min="15079" max="15079" width="14.42578125" style="595" customWidth="1"/>
    <col min="15080" max="15080" width="7.28515625" style="595" customWidth="1"/>
    <col min="15081" max="15081" width="14.7109375" style="595" customWidth="1"/>
    <col min="15082" max="15082" width="6" style="595" customWidth="1"/>
    <col min="15083" max="15083" width="14.5703125" style="595" customWidth="1"/>
    <col min="15084" max="15084" width="6.42578125" style="595" customWidth="1"/>
    <col min="15085" max="15085" width="14.140625" style="595" customWidth="1"/>
    <col min="15086" max="15086" width="7.5703125" style="595" customWidth="1"/>
    <col min="15087" max="15087" width="14.5703125" style="595" customWidth="1"/>
    <col min="15088" max="15088" width="6.7109375" style="595" customWidth="1"/>
    <col min="15089" max="15089" width="15" style="595" customWidth="1"/>
    <col min="15090" max="15090" width="9.140625" style="595"/>
    <col min="15091" max="15091" width="14" style="595" customWidth="1"/>
    <col min="15092" max="15092" width="9.140625" style="595"/>
    <col min="15093" max="15093" width="14" style="595" customWidth="1"/>
    <col min="15094" max="15098" width="9.140625" style="595"/>
    <col min="15099" max="15099" width="41.28515625" style="595" customWidth="1"/>
    <col min="15100" max="15171" width="9.140625" style="595"/>
    <col min="15172" max="15172" width="21.140625" style="595" customWidth="1"/>
    <col min="15173" max="15173" width="7.28515625" style="595" customWidth="1"/>
    <col min="15174" max="15174" width="15" style="595" customWidth="1"/>
    <col min="15175" max="15175" width="23.28515625" style="595" customWidth="1"/>
    <col min="15176" max="15176" width="25.5703125" style="595" customWidth="1"/>
    <col min="15177" max="15177" width="7" style="595" bestFit="1" customWidth="1"/>
    <col min="15178" max="15178" width="6.42578125" style="595" bestFit="1" customWidth="1"/>
    <col min="15179" max="15179" width="7.85546875" style="595" customWidth="1"/>
    <col min="15180" max="15180" width="8.7109375" style="595" customWidth="1"/>
    <col min="15181" max="15181" width="7" style="595" bestFit="1" customWidth="1"/>
    <col min="15182" max="15182" width="6.42578125" style="595" bestFit="1" customWidth="1"/>
    <col min="15183" max="15183" width="6.85546875" style="595" customWidth="1"/>
    <col min="15184" max="15184" width="7.140625" style="595" customWidth="1"/>
    <col min="15185" max="15185" width="7" style="595" bestFit="1" customWidth="1"/>
    <col min="15186" max="15186" width="6.42578125" style="595" bestFit="1" customWidth="1"/>
    <col min="15187" max="15187" width="6" style="595" customWidth="1"/>
    <col min="15188" max="15188" width="9.7109375" style="595" customWidth="1"/>
    <col min="15189" max="15189" width="7" style="595" bestFit="1" customWidth="1"/>
    <col min="15190" max="15190" width="6.42578125" style="595" bestFit="1" customWidth="1"/>
    <col min="15191" max="15191" width="7.7109375" style="595" customWidth="1"/>
    <col min="15192" max="15196" width="7.28515625" style="595" customWidth="1"/>
    <col min="15197" max="15197" width="7" style="595" customWidth="1"/>
    <col min="15198" max="15199" width="5.140625" style="595" bestFit="1" customWidth="1"/>
    <col min="15200" max="15200" width="20.5703125" style="595" customWidth="1"/>
    <col min="15201" max="15201" width="8.85546875" style="595" customWidth="1"/>
    <col min="15202" max="15202" width="18.7109375" style="595" customWidth="1"/>
    <col min="15203" max="15203" width="9.7109375" style="595" customWidth="1"/>
    <col min="15204" max="15204" width="8.85546875" style="595" customWidth="1"/>
    <col min="15205" max="15205" width="10.7109375" style="595" customWidth="1"/>
    <col min="15206" max="15206" width="35.85546875" style="595" customWidth="1"/>
    <col min="15207" max="15207" width="18.7109375" style="595" customWidth="1"/>
    <col min="15208" max="15208" width="9.140625" style="595"/>
    <col min="15209" max="15209" width="9.28515625" style="595" bestFit="1" customWidth="1"/>
    <col min="15210" max="15210" width="9.140625" style="595"/>
    <col min="15211" max="15211" width="9" style="595" customWidth="1"/>
    <col min="15212" max="15212" width="9.5703125" style="595" customWidth="1"/>
    <col min="15213" max="15213" width="11.28515625" style="595" customWidth="1"/>
    <col min="15214" max="15214" width="9.140625" style="595"/>
    <col min="15215" max="15215" width="12.7109375" style="595" customWidth="1"/>
    <col min="15216" max="15216" width="9.140625" style="595"/>
    <col min="15217" max="15217" width="20.5703125" style="595" customWidth="1"/>
    <col min="15218" max="15218" width="15.7109375" style="595" customWidth="1"/>
    <col min="15219" max="15219" width="20.7109375" style="595" customWidth="1"/>
    <col min="15220" max="15220" width="18.28515625" style="595" customWidth="1"/>
    <col min="15221" max="15223" width="9.140625" style="595"/>
    <col min="15224" max="15224" width="13.5703125" style="595" customWidth="1"/>
    <col min="15225" max="15225" width="14.7109375" style="595" customWidth="1"/>
    <col min="15226" max="15226" width="7.28515625" style="595" customWidth="1"/>
    <col min="15227" max="15227" width="17.7109375" style="595" customWidth="1"/>
    <col min="15228" max="15228" width="13.5703125" style="595" customWidth="1"/>
    <col min="15229" max="15229" width="15.5703125" style="595" customWidth="1"/>
    <col min="15230" max="15230" width="16.28515625" style="595" customWidth="1"/>
    <col min="15231" max="15231" width="15.140625" style="595" customWidth="1"/>
    <col min="15232" max="15232" width="9.140625" style="595"/>
    <col min="15233" max="15233" width="14.140625" style="595" customWidth="1"/>
    <col min="15234" max="15234" width="6.5703125" style="595" customWidth="1"/>
    <col min="15235" max="15235" width="14.5703125" style="595" customWidth="1"/>
    <col min="15236" max="15236" width="6.42578125" style="595" customWidth="1"/>
    <col min="15237" max="15237" width="12.85546875" style="595" customWidth="1"/>
    <col min="15238" max="15238" width="7.85546875" style="595" customWidth="1"/>
    <col min="15239" max="15239" width="10.7109375" style="595" customWidth="1"/>
    <col min="15240" max="15240" width="7.140625" style="595" customWidth="1"/>
    <col min="15241" max="15241" width="11.85546875" style="595" customWidth="1"/>
    <col min="15242" max="15242" width="7.42578125" style="595" customWidth="1"/>
    <col min="15243" max="15243" width="12.140625" style="595" customWidth="1"/>
    <col min="15244" max="15244" width="8.42578125" style="595" customWidth="1"/>
    <col min="15245" max="15245" width="11.85546875" style="595" customWidth="1"/>
    <col min="15246" max="15246" width="6.85546875" style="595" customWidth="1"/>
    <col min="15247" max="15247" width="11.42578125" style="595" customWidth="1"/>
    <col min="15248" max="15248" width="9" style="595" customWidth="1"/>
    <col min="15249" max="15249" width="12.42578125" style="595" customWidth="1"/>
    <col min="15250" max="15250" width="5.85546875" style="595" customWidth="1"/>
    <col min="15251" max="15251" width="13.28515625" style="595" customWidth="1"/>
    <col min="15252" max="15252" width="8.85546875" style="595" customWidth="1"/>
    <col min="15253" max="15253" width="12" style="595" customWidth="1"/>
    <col min="15254" max="15254" width="7.5703125" style="595" customWidth="1"/>
    <col min="15255" max="15255" width="11.28515625" style="595" customWidth="1"/>
    <col min="15256" max="15256" width="6.5703125" style="595" customWidth="1"/>
    <col min="15257" max="15257" width="12.140625" style="595" customWidth="1"/>
    <col min="15258" max="15258" width="7.42578125" style="595" customWidth="1"/>
    <col min="15259" max="15259" width="12.42578125" style="595" customWidth="1"/>
    <col min="15260" max="15260" width="7.5703125" style="595" customWidth="1"/>
    <col min="15261" max="15261" width="11.28515625" style="595" customWidth="1"/>
    <col min="15262" max="15262" width="7.140625" style="595" customWidth="1"/>
    <col min="15263" max="15263" width="10.85546875" style="595" customWidth="1"/>
    <col min="15264" max="15264" width="6.140625" style="595" customWidth="1"/>
    <col min="15265" max="15265" width="10.7109375" style="595" customWidth="1"/>
    <col min="15266" max="15266" width="6.85546875" style="595" customWidth="1"/>
    <col min="15267" max="15267" width="10.7109375" style="595" customWidth="1"/>
    <col min="15268" max="15268" width="7" style="595" customWidth="1"/>
    <col min="15269" max="15269" width="11.85546875" style="595" customWidth="1"/>
    <col min="15270" max="15270" width="7.42578125" style="595" customWidth="1"/>
    <col min="15271" max="15271" width="10.7109375" style="595" customWidth="1"/>
    <col min="15272" max="15272" width="8.42578125" style="595" customWidth="1"/>
    <col min="15273" max="15273" width="11.140625" style="595" customWidth="1"/>
    <col min="15274" max="15274" width="8" style="595" customWidth="1"/>
    <col min="15275" max="15275" width="10.85546875" style="595" customWidth="1"/>
    <col min="15276" max="15276" width="7.5703125" style="595" customWidth="1"/>
    <col min="15277" max="15277" width="14.28515625" style="595" customWidth="1"/>
    <col min="15278" max="15278" width="6.5703125" style="595" customWidth="1"/>
    <col min="15279" max="15279" width="14.140625" style="595" customWidth="1"/>
    <col min="15280" max="15280" width="6.5703125" style="595" customWidth="1"/>
    <col min="15281" max="15281" width="14.28515625" style="595" customWidth="1"/>
    <col min="15282" max="15282" width="7.85546875" style="595" customWidth="1"/>
    <col min="15283" max="15283" width="14.140625" style="595" customWidth="1"/>
    <col min="15284" max="15284" width="6.85546875" style="595" customWidth="1"/>
    <col min="15285" max="15285" width="14.140625" style="595" customWidth="1"/>
    <col min="15286" max="15286" width="6.28515625" style="595" customWidth="1"/>
    <col min="15287" max="15287" width="14.140625" style="595" customWidth="1"/>
    <col min="15288" max="15288" width="5.85546875" style="595" customWidth="1"/>
    <col min="15289" max="15289" width="14.85546875" style="595" customWidth="1"/>
    <col min="15290" max="15290" width="6.85546875" style="595" customWidth="1"/>
    <col min="15291" max="15291" width="14.28515625" style="595" customWidth="1"/>
    <col min="15292" max="15292" width="7.28515625" style="595" customWidth="1"/>
    <col min="15293" max="15293" width="14.28515625" style="595" customWidth="1"/>
    <col min="15294" max="15294" width="6.42578125" style="595" customWidth="1"/>
    <col min="15295" max="15295" width="14" style="595" customWidth="1"/>
    <col min="15296" max="15296" width="7" style="595" customWidth="1"/>
    <col min="15297" max="15297" width="14" style="595" customWidth="1"/>
    <col min="15298" max="15298" width="6.42578125" style="595" customWidth="1"/>
    <col min="15299" max="15299" width="14.140625" style="595" customWidth="1"/>
    <col min="15300" max="15300" width="6.28515625" style="595" customWidth="1"/>
    <col min="15301" max="15301" width="14.140625" style="595" customWidth="1"/>
    <col min="15302" max="15302" width="7" style="595" customWidth="1"/>
    <col min="15303" max="15303" width="14.140625" style="595" customWidth="1"/>
    <col min="15304" max="15304" width="7.42578125" style="595" customWidth="1"/>
    <col min="15305" max="15305" width="14.5703125" style="595" customWidth="1"/>
    <col min="15306" max="15306" width="6.7109375" style="595" customWidth="1"/>
    <col min="15307" max="15307" width="14.140625" style="595" customWidth="1"/>
    <col min="15308" max="15308" width="7" style="595" customWidth="1"/>
    <col min="15309" max="15309" width="14.5703125" style="595" customWidth="1"/>
    <col min="15310" max="15310" width="7.42578125" style="595" customWidth="1"/>
    <col min="15311" max="15311" width="14.5703125" style="595" customWidth="1"/>
    <col min="15312" max="15312" width="6.42578125" style="595" customWidth="1"/>
    <col min="15313" max="15313" width="14.7109375" style="595" customWidth="1"/>
    <col min="15314" max="15314" width="6.85546875" style="595" customWidth="1"/>
    <col min="15315" max="15315" width="14.5703125" style="595" customWidth="1"/>
    <col min="15316" max="15316" width="7.140625" style="595" customWidth="1"/>
    <col min="15317" max="15317" width="14.5703125" style="595" customWidth="1"/>
    <col min="15318" max="15318" width="6.7109375" style="595" customWidth="1"/>
    <col min="15319" max="15319" width="14.140625" style="595" customWidth="1"/>
    <col min="15320" max="15320" width="5.85546875" style="595" customWidth="1"/>
    <col min="15321" max="15321" width="14" style="595" customWidth="1"/>
    <col min="15322" max="15322" width="8.28515625" style="595" customWidth="1"/>
    <col min="15323" max="15323" width="14.7109375" style="595" customWidth="1"/>
    <col min="15324" max="15324" width="7.140625" style="595" customWidth="1"/>
    <col min="15325" max="15325" width="14.7109375" style="595" customWidth="1"/>
    <col min="15326" max="15326" width="7.140625" style="595" customWidth="1"/>
    <col min="15327" max="15327" width="14" style="595" customWidth="1"/>
    <col min="15328" max="15328" width="6.42578125" style="595" customWidth="1"/>
    <col min="15329" max="15329" width="14" style="595" customWidth="1"/>
    <col min="15330" max="15330" width="6.28515625" style="595" customWidth="1"/>
    <col min="15331" max="15331" width="14.42578125" style="595" customWidth="1"/>
    <col min="15332" max="15332" width="6.28515625" style="595" customWidth="1"/>
    <col min="15333" max="15333" width="14.85546875" style="595" customWidth="1"/>
    <col min="15334" max="15334" width="7.28515625" style="595" customWidth="1"/>
    <col min="15335" max="15335" width="14.42578125" style="595" customWidth="1"/>
    <col min="15336" max="15336" width="7.28515625" style="595" customWidth="1"/>
    <col min="15337" max="15337" width="14.7109375" style="595" customWidth="1"/>
    <col min="15338" max="15338" width="6" style="595" customWidth="1"/>
    <col min="15339" max="15339" width="14.5703125" style="595" customWidth="1"/>
    <col min="15340" max="15340" width="6.42578125" style="595" customWidth="1"/>
    <col min="15341" max="15341" width="14.140625" style="595" customWidth="1"/>
    <col min="15342" max="15342" width="7.5703125" style="595" customWidth="1"/>
    <col min="15343" max="15343" width="14.5703125" style="595" customWidth="1"/>
    <col min="15344" max="15344" width="6.7109375" style="595" customWidth="1"/>
    <col min="15345" max="15345" width="15" style="595" customWidth="1"/>
    <col min="15346" max="15346" width="9.140625" style="595"/>
    <col min="15347" max="15347" width="14" style="595" customWidth="1"/>
    <col min="15348" max="15348" width="9.140625" style="595"/>
    <col min="15349" max="15349" width="14" style="595" customWidth="1"/>
    <col min="15350" max="15354" width="9.140625" style="595"/>
    <col min="15355" max="15355" width="41.28515625" style="595" customWidth="1"/>
    <col min="15356" max="15427" width="9.140625" style="595"/>
    <col min="15428" max="15428" width="21.140625" style="595" customWidth="1"/>
    <col min="15429" max="15429" width="7.28515625" style="595" customWidth="1"/>
    <col min="15430" max="15430" width="15" style="595" customWidth="1"/>
    <col min="15431" max="15431" width="23.28515625" style="595" customWidth="1"/>
    <col min="15432" max="15432" width="25.5703125" style="595" customWidth="1"/>
    <col min="15433" max="15433" width="7" style="595" bestFit="1" customWidth="1"/>
    <col min="15434" max="15434" width="6.42578125" style="595" bestFit="1" customWidth="1"/>
    <col min="15435" max="15435" width="7.85546875" style="595" customWidth="1"/>
    <col min="15436" max="15436" width="8.7109375" style="595" customWidth="1"/>
    <col min="15437" max="15437" width="7" style="595" bestFit="1" customWidth="1"/>
    <col min="15438" max="15438" width="6.42578125" style="595" bestFit="1" customWidth="1"/>
    <col min="15439" max="15439" width="6.85546875" style="595" customWidth="1"/>
    <col min="15440" max="15440" width="7.140625" style="595" customWidth="1"/>
    <col min="15441" max="15441" width="7" style="595" bestFit="1" customWidth="1"/>
    <col min="15442" max="15442" width="6.42578125" style="595" bestFit="1" customWidth="1"/>
    <col min="15443" max="15443" width="6" style="595" customWidth="1"/>
    <col min="15444" max="15444" width="9.7109375" style="595" customWidth="1"/>
    <col min="15445" max="15445" width="7" style="595" bestFit="1" customWidth="1"/>
    <col min="15446" max="15446" width="6.42578125" style="595" bestFit="1" customWidth="1"/>
    <col min="15447" max="15447" width="7.7109375" style="595" customWidth="1"/>
    <col min="15448" max="15452" width="7.28515625" style="595" customWidth="1"/>
    <col min="15453" max="15453" width="7" style="595" customWidth="1"/>
    <col min="15454" max="15455" width="5.140625" style="595" bestFit="1" customWidth="1"/>
    <col min="15456" max="15456" width="20.5703125" style="595" customWidth="1"/>
    <col min="15457" max="15457" width="8.85546875" style="595" customWidth="1"/>
    <col min="15458" max="15458" width="18.7109375" style="595" customWidth="1"/>
    <col min="15459" max="15459" width="9.7109375" style="595" customWidth="1"/>
    <col min="15460" max="15460" width="8.85546875" style="595" customWidth="1"/>
    <col min="15461" max="15461" width="10.7109375" style="595" customWidth="1"/>
    <col min="15462" max="15462" width="35.85546875" style="595" customWidth="1"/>
    <col min="15463" max="15463" width="18.7109375" style="595" customWidth="1"/>
    <col min="15464" max="15464" width="9.140625" style="595"/>
    <col min="15465" max="15465" width="9.28515625" style="595" bestFit="1" customWidth="1"/>
    <col min="15466" max="15466" width="9.140625" style="595"/>
    <col min="15467" max="15467" width="9" style="595" customWidth="1"/>
    <col min="15468" max="15468" width="9.5703125" style="595" customWidth="1"/>
    <col min="15469" max="15469" width="11.28515625" style="595" customWidth="1"/>
    <col min="15470" max="15470" width="9.140625" style="595"/>
    <col min="15471" max="15471" width="12.7109375" style="595" customWidth="1"/>
    <col min="15472" max="15472" width="9.140625" style="595"/>
    <col min="15473" max="15473" width="20.5703125" style="595" customWidth="1"/>
    <col min="15474" max="15474" width="15.7109375" style="595" customWidth="1"/>
    <col min="15475" max="15475" width="20.7109375" style="595" customWidth="1"/>
    <col min="15476" max="15476" width="18.28515625" style="595" customWidth="1"/>
    <col min="15477" max="15479" width="9.140625" style="595"/>
    <col min="15480" max="15480" width="13.5703125" style="595" customWidth="1"/>
    <col min="15481" max="15481" width="14.7109375" style="595" customWidth="1"/>
    <col min="15482" max="15482" width="7.28515625" style="595" customWidth="1"/>
    <col min="15483" max="15483" width="17.7109375" style="595" customWidth="1"/>
    <col min="15484" max="15484" width="13.5703125" style="595" customWidth="1"/>
    <col min="15485" max="15485" width="15.5703125" style="595" customWidth="1"/>
    <col min="15486" max="15486" width="16.28515625" style="595" customWidth="1"/>
    <col min="15487" max="15487" width="15.140625" style="595" customWidth="1"/>
    <col min="15488" max="15488" width="9.140625" style="595"/>
    <col min="15489" max="15489" width="14.140625" style="595" customWidth="1"/>
    <col min="15490" max="15490" width="6.5703125" style="595" customWidth="1"/>
    <col min="15491" max="15491" width="14.5703125" style="595" customWidth="1"/>
    <col min="15492" max="15492" width="6.42578125" style="595" customWidth="1"/>
    <col min="15493" max="15493" width="12.85546875" style="595" customWidth="1"/>
    <col min="15494" max="15494" width="7.85546875" style="595" customWidth="1"/>
    <col min="15495" max="15495" width="10.7109375" style="595" customWidth="1"/>
    <col min="15496" max="15496" width="7.140625" style="595" customWidth="1"/>
    <col min="15497" max="15497" width="11.85546875" style="595" customWidth="1"/>
    <col min="15498" max="15498" width="7.42578125" style="595" customWidth="1"/>
    <col min="15499" max="15499" width="12.140625" style="595" customWidth="1"/>
    <col min="15500" max="15500" width="8.42578125" style="595" customWidth="1"/>
    <col min="15501" max="15501" width="11.85546875" style="595" customWidth="1"/>
    <col min="15502" max="15502" width="6.85546875" style="595" customWidth="1"/>
    <col min="15503" max="15503" width="11.42578125" style="595" customWidth="1"/>
    <col min="15504" max="15504" width="9" style="595" customWidth="1"/>
    <col min="15505" max="15505" width="12.42578125" style="595" customWidth="1"/>
    <col min="15506" max="15506" width="5.85546875" style="595" customWidth="1"/>
    <col min="15507" max="15507" width="13.28515625" style="595" customWidth="1"/>
    <col min="15508" max="15508" width="8.85546875" style="595" customWidth="1"/>
    <col min="15509" max="15509" width="12" style="595" customWidth="1"/>
    <col min="15510" max="15510" width="7.5703125" style="595" customWidth="1"/>
    <col min="15511" max="15511" width="11.28515625" style="595" customWidth="1"/>
    <col min="15512" max="15512" width="6.5703125" style="595" customWidth="1"/>
    <col min="15513" max="15513" width="12.140625" style="595" customWidth="1"/>
    <col min="15514" max="15514" width="7.42578125" style="595" customWidth="1"/>
    <col min="15515" max="15515" width="12.42578125" style="595" customWidth="1"/>
    <col min="15516" max="15516" width="7.5703125" style="595" customWidth="1"/>
    <col min="15517" max="15517" width="11.28515625" style="595" customWidth="1"/>
    <col min="15518" max="15518" width="7.140625" style="595" customWidth="1"/>
    <col min="15519" max="15519" width="10.85546875" style="595" customWidth="1"/>
    <col min="15520" max="15520" width="6.140625" style="595" customWidth="1"/>
    <col min="15521" max="15521" width="10.7109375" style="595" customWidth="1"/>
    <col min="15522" max="15522" width="6.85546875" style="595" customWidth="1"/>
    <col min="15523" max="15523" width="10.7109375" style="595" customWidth="1"/>
    <col min="15524" max="15524" width="7" style="595" customWidth="1"/>
    <col min="15525" max="15525" width="11.85546875" style="595" customWidth="1"/>
    <col min="15526" max="15526" width="7.42578125" style="595" customWidth="1"/>
    <col min="15527" max="15527" width="10.7109375" style="595" customWidth="1"/>
    <col min="15528" max="15528" width="8.42578125" style="595" customWidth="1"/>
    <col min="15529" max="15529" width="11.140625" style="595" customWidth="1"/>
    <col min="15530" max="15530" width="8" style="595" customWidth="1"/>
    <col min="15531" max="15531" width="10.85546875" style="595" customWidth="1"/>
    <col min="15532" max="15532" width="7.5703125" style="595" customWidth="1"/>
    <col min="15533" max="15533" width="14.28515625" style="595" customWidth="1"/>
    <col min="15534" max="15534" width="6.5703125" style="595" customWidth="1"/>
    <col min="15535" max="15535" width="14.140625" style="595" customWidth="1"/>
    <col min="15536" max="15536" width="6.5703125" style="595" customWidth="1"/>
    <col min="15537" max="15537" width="14.28515625" style="595" customWidth="1"/>
    <col min="15538" max="15538" width="7.85546875" style="595" customWidth="1"/>
    <col min="15539" max="15539" width="14.140625" style="595" customWidth="1"/>
    <col min="15540" max="15540" width="6.85546875" style="595" customWidth="1"/>
    <col min="15541" max="15541" width="14.140625" style="595" customWidth="1"/>
    <col min="15542" max="15542" width="6.28515625" style="595" customWidth="1"/>
    <col min="15543" max="15543" width="14.140625" style="595" customWidth="1"/>
    <col min="15544" max="15544" width="5.85546875" style="595" customWidth="1"/>
    <col min="15545" max="15545" width="14.85546875" style="595" customWidth="1"/>
    <col min="15546" max="15546" width="6.85546875" style="595" customWidth="1"/>
    <col min="15547" max="15547" width="14.28515625" style="595" customWidth="1"/>
    <col min="15548" max="15548" width="7.28515625" style="595" customWidth="1"/>
    <col min="15549" max="15549" width="14.28515625" style="595" customWidth="1"/>
    <col min="15550" max="15550" width="6.42578125" style="595" customWidth="1"/>
    <col min="15551" max="15551" width="14" style="595" customWidth="1"/>
    <col min="15552" max="15552" width="7" style="595" customWidth="1"/>
    <col min="15553" max="15553" width="14" style="595" customWidth="1"/>
    <col min="15554" max="15554" width="6.42578125" style="595" customWidth="1"/>
    <col min="15555" max="15555" width="14.140625" style="595" customWidth="1"/>
    <col min="15556" max="15556" width="6.28515625" style="595" customWidth="1"/>
    <col min="15557" max="15557" width="14.140625" style="595" customWidth="1"/>
    <col min="15558" max="15558" width="7" style="595" customWidth="1"/>
    <col min="15559" max="15559" width="14.140625" style="595" customWidth="1"/>
    <col min="15560" max="15560" width="7.42578125" style="595" customWidth="1"/>
    <col min="15561" max="15561" width="14.5703125" style="595" customWidth="1"/>
    <col min="15562" max="15562" width="6.7109375" style="595" customWidth="1"/>
    <col min="15563" max="15563" width="14.140625" style="595" customWidth="1"/>
    <col min="15564" max="15564" width="7" style="595" customWidth="1"/>
    <col min="15565" max="15565" width="14.5703125" style="595" customWidth="1"/>
    <col min="15566" max="15566" width="7.42578125" style="595" customWidth="1"/>
    <col min="15567" max="15567" width="14.5703125" style="595" customWidth="1"/>
    <col min="15568" max="15568" width="6.42578125" style="595" customWidth="1"/>
    <col min="15569" max="15569" width="14.7109375" style="595" customWidth="1"/>
    <col min="15570" max="15570" width="6.85546875" style="595" customWidth="1"/>
    <col min="15571" max="15571" width="14.5703125" style="595" customWidth="1"/>
    <col min="15572" max="15572" width="7.140625" style="595" customWidth="1"/>
    <col min="15573" max="15573" width="14.5703125" style="595" customWidth="1"/>
    <col min="15574" max="15574" width="6.7109375" style="595" customWidth="1"/>
    <col min="15575" max="15575" width="14.140625" style="595" customWidth="1"/>
    <col min="15576" max="15576" width="5.85546875" style="595" customWidth="1"/>
    <col min="15577" max="15577" width="14" style="595" customWidth="1"/>
    <col min="15578" max="15578" width="8.28515625" style="595" customWidth="1"/>
    <col min="15579" max="15579" width="14.7109375" style="595" customWidth="1"/>
    <col min="15580" max="15580" width="7.140625" style="595" customWidth="1"/>
    <col min="15581" max="15581" width="14.7109375" style="595" customWidth="1"/>
    <col min="15582" max="15582" width="7.140625" style="595" customWidth="1"/>
    <col min="15583" max="15583" width="14" style="595" customWidth="1"/>
    <col min="15584" max="15584" width="6.42578125" style="595" customWidth="1"/>
    <col min="15585" max="15585" width="14" style="595" customWidth="1"/>
    <col min="15586" max="15586" width="6.28515625" style="595" customWidth="1"/>
    <col min="15587" max="15587" width="14.42578125" style="595" customWidth="1"/>
    <col min="15588" max="15588" width="6.28515625" style="595" customWidth="1"/>
    <col min="15589" max="15589" width="14.85546875" style="595" customWidth="1"/>
    <col min="15590" max="15590" width="7.28515625" style="595" customWidth="1"/>
    <col min="15591" max="15591" width="14.42578125" style="595" customWidth="1"/>
    <col min="15592" max="15592" width="7.28515625" style="595" customWidth="1"/>
    <col min="15593" max="15593" width="14.7109375" style="595" customWidth="1"/>
    <col min="15594" max="15594" width="6" style="595" customWidth="1"/>
    <col min="15595" max="15595" width="14.5703125" style="595" customWidth="1"/>
    <col min="15596" max="15596" width="6.42578125" style="595" customWidth="1"/>
    <col min="15597" max="15597" width="14.140625" style="595" customWidth="1"/>
    <col min="15598" max="15598" width="7.5703125" style="595" customWidth="1"/>
    <col min="15599" max="15599" width="14.5703125" style="595" customWidth="1"/>
    <col min="15600" max="15600" width="6.7109375" style="595" customWidth="1"/>
    <col min="15601" max="15601" width="15" style="595" customWidth="1"/>
    <col min="15602" max="15602" width="9.140625" style="595"/>
    <col min="15603" max="15603" width="14" style="595" customWidth="1"/>
    <col min="15604" max="15604" width="9.140625" style="595"/>
    <col min="15605" max="15605" width="14" style="595" customWidth="1"/>
    <col min="15606" max="15610" width="9.140625" style="595"/>
    <col min="15611" max="15611" width="41.28515625" style="595" customWidth="1"/>
    <col min="15612" max="15683" width="9.140625" style="595"/>
    <col min="15684" max="15684" width="21.140625" style="595" customWidth="1"/>
    <col min="15685" max="15685" width="7.28515625" style="595" customWidth="1"/>
    <col min="15686" max="15686" width="15" style="595" customWidth="1"/>
    <col min="15687" max="15687" width="23.28515625" style="595" customWidth="1"/>
    <col min="15688" max="15688" width="25.5703125" style="595" customWidth="1"/>
    <col min="15689" max="15689" width="7" style="595" bestFit="1" customWidth="1"/>
    <col min="15690" max="15690" width="6.42578125" style="595" bestFit="1" customWidth="1"/>
    <col min="15691" max="15691" width="7.85546875" style="595" customWidth="1"/>
    <col min="15692" max="15692" width="8.7109375" style="595" customWidth="1"/>
    <col min="15693" max="15693" width="7" style="595" bestFit="1" customWidth="1"/>
    <col min="15694" max="15694" width="6.42578125" style="595" bestFit="1" customWidth="1"/>
    <col min="15695" max="15695" width="6.85546875" style="595" customWidth="1"/>
    <col min="15696" max="15696" width="7.140625" style="595" customWidth="1"/>
    <col min="15697" max="15697" width="7" style="595" bestFit="1" customWidth="1"/>
    <col min="15698" max="15698" width="6.42578125" style="595" bestFit="1" customWidth="1"/>
    <col min="15699" max="15699" width="6" style="595" customWidth="1"/>
    <col min="15700" max="15700" width="9.7109375" style="595" customWidth="1"/>
    <col min="15701" max="15701" width="7" style="595" bestFit="1" customWidth="1"/>
    <col min="15702" max="15702" width="6.42578125" style="595" bestFit="1" customWidth="1"/>
    <col min="15703" max="15703" width="7.7109375" style="595" customWidth="1"/>
    <col min="15704" max="15708" width="7.28515625" style="595" customWidth="1"/>
    <col min="15709" max="15709" width="7" style="595" customWidth="1"/>
    <col min="15710" max="15711" width="5.140625" style="595" bestFit="1" customWidth="1"/>
    <col min="15712" max="15712" width="20.5703125" style="595" customWidth="1"/>
    <col min="15713" max="15713" width="8.85546875" style="595" customWidth="1"/>
    <col min="15714" max="15714" width="18.7109375" style="595" customWidth="1"/>
    <col min="15715" max="15715" width="9.7109375" style="595" customWidth="1"/>
    <col min="15716" max="15716" width="8.85546875" style="595" customWidth="1"/>
    <col min="15717" max="15717" width="10.7109375" style="595" customWidth="1"/>
    <col min="15718" max="15718" width="35.85546875" style="595" customWidth="1"/>
    <col min="15719" max="15719" width="18.7109375" style="595" customWidth="1"/>
    <col min="15720" max="15720" width="9.140625" style="595"/>
    <col min="15721" max="15721" width="9.28515625" style="595" bestFit="1" customWidth="1"/>
    <col min="15722" max="15722" width="9.140625" style="595"/>
    <col min="15723" max="15723" width="9" style="595" customWidth="1"/>
    <col min="15724" max="15724" width="9.5703125" style="595" customWidth="1"/>
    <col min="15725" max="15725" width="11.28515625" style="595" customWidth="1"/>
    <col min="15726" max="15726" width="9.140625" style="595"/>
    <col min="15727" max="15727" width="12.7109375" style="595" customWidth="1"/>
    <col min="15728" max="15728" width="9.140625" style="595"/>
    <col min="15729" max="15729" width="20.5703125" style="595" customWidth="1"/>
    <col min="15730" max="15730" width="15.7109375" style="595" customWidth="1"/>
    <col min="15731" max="15731" width="20.7109375" style="595" customWidth="1"/>
    <col min="15732" max="15732" width="18.28515625" style="595" customWidth="1"/>
    <col min="15733" max="15735" width="9.140625" style="595"/>
    <col min="15736" max="15736" width="13.5703125" style="595" customWidth="1"/>
    <col min="15737" max="15737" width="14.7109375" style="595" customWidth="1"/>
    <col min="15738" max="15738" width="7.28515625" style="595" customWidth="1"/>
    <col min="15739" max="15739" width="17.7109375" style="595" customWidth="1"/>
    <col min="15740" max="15740" width="13.5703125" style="595" customWidth="1"/>
    <col min="15741" max="15741" width="15.5703125" style="595" customWidth="1"/>
    <col min="15742" max="15742" width="16.28515625" style="595" customWidth="1"/>
    <col min="15743" max="15743" width="15.140625" style="595" customWidth="1"/>
    <col min="15744" max="15744" width="9.140625" style="595"/>
    <col min="15745" max="15745" width="14.140625" style="595" customWidth="1"/>
    <col min="15746" max="15746" width="6.5703125" style="595" customWidth="1"/>
    <col min="15747" max="15747" width="14.5703125" style="595" customWidth="1"/>
    <col min="15748" max="15748" width="6.42578125" style="595" customWidth="1"/>
    <col min="15749" max="15749" width="12.85546875" style="595" customWidth="1"/>
    <col min="15750" max="15750" width="7.85546875" style="595" customWidth="1"/>
    <col min="15751" max="15751" width="10.7109375" style="595" customWidth="1"/>
    <col min="15752" max="15752" width="7.140625" style="595" customWidth="1"/>
    <col min="15753" max="15753" width="11.85546875" style="595" customWidth="1"/>
    <col min="15754" max="15754" width="7.42578125" style="595" customWidth="1"/>
    <col min="15755" max="15755" width="12.140625" style="595" customWidth="1"/>
    <col min="15756" max="15756" width="8.42578125" style="595" customWidth="1"/>
    <col min="15757" max="15757" width="11.85546875" style="595" customWidth="1"/>
    <col min="15758" max="15758" width="6.85546875" style="595" customWidth="1"/>
    <col min="15759" max="15759" width="11.42578125" style="595" customWidth="1"/>
    <col min="15760" max="15760" width="9" style="595" customWidth="1"/>
    <col min="15761" max="15761" width="12.42578125" style="595" customWidth="1"/>
    <col min="15762" max="15762" width="5.85546875" style="595" customWidth="1"/>
    <col min="15763" max="15763" width="13.28515625" style="595" customWidth="1"/>
    <col min="15764" max="15764" width="8.85546875" style="595" customWidth="1"/>
    <col min="15765" max="15765" width="12" style="595" customWidth="1"/>
    <col min="15766" max="15766" width="7.5703125" style="595" customWidth="1"/>
    <col min="15767" max="15767" width="11.28515625" style="595" customWidth="1"/>
    <col min="15768" max="15768" width="6.5703125" style="595" customWidth="1"/>
    <col min="15769" max="15769" width="12.140625" style="595" customWidth="1"/>
    <col min="15770" max="15770" width="7.42578125" style="595" customWidth="1"/>
    <col min="15771" max="15771" width="12.42578125" style="595" customWidth="1"/>
    <col min="15772" max="15772" width="7.5703125" style="595" customWidth="1"/>
    <col min="15773" max="15773" width="11.28515625" style="595" customWidth="1"/>
    <col min="15774" max="15774" width="7.140625" style="595" customWidth="1"/>
    <col min="15775" max="15775" width="10.85546875" style="595" customWidth="1"/>
    <col min="15776" max="15776" width="6.140625" style="595" customWidth="1"/>
    <col min="15777" max="15777" width="10.7109375" style="595" customWidth="1"/>
    <col min="15778" max="15778" width="6.85546875" style="595" customWidth="1"/>
    <col min="15779" max="15779" width="10.7109375" style="595" customWidth="1"/>
    <col min="15780" max="15780" width="7" style="595" customWidth="1"/>
    <col min="15781" max="15781" width="11.85546875" style="595" customWidth="1"/>
    <col min="15782" max="15782" width="7.42578125" style="595" customWidth="1"/>
    <col min="15783" max="15783" width="10.7109375" style="595" customWidth="1"/>
    <col min="15784" max="15784" width="8.42578125" style="595" customWidth="1"/>
    <col min="15785" max="15785" width="11.140625" style="595" customWidth="1"/>
    <col min="15786" max="15786" width="8" style="595" customWidth="1"/>
    <col min="15787" max="15787" width="10.85546875" style="595" customWidth="1"/>
    <col min="15788" max="15788" width="7.5703125" style="595" customWidth="1"/>
    <col min="15789" max="15789" width="14.28515625" style="595" customWidth="1"/>
    <col min="15790" max="15790" width="6.5703125" style="595" customWidth="1"/>
    <col min="15791" max="15791" width="14.140625" style="595" customWidth="1"/>
    <col min="15792" max="15792" width="6.5703125" style="595" customWidth="1"/>
    <col min="15793" max="15793" width="14.28515625" style="595" customWidth="1"/>
    <col min="15794" max="15794" width="7.85546875" style="595" customWidth="1"/>
    <col min="15795" max="15795" width="14.140625" style="595" customWidth="1"/>
    <col min="15796" max="15796" width="6.85546875" style="595" customWidth="1"/>
    <col min="15797" max="15797" width="14.140625" style="595" customWidth="1"/>
    <col min="15798" max="15798" width="6.28515625" style="595" customWidth="1"/>
    <col min="15799" max="15799" width="14.140625" style="595" customWidth="1"/>
    <col min="15800" max="15800" width="5.85546875" style="595" customWidth="1"/>
    <col min="15801" max="15801" width="14.85546875" style="595" customWidth="1"/>
    <col min="15802" max="15802" width="6.85546875" style="595" customWidth="1"/>
    <col min="15803" max="15803" width="14.28515625" style="595" customWidth="1"/>
    <col min="15804" max="15804" width="7.28515625" style="595" customWidth="1"/>
    <col min="15805" max="15805" width="14.28515625" style="595" customWidth="1"/>
    <col min="15806" max="15806" width="6.42578125" style="595" customWidth="1"/>
    <col min="15807" max="15807" width="14" style="595" customWidth="1"/>
    <col min="15808" max="15808" width="7" style="595" customWidth="1"/>
    <col min="15809" max="15809" width="14" style="595" customWidth="1"/>
    <col min="15810" max="15810" width="6.42578125" style="595" customWidth="1"/>
    <col min="15811" max="15811" width="14.140625" style="595" customWidth="1"/>
    <col min="15812" max="15812" width="6.28515625" style="595" customWidth="1"/>
    <col min="15813" max="15813" width="14.140625" style="595" customWidth="1"/>
    <col min="15814" max="15814" width="7" style="595" customWidth="1"/>
    <col min="15815" max="15815" width="14.140625" style="595" customWidth="1"/>
    <col min="15816" max="15816" width="7.42578125" style="595" customWidth="1"/>
    <col min="15817" max="15817" width="14.5703125" style="595" customWidth="1"/>
    <col min="15818" max="15818" width="6.7109375" style="595" customWidth="1"/>
    <col min="15819" max="15819" width="14.140625" style="595" customWidth="1"/>
    <col min="15820" max="15820" width="7" style="595" customWidth="1"/>
    <col min="15821" max="15821" width="14.5703125" style="595" customWidth="1"/>
    <col min="15822" max="15822" width="7.42578125" style="595" customWidth="1"/>
    <col min="15823" max="15823" width="14.5703125" style="595" customWidth="1"/>
    <col min="15824" max="15824" width="6.42578125" style="595" customWidth="1"/>
    <col min="15825" max="15825" width="14.7109375" style="595" customWidth="1"/>
    <col min="15826" max="15826" width="6.85546875" style="595" customWidth="1"/>
    <col min="15827" max="15827" width="14.5703125" style="595" customWidth="1"/>
    <col min="15828" max="15828" width="7.140625" style="595" customWidth="1"/>
    <col min="15829" max="15829" width="14.5703125" style="595" customWidth="1"/>
    <col min="15830" max="15830" width="6.7109375" style="595" customWidth="1"/>
    <col min="15831" max="15831" width="14.140625" style="595" customWidth="1"/>
    <col min="15832" max="15832" width="5.85546875" style="595" customWidth="1"/>
    <col min="15833" max="15833" width="14" style="595" customWidth="1"/>
    <col min="15834" max="15834" width="8.28515625" style="595" customWidth="1"/>
    <col min="15835" max="15835" width="14.7109375" style="595" customWidth="1"/>
    <col min="15836" max="15836" width="7.140625" style="595" customWidth="1"/>
    <col min="15837" max="15837" width="14.7109375" style="595" customWidth="1"/>
    <col min="15838" max="15838" width="7.140625" style="595" customWidth="1"/>
    <col min="15839" max="15839" width="14" style="595" customWidth="1"/>
    <col min="15840" max="15840" width="6.42578125" style="595" customWidth="1"/>
    <col min="15841" max="15841" width="14" style="595" customWidth="1"/>
    <col min="15842" max="15842" width="6.28515625" style="595" customWidth="1"/>
    <col min="15843" max="15843" width="14.42578125" style="595" customWidth="1"/>
    <col min="15844" max="15844" width="6.28515625" style="595" customWidth="1"/>
    <col min="15845" max="15845" width="14.85546875" style="595" customWidth="1"/>
    <col min="15846" max="15846" width="7.28515625" style="595" customWidth="1"/>
    <col min="15847" max="15847" width="14.42578125" style="595" customWidth="1"/>
    <col min="15848" max="15848" width="7.28515625" style="595" customWidth="1"/>
    <col min="15849" max="15849" width="14.7109375" style="595" customWidth="1"/>
    <col min="15850" max="15850" width="6" style="595" customWidth="1"/>
    <col min="15851" max="15851" width="14.5703125" style="595" customWidth="1"/>
    <col min="15852" max="15852" width="6.42578125" style="595" customWidth="1"/>
    <col min="15853" max="15853" width="14.140625" style="595" customWidth="1"/>
    <col min="15854" max="15854" width="7.5703125" style="595" customWidth="1"/>
    <col min="15855" max="15855" width="14.5703125" style="595" customWidth="1"/>
    <col min="15856" max="15856" width="6.7109375" style="595" customWidth="1"/>
    <col min="15857" max="15857" width="15" style="595" customWidth="1"/>
    <col min="15858" max="15858" width="9.140625" style="595"/>
    <col min="15859" max="15859" width="14" style="595" customWidth="1"/>
    <col min="15860" max="15860" width="9.140625" style="595"/>
    <col min="15861" max="15861" width="14" style="595" customWidth="1"/>
    <col min="15862" max="15866" width="9.140625" style="595"/>
    <col min="15867" max="15867" width="41.28515625" style="595" customWidth="1"/>
    <col min="15868" max="15939" width="9.140625" style="595"/>
    <col min="15940" max="15940" width="21.140625" style="595" customWidth="1"/>
    <col min="15941" max="15941" width="7.28515625" style="595" customWidth="1"/>
    <col min="15942" max="15942" width="15" style="595" customWidth="1"/>
    <col min="15943" max="15943" width="23.28515625" style="595" customWidth="1"/>
    <col min="15944" max="15944" width="25.5703125" style="595" customWidth="1"/>
    <col min="15945" max="15945" width="7" style="595" bestFit="1" customWidth="1"/>
    <col min="15946" max="15946" width="6.42578125" style="595" bestFit="1" customWidth="1"/>
    <col min="15947" max="15947" width="7.85546875" style="595" customWidth="1"/>
    <col min="15948" max="15948" width="8.7109375" style="595" customWidth="1"/>
    <col min="15949" max="15949" width="7" style="595" bestFit="1" customWidth="1"/>
    <col min="15950" max="15950" width="6.42578125" style="595" bestFit="1" customWidth="1"/>
    <col min="15951" max="15951" width="6.85546875" style="595" customWidth="1"/>
    <col min="15952" max="15952" width="7.140625" style="595" customWidth="1"/>
    <col min="15953" max="15953" width="7" style="595" bestFit="1" customWidth="1"/>
    <col min="15954" max="15954" width="6.42578125" style="595" bestFit="1" customWidth="1"/>
    <col min="15955" max="15955" width="6" style="595" customWidth="1"/>
    <col min="15956" max="15956" width="9.7109375" style="595" customWidth="1"/>
    <col min="15957" max="15957" width="7" style="595" bestFit="1" customWidth="1"/>
    <col min="15958" max="15958" width="6.42578125" style="595" bestFit="1" customWidth="1"/>
    <col min="15959" max="15959" width="7.7109375" style="595" customWidth="1"/>
    <col min="15960" max="15964" width="7.28515625" style="595" customWidth="1"/>
    <col min="15965" max="15965" width="7" style="595" customWidth="1"/>
    <col min="15966" max="15967" width="5.140625" style="595" bestFit="1" customWidth="1"/>
    <col min="15968" max="15968" width="20.5703125" style="595" customWidth="1"/>
    <col min="15969" max="15969" width="8.85546875" style="595" customWidth="1"/>
    <col min="15970" max="15970" width="18.7109375" style="595" customWidth="1"/>
    <col min="15971" max="15971" width="9.7109375" style="595" customWidth="1"/>
    <col min="15972" max="15972" width="8.85546875" style="595" customWidth="1"/>
    <col min="15973" max="15973" width="10.7109375" style="595" customWidth="1"/>
    <col min="15974" max="15974" width="35.85546875" style="595" customWidth="1"/>
    <col min="15975" max="15975" width="18.7109375" style="595" customWidth="1"/>
    <col min="15976" max="15976" width="9.140625" style="595"/>
    <col min="15977" max="15977" width="9.28515625" style="595" bestFit="1" customWidth="1"/>
    <col min="15978" max="15978" width="9.140625" style="595"/>
    <col min="15979" max="15979" width="9" style="595" customWidth="1"/>
    <col min="15980" max="15980" width="9.5703125" style="595" customWidth="1"/>
    <col min="15981" max="15981" width="11.28515625" style="595" customWidth="1"/>
    <col min="15982" max="15982" width="9.140625" style="595"/>
    <col min="15983" max="15983" width="12.7109375" style="595" customWidth="1"/>
    <col min="15984" max="15984" width="9.140625" style="595"/>
    <col min="15985" max="15985" width="20.5703125" style="595" customWidth="1"/>
    <col min="15986" max="15986" width="15.7109375" style="595" customWidth="1"/>
    <col min="15987" max="15987" width="20.7109375" style="595" customWidth="1"/>
    <col min="15988" max="15988" width="18.28515625" style="595" customWidth="1"/>
    <col min="15989" max="15991" width="9.140625" style="595"/>
    <col min="15992" max="15992" width="13.5703125" style="595" customWidth="1"/>
    <col min="15993" max="15993" width="14.7109375" style="595" customWidth="1"/>
    <col min="15994" max="15994" width="7.28515625" style="595" customWidth="1"/>
    <col min="15995" max="15995" width="17.7109375" style="595" customWidth="1"/>
    <col min="15996" max="15996" width="13.5703125" style="595" customWidth="1"/>
    <col min="15997" max="15997" width="15.5703125" style="595" customWidth="1"/>
    <col min="15998" max="15998" width="16.28515625" style="595" customWidth="1"/>
    <col min="15999" max="15999" width="15.140625" style="595" customWidth="1"/>
    <col min="16000" max="16000" width="9.140625" style="595"/>
    <col min="16001" max="16001" width="14.140625" style="595" customWidth="1"/>
    <col min="16002" max="16002" width="6.5703125" style="595" customWidth="1"/>
    <col min="16003" max="16003" width="14.5703125" style="595" customWidth="1"/>
    <col min="16004" max="16004" width="6.42578125" style="595" customWidth="1"/>
    <col min="16005" max="16005" width="12.85546875" style="595" customWidth="1"/>
    <col min="16006" max="16006" width="7.85546875" style="595" customWidth="1"/>
    <col min="16007" max="16007" width="10.7109375" style="595" customWidth="1"/>
    <col min="16008" max="16008" width="7.140625" style="595" customWidth="1"/>
    <col min="16009" max="16009" width="11.85546875" style="595" customWidth="1"/>
    <col min="16010" max="16010" width="7.42578125" style="595" customWidth="1"/>
    <col min="16011" max="16011" width="12.140625" style="595" customWidth="1"/>
    <col min="16012" max="16012" width="8.42578125" style="595" customWidth="1"/>
    <col min="16013" max="16013" width="11.85546875" style="595" customWidth="1"/>
    <col min="16014" max="16014" width="6.85546875" style="595" customWidth="1"/>
    <col min="16015" max="16015" width="11.42578125" style="595" customWidth="1"/>
    <col min="16016" max="16016" width="9" style="595" customWidth="1"/>
    <col min="16017" max="16017" width="12.42578125" style="595" customWidth="1"/>
    <col min="16018" max="16018" width="5.85546875" style="595" customWidth="1"/>
    <col min="16019" max="16019" width="13.28515625" style="595" customWidth="1"/>
    <col min="16020" max="16020" width="8.85546875" style="595" customWidth="1"/>
    <col min="16021" max="16021" width="12" style="595" customWidth="1"/>
    <col min="16022" max="16022" width="7.5703125" style="595" customWidth="1"/>
    <col min="16023" max="16023" width="11.28515625" style="595" customWidth="1"/>
    <col min="16024" max="16024" width="6.5703125" style="595" customWidth="1"/>
    <col min="16025" max="16025" width="12.140625" style="595" customWidth="1"/>
    <col min="16026" max="16026" width="7.42578125" style="595" customWidth="1"/>
    <col min="16027" max="16027" width="12.42578125" style="595" customWidth="1"/>
    <col min="16028" max="16028" width="7.5703125" style="595" customWidth="1"/>
    <col min="16029" max="16029" width="11.28515625" style="595" customWidth="1"/>
    <col min="16030" max="16030" width="7.140625" style="595" customWidth="1"/>
    <col min="16031" max="16031" width="10.85546875" style="595" customWidth="1"/>
    <col min="16032" max="16032" width="6.140625" style="595" customWidth="1"/>
    <col min="16033" max="16033" width="10.7109375" style="595" customWidth="1"/>
    <col min="16034" max="16034" width="6.85546875" style="595" customWidth="1"/>
    <col min="16035" max="16035" width="10.7109375" style="595" customWidth="1"/>
    <col min="16036" max="16036" width="7" style="595" customWidth="1"/>
    <col min="16037" max="16037" width="11.85546875" style="595" customWidth="1"/>
    <col min="16038" max="16038" width="7.42578125" style="595" customWidth="1"/>
    <col min="16039" max="16039" width="10.7109375" style="595" customWidth="1"/>
    <col min="16040" max="16040" width="8.42578125" style="595" customWidth="1"/>
    <col min="16041" max="16041" width="11.140625" style="595" customWidth="1"/>
    <col min="16042" max="16042" width="8" style="595" customWidth="1"/>
    <col min="16043" max="16043" width="10.85546875" style="595" customWidth="1"/>
    <col min="16044" max="16044" width="7.5703125" style="595" customWidth="1"/>
    <col min="16045" max="16045" width="14.28515625" style="595" customWidth="1"/>
    <col min="16046" max="16046" width="6.5703125" style="595" customWidth="1"/>
    <col min="16047" max="16047" width="14.140625" style="595" customWidth="1"/>
    <col min="16048" max="16048" width="6.5703125" style="595" customWidth="1"/>
    <col min="16049" max="16049" width="14.28515625" style="595" customWidth="1"/>
    <col min="16050" max="16050" width="7.85546875" style="595" customWidth="1"/>
    <col min="16051" max="16051" width="14.140625" style="595" customWidth="1"/>
    <col min="16052" max="16052" width="6.85546875" style="595" customWidth="1"/>
    <col min="16053" max="16053" width="14.140625" style="595" customWidth="1"/>
    <col min="16054" max="16054" width="6.28515625" style="595" customWidth="1"/>
    <col min="16055" max="16055" width="14.140625" style="595" customWidth="1"/>
    <col min="16056" max="16056" width="5.85546875" style="595" customWidth="1"/>
    <col min="16057" max="16057" width="14.85546875" style="595" customWidth="1"/>
    <col min="16058" max="16058" width="6.85546875" style="595" customWidth="1"/>
    <col min="16059" max="16059" width="14.28515625" style="595" customWidth="1"/>
    <col min="16060" max="16060" width="7.28515625" style="595" customWidth="1"/>
    <col min="16061" max="16061" width="14.28515625" style="595" customWidth="1"/>
    <col min="16062" max="16062" width="6.42578125" style="595" customWidth="1"/>
    <col min="16063" max="16063" width="14" style="595" customWidth="1"/>
    <col min="16064" max="16064" width="7" style="595" customWidth="1"/>
    <col min="16065" max="16065" width="14" style="595" customWidth="1"/>
    <col min="16066" max="16384" width="6.42578125" style="595" customWidth="1"/>
  </cols>
  <sheetData>
    <row r="1" spans="1:4" ht="20.25" customHeight="1" x14ac:dyDescent="0.25">
      <c r="A1" s="1164" t="s">
        <v>2273</v>
      </c>
      <c r="B1" s="1165"/>
      <c r="C1" s="1166"/>
      <c r="D1" s="1165"/>
    </row>
    <row r="2" spans="1:4" ht="15" customHeight="1" thickBot="1" x14ac:dyDescent="0.3">
      <c r="B2" s="597"/>
      <c r="C2" s="598"/>
    </row>
    <row r="3" spans="1:4" ht="53.25" customHeight="1" thickBot="1" x14ac:dyDescent="0.3">
      <c r="A3" s="599" t="s">
        <v>622</v>
      </c>
      <c r="B3" s="600" t="s">
        <v>623</v>
      </c>
      <c r="C3" s="600" t="s">
        <v>624</v>
      </c>
      <c r="D3" s="601" t="s">
        <v>2327</v>
      </c>
    </row>
    <row r="4" spans="1:4" x14ac:dyDescent="0.25">
      <c r="A4" s="1151" t="s">
        <v>625</v>
      </c>
      <c r="B4" s="602">
        <v>5905</v>
      </c>
      <c r="C4" s="603" t="s">
        <v>626</v>
      </c>
      <c r="D4" s="604">
        <v>1</v>
      </c>
    </row>
    <row r="5" spans="1:4" ht="18.75" customHeight="1" thickBot="1" x14ac:dyDescent="0.3">
      <c r="A5" s="1153"/>
      <c r="B5" s="605">
        <v>5904</v>
      </c>
      <c r="C5" s="606" t="s">
        <v>627</v>
      </c>
      <c r="D5" s="607">
        <v>1</v>
      </c>
    </row>
    <row r="6" spans="1:4" ht="26.25" thickBot="1" x14ac:dyDescent="0.3">
      <c r="A6" s="608" t="s">
        <v>628</v>
      </c>
      <c r="B6" s="609">
        <v>5906</v>
      </c>
      <c r="C6" s="610" t="s">
        <v>629</v>
      </c>
      <c r="D6" s="611">
        <v>1</v>
      </c>
    </row>
    <row r="7" spans="1:4" x14ac:dyDescent="0.25">
      <c r="A7" s="1151" t="s">
        <v>630</v>
      </c>
      <c r="B7" s="602">
        <v>314</v>
      </c>
      <c r="C7" s="603" t="s">
        <v>631</v>
      </c>
      <c r="D7" s="604">
        <v>1</v>
      </c>
    </row>
    <row r="8" spans="1:4" x14ac:dyDescent="0.25">
      <c r="A8" s="1152"/>
      <c r="B8" s="612">
        <v>328</v>
      </c>
      <c r="C8" s="613" t="s">
        <v>1667</v>
      </c>
      <c r="D8" s="614">
        <v>1</v>
      </c>
    </row>
    <row r="9" spans="1:4" x14ac:dyDescent="0.25">
      <c r="A9" s="1152"/>
      <c r="B9" s="612">
        <v>305</v>
      </c>
      <c r="C9" s="613" t="s">
        <v>632</v>
      </c>
      <c r="D9" s="614">
        <v>1</v>
      </c>
    </row>
    <row r="10" spans="1:4" x14ac:dyDescent="0.25">
      <c r="A10" s="1152"/>
      <c r="B10" s="612">
        <v>319</v>
      </c>
      <c r="C10" s="613" t="s">
        <v>2274</v>
      </c>
      <c r="D10" s="614">
        <v>1</v>
      </c>
    </row>
    <row r="11" spans="1:4" x14ac:dyDescent="0.25">
      <c r="A11" s="1152"/>
      <c r="B11" s="612">
        <v>332</v>
      </c>
      <c r="C11" s="613" t="s">
        <v>633</v>
      </c>
      <c r="D11" s="614">
        <v>1</v>
      </c>
    </row>
    <row r="12" spans="1:4" x14ac:dyDescent="0.25">
      <c r="A12" s="1152"/>
      <c r="B12" s="612">
        <v>329</v>
      </c>
      <c r="C12" s="613" t="s">
        <v>634</v>
      </c>
      <c r="D12" s="614">
        <v>1</v>
      </c>
    </row>
    <row r="13" spans="1:4" x14ac:dyDescent="0.25">
      <c r="A13" s="1152"/>
      <c r="B13" s="612">
        <v>324</v>
      </c>
      <c r="C13" s="613" t="s">
        <v>635</v>
      </c>
      <c r="D13" s="614">
        <v>1</v>
      </c>
    </row>
    <row r="14" spans="1:4" x14ac:dyDescent="0.25">
      <c r="A14" s="1152"/>
      <c r="B14" s="612">
        <v>335</v>
      </c>
      <c r="C14" s="613" t="s">
        <v>2275</v>
      </c>
      <c r="D14" s="614">
        <v>1</v>
      </c>
    </row>
    <row r="15" spans="1:4" x14ac:dyDescent="0.25">
      <c r="A15" s="1152"/>
      <c r="B15" s="612">
        <v>325</v>
      </c>
      <c r="C15" s="613" t="s">
        <v>636</v>
      </c>
      <c r="D15" s="614">
        <v>1</v>
      </c>
    </row>
    <row r="16" spans="1:4" x14ac:dyDescent="0.25">
      <c r="A16" s="1152"/>
      <c r="B16" s="612">
        <v>316</v>
      </c>
      <c r="C16" s="613" t="s">
        <v>637</v>
      </c>
      <c r="D16" s="614">
        <v>1</v>
      </c>
    </row>
    <row r="17" spans="1:4" x14ac:dyDescent="0.25">
      <c r="A17" s="1152"/>
      <c r="B17" s="612">
        <v>326</v>
      </c>
      <c r="C17" s="613" t="s">
        <v>638</v>
      </c>
      <c r="D17" s="614">
        <v>1</v>
      </c>
    </row>
    <row r="18" spans="1:4" x14ac:dyDescent="0.25">
      <c r="A18" s="1152"/>
      <c r="B18" s="612">
        <v>302</v>
      </c>
      <c r="C18" s="613" t="s">
        <v>639</v>
      </c>
      <c r="D18" s="614">
        <v>1</v>
      </c>
    </row>
    <row r="19" spans="1:4" x14ac:dyDescent="0.25">
      <c r="A19" s="1152"/>
      <c r="B19" s="612">
        <v>318</v>
      </c>
      <c r="C19" s="613" t="s">
        <v>2276</v>
      </c>
      <c r="D19" s="614">
        <v>1</v>
      </c>
    </row>
    <row r="20" spans="1:4" x14ac:dyDescent="0.25">
      <c r="A20" s="1152"/>
      <c r="B20" s="612">
        <v>313</v>
      </c>
      <c r="C20" s="613" t="s">
        <v>640</v>
      </c>
      <c r="D20" s="614">
        <v>1</v>
      </c>
    </row>
    <row r="21" spans="1:4" x14ac:dyDescent="0.25">
      <c r="A21" s="1152"/>
      <c r="B21" s="612">
        <v>320</v>
      </c>
      <c r="C21" s="613" t="s">
        <v>641</v>
      </c>
      <c r="D21" s="614">
        <v>1</v>
      </c>
    </row>
    <row r="22" spans="1:4" x14ac:dyDescent="0.25">
      <c r="A22" s="1152"/>
      <c r="B22" s="612">
        <v>311</v>
      </c>
      <c r="C22" s="613" t="s">
        <v>2277</v>
      </c>
      <c r="D22" s="614">
        <v>1</v>
      </c>
    </row>
    <row r="23" spans="1:4" x14ac:dyDescent="0.25">
      <c r="A23" s="1152"/>
      <c r="B23" s="612">
        <v>327</v>
      </c>
      <c r="C23" s="613" t="s">
        <v>642</v>
      </c>
      <c r="D23" s="614">
        <v>1</v>
      </c>
    </row>
    <row r="24" spans="1:4" x14ac:dyDescent="0.25">
      <c r="A24" s="1152"/>
      <c r="B24" s="612">
        <v>334</v>
      </c>
      <c r="C24" s="613" t="s">
        <v>643</v>
      </c>
      <c r="D24" s="614">
        <v>1</v>
      </c>
    </row>
    <row r="25" spans="1:4" x14ac:dyDescent="0.25">
      <c r="A25" s="1152"/>
      <c r="B25" s="612">
        <v>312</v>
      </c>
      <c r="C25" s="613" t="s">
        <v>644</v>
      </c>
      <c r="D25" s="614">
        <v>1</v>
      </c>
    </row>
    <row r="26" spans="1:4" x14ac:dyDescent="0.25">
      <c r="A26" s="1152"/>
      <c r="B26" s="612">
        <v>330</v>
      </c>
      <c r="C26" s="613" t="s">
        <v>645</v>
      </c>
      <c r="D26" s="614">
        <v>1</v>
      </c>
    </row>
    <row r="27" spans="1:4" x14ac:dyDescent="0.25">
      <c r="A27" s="1152"/>
      <c r="B27" s="612">
        <v>307</v>
      </c>
      <c r="C27" s="613" t="s">
        <v>646</v>
      </c>
      <c r="D27" s="614">
        <v>1</v>
      </c>
    </row>
    <row r="28" spans="1:4" x14ac:dyDescent="0.25">
      <c r="A28" s="1152"/>
      <c r="B28" s="612">
        <v>301</v>
      </c>
      <c r="C28" s="613" t="s">
        <v>647</v>
      </c>
      <c r="D28" s="614">
        <v>1</v>
      </c>
    </row>
    <row r="29" spans="1:4" x14ac:dyDescent="0.25">
      <c r="A29" s="1152"/>
      <c r="B29" s="612">
        <v>331</v>
      </c>
      <c r="C29" s="613" t="s">
        <v>648</v>
      </c>
      <c r="D29" s="614">
        <v>1</v>
      </c>
    </row>
    <row r="30" spans="1:4" x14ac:dyDescent="0.25">
      <c r="A30" s="1152"/>
      <c r="B30" s="612">
        <v>317</v>
      </c>
      <c r="C30" s="613" t="s">
        <v>649</v>
      </c>
      <c r="D30" s="614">
        <v>1</v>
      </c>
    </row>
    <row r="31" spans="1:4" x14ac:dyDescent="0.25">
      <c r="A31" s="1152"/>
      <c r="B31" s="612">
        <v>304</v>
      </c>
      <c r="C31" s="613" t="s">
        <v>650</v>
      </c>
      <c r="D31" s="614">
        <v>1</v>
      </c>
    </row>
    <row r="32" spans="1:4" x14ac:dyDescent="0.25">
      <c r="A32" s="1152"/>
      <c r="B32" s="612">
        <v>303</v>
      </c>
      <c r="C32" s="613" t="s">
        <v>651</v>
      </c>
      <c r="D32" s="614">
        <v>1</v>
      </c>
    </row>
    <row r="33" spans="1:4" ht="13.5" thickBot="1" x14ac:dyDescent="0.3">
      <c r="A33" s="1153"/>
      <c r="B33" s="605">
        <v>300</v>
      </c>
      <c r="C33" s="606" t="s">
        <v>652</v>
      </c>
      <c r="D33" s="607">
        <v>1</v>
      </c>
    </row>
    <row r="34" spans="1:4" x14ac:dyDescent="0.25">
      <c r="A34" s="1151" t="s">
        <v>653</v>
      </c>
      <c r="B34" s="602">
        <v>3705</v>
      </c>
      <c r="C34" s="603" t="s">
        <v>654</v>
      </c>
      <c r="D34" s="604">
        <v>1</v>
      </c>
    </row>
    <row r="35" spans="1:4" x14ac:dyDescent="0.25">
      <c r="A35" s="1160"/>
      <c r="B35" s="612">
        <v>3734</v>
      </c>
      <c r="C35" s="613" t="s">
        <v>655</v>
      </c>
      <c r="D35" s="614">
        <v>1</v>
      </c>
    </row>
    <row r="36" spans="1:4" x14ac:dyDescent="0.25">
      <c r="A36" s="1160"/>
      <c r="B36" s="612">
        <v>3700</v>
      </c>
      <c r="C36" s="613" t="s">
        <v>656</v>
      </c>
      <c r="D36" s="614">
        <v>1</v>
      </c>
    </row>
    <row r="37" spans="1:4" x14ac:dyDescent="0.25">
      <c r="A37" s="1160"/>
      <c r="B37" s="612">
        <v>3711</v>
      </c>
      <c r="C37" s="613" t="s">
        <v>657</v>
      </c>
      <c r="D37" s="614">
        <v>1</v>
      </c>
    </row>
    <row r="38" spans="1:4" ht="15" customHeight="1" x14ac:dyDescent="0.25">
      <c r="A38" s="1160"/>
      <c r="B38" s="612">
        <v>3730</v>
      </c>
      <c r="C38" s="613" t="s">
        <v>658</v>
      </c>
      <c r="D38" s="614">
        <v>1</v>
      </c>
    </row>
    <row r="39" spans="1:4" x14ac:dyDescent="0.25">
      <c r="A39" s="1160"/>
      <c r="B39" s="612">
        <v>3740</v>
      </c>
      <c r="C39" s="613" t="s">
        <v>659</v>
      </c>
      <c r="D39" s="614">
        <v>1</v>
      </c>
    </row>
    <row r="40" spans="1:4" x14ac:dyDescent="0.25">
      <c r="A40" s="1160"/>
      <c r="B40" s="612">
        <v>3703</v>
      </c>
      <c r="C40" s="613" t="s">
        <v>660</v>
      </c>
      <c r="D40" s="614">
        <v>1</v>
      </c>
    </row>
    <row r="41" spans="1:4" x14ac:dyDescent="0.25">
      <c r="A41" s="1160"/>
      <c r="B41" s="612">
        <v>3702</v>
      </c>
      <c r="C41" s="613" t="s">
        <v>661</v>
      </c>
      <c r="D41" s="614">
        <v>1</v>
      </c>
    </row>
    <row r="42" spans="1:4" ht="13.5" customHeight="1" x14ac:dyDescent="0.25">
      <c r="A42" s="1160"/>
      <c r="B42" s="612">
        <v>3723</v>
      </c>
      <c r="C42" s="613" t="s">
        <v>662</v>
      </c>
      <c r="D42" s="614">
        <v>1</v>
      </c>
    </row>
    <row r="43" spans="1:4" x14ac:dyDescent="0.25">
      <c r="A43" s="1160"/>
      <c r="B43" s="612">
        <v>3742</v>
      </c>
      <c r="C43" s="613" t="s">
        <v>663</v>
      </c>
      <c r="D43" s="614">
        <v>1</v>
      </c>
    </row>
    <row r="44" spans="1:4" x14ac:dyDescent="0.25">
      <c r="A44" s="1160"/>
      <c r="B44" s="612">
        <v>3731</v>
      </c>
      <c r="C44" s="613" t="s">
        <v>664</v>
      </c>
      <c r="D44" s="614">
        <v>1</v>
      </c>
    </row>
    <row r="45" spans="1:4" x14ac:dyDescent="0.25">
      <c r="A45" s="1160"/>
      <c r="B45" s="612">
        <v>3725</v>
      </c>
      <c r="C45" s="613" t="s">
        <v>665</v>
      </c>
      <c r="D45" s="614">
        <v>1</v>
      </c>
    </row>
    <row r="46" spans="1:4" x14ac:dyDescent="0.25">
      <c r="A46" s="1160"/>
      <c r="B46" s="612">
        <v>3743</v>
      </c>
      <c r="C46" s="613" t="s">
        <v>666</v>
      </c>
      <c r="D46" s="614">
        <v>1</v>
      </c>
    </row>
    <row r="47" spans="1:4" x14ac:dyDescent="0.25">
      <c r="A47" s="1160"/>
      <c r="B47" s="612">
        <v>3722</v>
      </c>
      <c r="C47" s="613" t="s">
        <v>667</v>
      </c>
      <c r="D47" s="614">
        <v>1</v>
      </c>
    </row>
    <row r="48" spans="1:4" ht="14.25" customHeight="1" x14ac:dyDescent="0.25">
      <c r="A48" s="1160"/>
      <c r="B48" s="612">
        <v>3719</v>
      </c>
      <c r="C48" s="613" t="s">
        <v>668</v>
      </c>
      <c r="D48" s="614">
        <v>1</v>
      </c>
    </row>
    <row r="49" spans="1:4" x14ac:dyDescent="0.25">
      <c r="A49" s="1160"/>
      <c r="B49" s="612">
        <v>3709</v>
      </c>
      <c r="C49" s="613" t="s">
        <v>669</v>
      </c>
      <c r="D49" s="614">
        <v>1</v>
      </c>
    </row>
    <row r="50" spans="1:4" x14ac:dyDescent="0.25">
      <c r="A50" s="1160"/>
      <c r="B50" s="612">
        <v>3716</v>
      </c>
      <c r="C50" s="613" t="s">
        <v>670</v>
      </c>
      <c r="D50" s="614">
        <v>1</v>
      </c>
    </row>
    <row r="51" spans="1:4" x14ac:dyDescent="0.25">
      <c r="A51" s="1160"/>
      <c r="B51" s="612">
        <v>3712</v>
      </c>
      <c r="C51" s="613" t="s">
        <v>671</v>
      </c>
      <c r="D51" s="614">
        <v>1</v>
      </c>
    </row>
    <row r="52" spans="1:4" x14ac:dyDescent="0.25">
      <c r="A52" s="1160"/>
      <c r="B52" s="612">
        <v>3717</v>
      </c>
      <c r="C52" s="613" t="s">
        <v>672</v>
      </c>
      <c r="D52" s="614">
        <v>1</v>
      </c>
    </row>
    <row r="53" spans="1:4" x14ac:dyDescent="0.25">
      <c r="A53" s="1160"/>
      <c r="B53" s="612">
        <v>3715</v>
      </c>
      <c r="C53" s="613" t="s">
        <v>673</v>
      </c>
      <c r="D53" s="614">
        <v>1</v>
      </c>
    </row>
    <row r="54" spans="1:4" x14ac:dyDescent="0.25">
      <c r="A54" s="1160"/>
      <c r="B54" s="612">
        <v>3713</v>
      </c>
      <c r="C54" s="613" t="s">
        <v>674</v>
      </c>
      <c r="D54" s="614">
        <v>1</v>
      </c>
    </row>
    <row r="55" spans="1:4" x14ac:dyDescent="0.25">
      <c r="A55" s="1160"/>
      <c r="B55" s="612">
        <v>3745</v>
      </c>
      <c r="C55" s="613" t="s">
        <v>675</v>
      </c>
      <c r="D55" s="614">
        <v>1</v>
      </c>
    </row>
    <row r="56" spans="1:4" x14ac:dyDescent="0.25">
      <c r="A56" s="1160"/>
      <c r="B56" s="612">
        <v>3701</v>
      </c>
      <c r="C56" s="613" t="s">
        <v>676</v>
      </c>
      <c r="D56" s="614">
        <v>1</v>
      </c>
    </row>
    <row r="57" spans="1:4" x14ac:dyDescent="0.25">
      <c r="A57" s="1160"/>
      <c r="B57" s="612">
        <v>3707</v>
      </c>
      <c r="C57" s="613" t="s">
        <v>677</v>
      </c>
      <c r="D57" s="614">
        <v>1</v>
      </c>
    </row>
    <row r="58" spans="1:4" x14ac:dyDescent="0.25">
      <c r="A58" s="1160"/>
      <c r="B58" s="612">
        <v>3741</v>
      </c>
      <c r="C58" s="613" t="s">
        <v>626</v>
      </c>
      <c r="D58" s="614">
        <v>1</v>
      </c>
    </row>
    <row r="59" spans="1:4" x14ac:dyDescent="0.25">
      <c r="A59" s="1160"/>
      <c r="B59" s="612">
        <v>3733</v>
      </c>
      <c r="C59" s="613" t="s">
        <v>678</v>
      </c>
      <c r="D59" s="614">
        <v>1</v>
      </c>
    </row>
    <row r="60" spans="1:4" x14ac:dyDescent="0.25">
      <c r="A60" s="1160"/>
      <c r="B60" s="612">
        <v>3735</v>
      </c>
      <c r="C60" s="613" t="s">
        <v>679</v>
      </c>
      <c r="D60" s="614">
        <v>1</v>
      </c>
    </row>
    <row r="61" spans="1:4" ht="15" customHeight="1" x14ac:dyDescent="0.25">
      <c r="A61" s="1160"/>
      <c r="B61" s="612">
        <v>3718</v>
      </c>
      <c r="C61" s="613" t="s">
        <v>680</v>
      </c>
      <c r="D61" s="614">
        <v>1</v>
      </c>
    </row>
    <row r="62" spans="1:4" ht="13.5" thickBot="1" x14ac:dyDescent="0.3">
      <c r="A62" s="1161"/>
      <c r="B62" s="605">
        <v>3737</v>
      </c>
      <c r="C62" s="606" t="s">
        <v>681</v>
      </c>
      <c r="D62" s="607">
        <v>1</v>
      </c>
    </row>
    <row r="63" spans="1:4" x14ac:dyDescent="0.25">
      <c r="A63" s="1151" t="s">
        <v>682</v>
      </c>
      <c r="B63" s="602">
        <v>108</v>
      </c>
      <c r="C63" s="603" t="s">
        <v>683</v>
      </c>
      <c r="D63" s="604">
        <v>1</v>
      </c>
    </row>
    <row r="64" spans="1:4" x14ac:dyDescent="0.25">
      <c r="A64" s="1160"/>
      <c r="B64" s="612">
        <v>118</v>
      </c>
      <c r="C64" s="613" t="s">
        <v>684</v>
      </c>
      <c r="D64" s="614">
        <v>1</v>
      </c>
    </row>
    <row r="65" spans="1:4" x14ac:dyDescent="0.25">
      <c r="A65" s="1160"/>
      <c r="B65" s="612">
        <v>156</v>
      </c>
      <c r="C65" s="613" t="s">
        <v>685</v>
      </c>
      <c r="D65" s="614">
        <v>1</v>
      </c>
    </row>
    <row r="66" spans="1:4" x14ac:dyDescent="0.25">
      <c r="A66" s="1160"/>
      <c r="B66" s="612">
        <v>107</v>
      </c>
      <c r="C66" s="613" t="s">
        <v>686</v>
      </c>
      <c r="D66" s="614">
        <v>1</v>
      </c>
    </row>
    <row r="67" spans="1:4" x14ac:dyDescent="0.25">
      <c r="A67" s="1160"/>
      <c r="B67" s="612">
        <v>111</v>
      </c>
      <c r="C67" s="613" t="s">
        <v>687</v>
      </c>
      <c r="D67" s="614">
        <v>1</v>
      </c>
    </row>
    <row r="68" spans="1:4" x14ac:dyDescent="0.25">
      <c r="A68" s="1160"/>
      <c r="B68" s="612">
        <v>117</v>
      </c>
      <c r="C68" s="613" t="s">
        <v>688</v>
      </c>
      <c r="D68" s="614">
        <v>1</v>
      </c>
    </row>
    <row r="69" spans="1:4" x14ac:dyDescent="0.25">
      <c r="A69" s="1160"/>
      <c r="B69" s="612">
        <v>143</v>
      </c>
      <c r="C69" s="613" t="s">
        <v>689</v>
      </c>
      <c r="D69" s="614">
        <v>1</v>
      </c>
    </row>
    <row r="70" spans="1:4" x14ac:dyDescent="0.25">
      <c r="A70" s="1160"/>
      <c r="B70" s="612">
        <v>132</v>
      </c>
      <c r="C70" s="613" t="s">
        <v>690</v>
      </c>
      <c r="D70" s="614">
        <v>1</v>
      </c>
    </row>
    <row r="71" spans="1:4" x14ac:dyDescent="0.25">
      <c r="A71" s="1160"/>
      <c r="B71" s="612">
        <v>137</v>
      </c>
      <c r="C71" s="613" t="s">
        <v>691</v>
      </c>
      <c r="D71" s="614">
        <v>1</v>
      </c>
    </row>
    <row r="72" spans="1:4" x14ac:dyDescent="0.25">
      <c r="A72" s="1160"/>
      <c r="B72" s="612">
        <v>128</v>
      </c>
      <c r="C72" s="613" t="s">
        <v>692</v>
      </c>
      <c r="D72" s="614">
        <v>1</v>
      </c>
    </row>
    <row r="73" spans="1:4" x14ac:dyDescent="0.25">
      <c r="A73" s="1160"/>
      <c r="B73" s="612">
        <v>134</v>
      </c>
      <c r="C73" s="613" t="s">
        <v>693</v>
      </c>
      <c r="D73" s="614">
        <v>1</v>
      </c>
    </row>
    <row r="74" spans="1:4" x14ac:dyDescent="0.25">
      <c r="A74" s="1160"/>
      <c r="B74" s="612">
        <v>158</v>
      </c>
      <c r="C74" s="613" t="s">
        <v>694</v>
      </c>
      <c r="D74" s="614">
        <v>1</v>
      </c>
    </row>
    <row r="75" spans="1:4" x14ac:dyDescent="0.25">
      <c r="A75" s="1160"/>
      <c r="B75" s="612">
        <v>109</v>
      </c>
      <c r="C75" s="613" t="s">
        <v>695</v>
      </c>
      <c r="D75" s="614">
        <v>1</v>
      </c>
    </row>
    <row r="76" spans="1:4" x14ac:dyDescent="0.25">
      <c r="A76" s="1160"/>
      <c r="B76" s="612">
        <v>142</v>
      </c>
      <c r="C76" s="613" t="s">
        <v>696</v>
      </c>
      <c r="D76" s="614">
        <v>1</v>
      </c>
    </row>
    <row r="77" spans="1:4" x14ac:dyDescent="0.25">
      <c r="A77" s="1160"/>
      <c r="B77" s="612">
        <v>144</v>
      </c>
      <c r="C77" s="613" t="s">
        <v>697</v>
      </c>
      <c r="D77" s="614">
        <v>1</v>
      </c>
    </row>
    <row r="78" spans="1:4" x14ac:dyDescent="0.25">
      <c r="A78" s="1160"/>
      <c r="B78" s="612">
        <v>101</v>
      </c>
      <c r="C78" s="613" t="s">
        <v>698</v>
      </c>
      <c r="D78" s="614">
        <v>1</v>
      </c>
    </row>
    <row r="79" spans="1:4" x14ac:dyDescent="0.25">
      <c r="A79" s="1160"/>
      <c r="B79" s="612">
        <v>131</v>
      </c>
      <c r="C79" s="613" t="s">
        <v>699</v>
      </c>
      <c r="D79" s="614">
        <v>1</v>
      </c>
    </row>
    <row r="80" spans="1:4" x14ac:dyDescent="0.25">
      <c r="A80" s="1160"/>
      <c r="B80" s="612">
        <v>146</v>
      </c>
      <c r="C80" s="613" t="s">
        <v>700</v>
      </c>
      <c r="D80" s="614">
        <v>1</v>
      </c>
    </row>
    <row r="81" spans="1:4" x14ac:dyDescent="0.25">
      <c r="A81" s="1160"/>
      <c r="B81" s="612">
        <v>103</v>
      </c>
      <c r="C81" s="613" t="s">
        <v>701</v>
      </c>
      <c r="D81" s="614">
        <v>1</v>
      </c>
    </row>
    <row r="82" spans="1:4" x14ac:dyDescent="0.25">
      <c r="A82" s="1160"/>
      <c r="B82" s="612">
        <v>126</v>
      </c>
      <c r="C82" s="613" t="s">
        <v>702</v>
      </c>
      <c r="D82" s="614">
        <v>1</v>
      </c>
    </row>
    <row r="83" spans="1:4" x14ac:dyDescent="0.25">
      <c r="A83" s="1160"/>
      <c r="B83" s="612">
        <v>116</v>
      </c>
      <c r="C83" s="613" t="s">
        <v>703</v>
      </c>
      <c r="D83" s="614">
        <v>1</v>
      </c>
    </row>
    <row r="84" spans="1:4" x14ac:dyDescent="0.25">
      <c r="A84" s="1160"/>
      <c r="B84" s="612">
        <v>151</v>
      </c>
      <c r="C84" s="613" t="s">
        <v>704</v>
      </c>
      <c r="D84" s="614">
        <v>1</v>
      </c>
    </row>
    <row r="85" spans="1:4" x14ac:dyDescent="0.25">
      <c r="A85" s="1160"/>
      <c r="B85" s="612">
        <v>136</v>
      </c>
      <c r="C85" s="613" t="s">
        <v>665</v>
      </c>
      <c r="D85" s="614">
        <v>1</v>
      </c>
    </row>
    <row r="86" spans="1:4" x14ac:dyDescent="0.25">
      <c r="A86" s="1160"/>
      <c r="B86" s="612">
        <v>120</v>
      </c>
      <c r="C86" s="613" t="s">
        <v>705</v>
      </c>
      <c r="D86" s="614">
        <v>1</v>
      </c>
    </row>
    <row r="87" spans="1:4" x14ac:dyDescent="0.25">
      <c r="A87" s="1160"/>
      <c r="B87" s="612">
        <v>154</v>
      </c>
      <c r="C87" s="613" t="s">
        <v>706</v>
      </c>
      <c r="D87" s="614">
        <v>1</v>
      </c>
    </row>
    <row r="88" spans="1:4" x14ac:dyDescent="0.25">
      <c r="A88" s="1160"/>
      <c r="B88" s="612">
        <v>155</v>
      </c>
      <c r="C88" s="613" t="s">
        <v>707</v>
      </c>
      <c r="D88" s="614">
        <v>1</v>
      </c>
    </row>
    <row r="89" spans="1:4" x14ac:dyDescent="0.25">
      <c r="A89" s="1160"/>
      <c r="B89" s="612">
        <v>157</v>
      </c>
      <c r="C89" s="613" t="s">
        <v>708</v>
      </c>
      <c r="D89" s="614">
        <v>1</v>
      </c>
    </row>
    <row r="90" spans="1:4" x14ac:dyDescent="0.25">
      <c r="A90" s="1160"/>
      <c r="B90" s="612">
        <v>139</v>
      </c>
      <c r="C90" s="613" t="s">
        <v>709</v>
      </c>
      <c r="D90" s="614">
        <v>1</v>
      </c>
    </row>
    <row r="91" spans="1:4" x14ac:dyDescent="0.25">
      <c r="A91" s="1160"/>
      <c r="B91" s="612">
        <v>149</v>
      </c>
      <c r="C91" s="613" t="s">
        <v>710</v>
      </c>
      <c r="D91" s="614">
        <v>1</v>
      </c>
    </row>
    <row r="92" spans="1:4" x14ac:dyDescent="0.25">
      <c r="A92" s="1160"/>
      <c r="B92" s="612">
        <v>133</v>
      </c>
      <c r="C92" s="613" t="s">
        <v>711</v>
      </c>
      <c r="D92" s="614">
        <v>1</v>
      </c>
    </row>
    <row r="93" spans="1:4" x14ac:dyDescent="0.25">
      <c r="A93" s="1160"/>
      <c r="B93" s="612">
        <v>105</v>
      </c>
      <c r="C93" s="613" t="s">
        <v>712</v>
      </c>
      <c r="D93" s="614">
        <v>1</v>
      </c>
    </row>
    <row r="94" spans="1:4" x14ac:dyDescent="0.25">
      <c r="A94" s="1160"/>
      <c r="B94" s="612">
        <v>110</v>
      </c>
      <c r="C94" s="613" t="s">
        <v>713</v>
      </c>
      <c r="D94" s="614">
        <v>1</v>
      </c>
    </row>
    <row r="95" spans="1:4" x14ac:dyDescent="0.25">
      <c r="A95" s="1160"/>
      <c r="B95" s="612">
        <v>125</v>
      </c>
      <c r="C95" s="613" t="s">
        <v>714</v>
      </c>
      <c r="D95" s="614">
        <v>1</v>
      </c>
    </row>
    <row r="96" spans="1:4" x14ac:dyDescent="0.25">
      <c r="A96" s="1160"/>
      <c r="B96" s="612">
        <v>119</v>
      </c>
      <c r="C96" s="613" t="s">
        <v>715</v>
      </c>
      <c r="D96" s="614">
        <v>1</v>
      </c>
    </row>
    <row r="97" spans="1:4" x14ac:dyDescent="0.25">
      <c r="A97" s="1160"/>
      <c r="B97" s="612">
        <v>138</v>
      </c>
      <c r="C97" s="613" t="s">
        <v>716</v>
      </c>
      <c r="D97" s="614">
        <v>1</v>
      </c>
    </row>
    <row r="98" spans="1:4" x14ac:dyDescent="0.25">
      <c r="A98" s="1160"/>
      <c r="B98" s="612">
        <v>148</v>
      </c>
      <c r="C98" s="613" t="s">
        <v>717</v>
      </c>
      <c r="D98" s="614">
        <v>1</v>
      </c>
    </row>
    <row r="99" spans="1:4" x14ac:dyDescent="0.25">
      <c r="A99" s="1160"/>
      <c r="B99" s="612">
        <v>115</v>
      </c>
      <c r="C99" s="613" t="s">
        <v>718</v>
      </c>
      <c r="D99" s="614">
        <v>1</v>
      </c>
    </row>
    <row r="100" spans="1:4" x14ac:dyDescent="0.25">
      <c r="A100" s="1160"/>
      <c r="B100" s="612">
        <v>100</v>
      </c>
      <c r="C100" s="613" t="s">
        <v>719</v>
      </c>
      <c r="D100" s="614">
        <v>1</v>
      </c>
    </row>
    <row r="101" spans="1:4" x14ac:dyDescent="0.25">
      <c r="A101" s="1160"/>
      <c r="B101" s="612">
        <v>106</v>
      </c>
      <c r="C101" s="613" t="s">
        <v>720</v>
      </c>
      <c r="D101" s="614">
        <v>1</v>
      </c>
    </row>
    <row r="102" spans="1:4" x14ac:dyDescent="0.25">
      <c r="A102" s="1160"/>
      <c r="B102" s="612">
        <v>127</v>
      </c>
      <c r="C102" s="613" t="s">
        <v>721</v>
      </c>
      <c r="D102" s="614">
        <v>1</v>
      </c>
    </row>
    <row r="103" spans="1:4" x14ac:dyDescent="0.25">
      <c r="A103" s="1160"/>
      <c r="B103" s="612">
        <v>141</v>
      </c>
      <c r="C103" s="613" t="s">
        <v>679</v>
      </c>
      <c r="D103" s="614">
        <v>1</v>
      </c>
    </row>
    <row r="104" spans="1:4" x14ac:dyDescent="0.25">
      <c r="A104" s="1160"/>
      <c r="B104" s="612">
        <v>122</v>
      </c>
      <c r="C104" s="613" t="s">
        <v>722</v>
      </c>
      <c r="D104" s="614">
        <v>1</v>
      </c>
    </row>
    <row r="105" spans="1:4" x14ac:dyDescent="0.25">
      <c r="A105" s="1160"/>
      <c r="B105" s="612">
        <v>129</v>
      </c>
      <c r="C105" s="613" t="s">
        <v>723</v>
      </c>
      <c r="D105" s="614">
        <v>1</v>
      </c>
    </row>
    <row r="106" spans="1:4" x14ac:dyDescent="0.25">
      <c r="A106" s="1160"/>
      <c r="B106" s="612">
        <v>153</v>
      </c>
      <c r="C106" s="613" t="s">
        <v>724</v>
      </c>
      <c r="D106" s="614">
        <v>1</v>
      </c>
    </row>
    <row r="107" spans="1:4" x14ac:dyDescent="0.25">
      <c r="A107" s="1160"/>
      <c r="B107" s="612">
        <v>145</v>
      </c>
      <c r="C107" s="613" t="s">
        <v>725</v>
      </c>
      <c r="D107" s="614">
        <v>1</v>
      </c>
    </row>
    <row r="108" spans="1:4" x14ac:dyDescent="0.25">
      <c r="A108" s="1160"/>
      <c r="B108" s="612">
        <v>140</v>
      </c>
      <c r="C108" s="613" t="s">
        <v>726</v>
      </c>
      <c r="D108" s="614">
        <v>1</v>
      </c>
    </row>
    <row r="109" spans="1:4" x14ac:dyDescent="0.25">
      <c r="A109" s="1160"/>
      <c r="B109" s="612">
        <v>123</v>
      </c>
      <c r="C109" s="613" t="s">
        <v>727</v>
      </c>
      <c r="D109" s="614">
        <v>1</v>
      </c>
    </row>
    <row r="110" spans="1:4" x14ac:dyDescent="0.25">
      <c r="A110" s="1160"/>
      <c r="B110" s="612">
        <v>102</v>
      </c>
      <c r="C110" s="613" t="s">
        <v>728</v>
      </c>
      <c r="D110" s="614">
        <v>1</v>
      </c>
    </row>
    <row r="111" spans="1:4" x14ac:dyDescent="0.25">
      <c r="A111" s="1160"/>
      <c r="B111" s="612">
        <v>150</v>
      </c>
      <c r="C111" s="613" t="s">
        <v>729</v>
      </c>
      <c r="D111" s="614">
        <v>1</v>
      </c>
    </row>
    <row r="112" spans="1:4" x14ac:dyDescent="0.25">
      <c r="A112" s="1160"/>
      <c r="B112" s="612">
        <v>124</v>
      </c>
      <c r="C112" s="613" t="s">
        <v>730</v>
      </c>
      <c r="D112" s="614">
        <v>1</v>
      </c>
    </row>
    <row r="113" spans="1:4" x14ac:dyDescent="0.25">
      <c r="A113" s="1160"/>
      <c r="B113" s="612">
        <v>104</v>
      </c>
      <c r="C113" s="613" t="s">
        <v>731</v>
      </c>
      <c r="D113" s="614">
        <v>1</v>
      </c>
    </row>
    <row r="114" spans="1:4" x14ac:dyDescent="0.25">
      <c r="A114" s="1160"/>
      <c r="B114" s="612">
        <v>135</v>
      </c>
      <c r="C114" s="613" t="s">
        <v>732</v>
      </c>
      <c r="D114" s="614">
        <v>1</v>
      </c>
    </row>
    <row r="115" spans="1:4" x14ac:dyDescent="0.25">
      <c r="A115" s="1160"/>
      <c r="B115" s="612">
        <v>147</v>
      </c>
      <c r="C115" s="613" t="s">
        <v>733</v>
      </c>
      <c r="D115" s="614">
        <v>1</v>
      </c>
    </row>
    <row r="116" spans="1:4" x14ac:dyDescent="0.25">
      <c r="A116" s="1160"/>
      <c r="B116" s="612">
        <v>121</v>
      </c>
      <c r="C116" s="613" t="s">
        <v>734</v>
      </c>
      <c r="D116" s="614">
        <v>1</v>
      </c>
    </row>
    <row r="117" spans="1:4" x14ac:dyDescent="0.25">
      <c r="A117" s="1160"/>
      <c r="B117" s="612">
        <v>113</v>
      </c>
      <c r="C117" s="613" t="s">
        <v>735</v>
      </c>
      <c r="D117" s="614">
        <v>1</v>
      </c>
    </row>
    <row r="118" spans="1:4" x14ac:dyDescent="0.25">
      <c r="A118" s="1160"/>
      <c r="B118" s="612">
        <v>112</v>
      </c>
      <c r="C118" s="613" t="s">
        <v>736</v>
      </c>
      <c r="D118" s="614">
        <v>1</v>
      </c>
    </row>
    <row r="119" spans="1:4" x14ac:dyDescent="0.25">
      <c r="A119" s="1160"/>
      <c r="B119" s="612">
        <v>152</v>
      </c>
      <c r="C119" s="613" t="s">
        <v>737</v>
      </c>
      <c r="D119" s="614">
        <v>1</v>
      </c>
    </row>
    <row r="120" spans="1:4" ht="13.5" thickBot="1" x14ac:dyDescent="0.3">
      <c r="A120" s="1161"/>
      <c r="B120" s="605">
        <v>130</v>
      </c>
      <c r="C120" s="606" t="s">
        <v>738</v>
      </c>
      <c r="D120" s="607">
        <v>1</v>
      </c>
    </row>
    <row r="121" spans="1:4" x14ac:dyDescent="0.25">
      <c r="A121" s="1151" t="s">
        <v>739</v>
      </c>
      <c r="B121" s="602">
        <v>411</v>
      </c>
      <c r="C121" s="603" t="s">
        <v>740</v>
      </c>
      <c r="D121" s="604">
        <v>1</v>
      </c>
    </row>
    <row r="122" spans="1:4" x14ac:dyDescent="0.25">
      <c r="A122" s="1160"/>
      <c r="B122" s="612">
        <v>406</v>
      </c>
      <c r="C122" s="613" t="s">
        <v>741</v>
      </c>
      <c r="D122" s="614">
        <v>1</v>
      </c>
    </row>
    <row r="123" spans="1:4" x14ac:dyDescent="0.25">
      <c r="A123" s="1160"/>
      <c r="B123" s="612">
        <v>415</v>
      </c>
      <c r="C123" s="613" t="s">
        <v>742</v>
      </c>
      <c r="D123" s="614">
        <v>1</v>
      </c>
    </row>
    <row r="124" spans="1:4" x14ac:dyDescent="0.25">
      <c r="A124" s="1160"/>
      <c r="B124" s="612">
        <v>427</v>
      </c>
      <c r="C124" s="613" t="s">
        <v>743</v>
      </c>
      <c r="D124" s="614">
        <v>1</v>
      </c>
    </row>
    <row r="125" spans="1:4" x14ac:dyDescent="0.25">
      <c r="A125" s="1160"/>
      <c r="B125" s="612">
        <v>402</v>
      </c>
      <c r="C125" s="613" t="s">
        <v>744</v>
      </c>
      <c r="D125" s="614">
        <v>1</v>
      </c>
    </row>
    <row r="126" spans="1:4" x14ac:dyDescent="0.25">
      <c r="A126" s="1160"/>
      <c r="B126" s="612">
        <v>421</v>
      </c>
      <c r="C126" s="613" t="s">
        <v>745</v>
      </c>
      <c r="D126" s="614">
        <v>1</v>
      </c>
    </row>
    <row r="127" spans="1:4" x14ac:dyDescent="0.25">
      <c r="A127" s="1160"/>
      <c r="B127" s="612">
        <v>425</v>
      </c>
      <c r="C127" s="613" t="s">
        <v>746</v>
      </c>
      <c r="D127" s="614">
        <v>1</v>
      </c>
    </row>
    <row r="128" spans="1:4" ht="13.5" customHeight="1" x14ac:dyDescent="0.25">
      <c r="A128" s="1160"/>
      <c r="B128" s="612">
        <v>403</v>
      </c>
      <c r="C128" s="613" t="s">
        <v>747</v>
      </c>
      <c r="D128" s="614">
        <v>1</v>
      </c>
    </row>
    <row r="129" spans="1:4" x14ac:dyDescent="0.25">
      <c r="A129" s="1160"/>
      <c r="B129" s="612">
        <v>436</v>
      </c>
      <c r="C129" s="613" t="s">
        <v>748</v>
      </c>
      <c r="D129" s="614">
        <v>1</v>
      </c>
    </row>
    <row r="130" spans="1:4" x14ac:dyDescent="0.25">
      <c r="A130" s="1160"/>
      <c r="B130" s="612">
        <v>416</v>
      </c>
      <c r="C130" s="613" t="s">
        <v>749</v>
      </c>
      <c r="D130" s="614">
        <v>1</v>
      </c>
    </row>
    <row r="131" spans="1:4" x14ac:dyDescent="0.25">
      <c r="A131" s="1160"/>
      <c r="B131" s="612">
        <v>412</v>
      </c>
      <c r="C131" s="613" t="s">
        <v>750</v>
      </c>
      <c r="D131" s="614">
        <v>1</v>
      </c>
    </row>
    <row r="132" spans="1:4" ht="13.5" customHeight="1" x14ac:dyDescent="0.25">
      <c r="A132" s="1160"/>
      <c r="B132" s="612">
        <v>423</v>
      </c>
      <c r="C132" s="613" t="s">
        <v>751</v>
      </c>
      <c r="D132" s="614">
        <v>1</v>
      </c>
    </row>
    <row r="133" spans="1:4" x14ac:dyDescent="0.25">
      <c r="A133" s="1160"/>
      <c r="B133" s="612">
        <v>420</v>
      </c>
      <c r="C133" s="613" t="s">
        <v>752</v>
      </c>
      <c r="D133" s="614">
        <v>1</v>
      </c>
    </row>
    <row r="134" spans="1:4" x14ac:dyDescent="0.25">
      <c r="A134" s="1160"/>
      <c r="B134" s="612">
        <v>431</v>
      </c>
      <c r="C134" s="613" t="s">
        <v>753</v>
      </c>
      <c r="D134" s="614">
        <v>1</v>
      </c>
    </row>
    <row r="135" spans="1:4" x14ac:dyDescent="0.25">
      <c r="A135" s="1160"/>
      <c r="B135" s="612">
        <v>438</v>
      </c>
      <c r="C135" s="613" t="s">
        <v>754</v>
      </c>
      <c r="D135" s="614">
        <v>1</v>
      </c>
    </row>
    <row r="136" spans="1:4" x14ac:dyDescent="0.25">
      <c r="A136" s="1160"/>
      <c r="B136" s="612">
        <v>401</v>
      </c>
      <c r="C136" s="613" t="s">
        <v>755</v>
      </c>
      <c r="D136" s="614">
        <v>1</v>
      </c>
    </row>
    <row r="137" spans="1:4" x14ac:dyDescent="0.25">
      <c r="A137" s="1160"/>
      <c r="B137" s="612">
        <v>428</v>
      </c>
      <c r="C137" s="613" t="s">
        <v>756</v>
      </c>
      <c r="D137" s="614">
        <v>1</v>
      </c>
    </row>
    <row r="138" spans="1:4" x14ac:dyDescent="0.25">
      <c r="A138" s="1160"/>
      <c r="B138" s="612">
        <v>434</v>
      </c>
      <c r="C138" s="613" t="s">
        <v>757</v>
      </c>
      <c r="D138" s="614">
        <v>1</v>
      </c>
    </row>
    <row r="139" spans="1:4" x14ac:dyDescent="0.25">
      <c r="A139" s="1160"/>
      <c r="B139" s="612">
        <v>405</v>
      </c>
      <c r="C139" s="613" t="s">
        <v>758</v>
      </c>
      <c r="D139" s="614">
        <v>1</v>
      </c>
    </row>
    <row r="140" spans="1:4" ht="14.25" customHeight="1" x14ac:dyDescent="0.25">
      <c r="A140" s="1160"/>
      <c r="B140" s="612">
        <v>426</v>
      </c>
      <c r="C140" s="613" t="s">
        <v>759</v>
      </c>
      <c r="D140" s="614">
        <v>1</v>
      </c>
    </row>
    <row r="141" spans="1:4" x14ac:dyDescent="0.25">
      <c r="A141" s="1160"/>
      <c r="B141" s="612">
        <v>437</v>
      </c>
      <c r="C141" s="613" t="s">
        <v>760</v>
      </c>
      <c r="D141" s="614">
        <v>1</v>
      </c>
    </row>
    <row r="142" spans="1:4" x14ac:dyDescent="0.25">
      <c r="A142" s="1160"/>
      <c r="B142" s="612">
        <v>430</v>
      </c>
      <c r="C142" s="613" t="s">
        <v>761</v>
      </c>
      <c r="D142" s="614">
        <v>1</v>
      </c>
    </row>
    <row r="143" spans="1:4" ht="12" customHeight="1" x14ac:dyDescent="0.25">
      <c r="A143" s="1160"/>
      <c r="B143" s="612">
        <v>419</v>
      </c>
      <c r="C143" s="613" t="s">
        <v>762</v>
      </c>
      <c r="D143" s="614">
        <v>1</v>
      </c>
    </row>
    <row r="144" spans="1:4" x14ac:dyDescent="0.25">
      <c r="A144" s="1160"/>
      <c r="B144" s="612">
        <v>433</v>
      </c>
      <c r="C144" s="613" t="s">
        <v>763</v>
      </c>
      <c r="D144" s="614">
        <v>1</v>
      </c>
    </row>
    <row r="145" spans="1:4" x14ac:dyDescent="0.25">
      <c r="A145" s="1160"/>
      <c r="B145" s="612">
        <v>414</v>
      </c>
      <c r="C145" s="613" t="s">
        <v>764</v>
      </c>
      <c r="D145" s="614">
        <v>1</v>
      </c>
    </row>
    <row r="146" spans="1:4" x14ac:dyDescent="0.25">
      <c r="A146" s="1160"/>
      <c r="B146" s="612">
        <v>409</v>
      </c>
      <c r="C146" s="613" t="s">
        <v>765</v>
      </c>
      <c r="D146" s="614">
        <v>1</v>
      </c>
    </row>
    <row r="147" spans="1:4" x14ac:dyDescent="0.25">
      <c r="A147" s="1160"/>
      <c r="B147" s="612">
        <v>417</v>
      </c>
      <c r="C147" s="613" t="s">
        <v>766</v>
      </c>
      <c r="D147" s="614">
        <v>1</v>
      </c>
    </row>
    <row r="148" spans="1:4" x14ac:dyDescent="0.25">
      <c r="A148" s="1160"/>
      <c r="B148" s="612">
        <v>435</v>
      </c>
      <c r="C148" s="613" t="s">
        <v>767</v>
      </c>
      <c r="D148" s="614">
        <v>1</v>
      </c>
    </row>
    <row r="149" spans="1:4" x14ac:dyDescent="0.25">
      <c r="A149" s="1160"/>
      <c r="B149" s="612">
        <v>429</v>
      </c>
      <c r="C149" s="613" t="s">
        <v>768</v>
      </c>
      <c r="D149" s="614">
        <v>1</v>
      </c>
    </row>
    <row r="150" spans="1:4" x14ac:dyDescent="0.25">
      <c r="A150" s="1160"/>
      <c r="B150" s="612">
        <v>410</v>
      </c>
      <c r="C150" s="613" t="s">
        <v>769</v>
      </c>
      <c r="D150" s="614">
        <v>1</v>
      </c>
    </row>
    <row r="151" spans="1:4" x14ac:dyDescent="0.25">
      <c r="A151" s="1160"/>
      <c r="B151" s="612">
        <v>422</v>
      </c>
      <c r="C151" s="613" t="s">
        <v>770</v>
      </c>
      <c r="D151" s="614">
        <v>1</v>
      </c>
    </row>
    <row r="152" spans="1:4" ht="13.5" thickBot="1" x14ac:dyDescent="0.3">
      <c r="A152" s="1161"/>
      <c r="B152" s="605">
        <v>413</v>
      </c>
      <c r="C152" s="606" t="s">
        <v>771</v>
      </c>
      <c r="D152" s="607">
        <v>1</v>
      </c>
    </row>
    <row r="153" spans="1:4" x14ac:dyDescent="0.25">
      <c r="A153" s="1151" t="s">
        <v>772</v>
      </c>
      <c r="B153" s="602">
        <v>4357</v>
      </c>
      <c r="C153" s="603" t="s">
        <v>773</v>
      </c>
      <c r="D153" s="604">
        <v>1</v>
      </c>
    </row>
    <row r="154" spans="1:4" x14ac:dyDescent="0.25">
      <c r="A154" s="1160"/>
      <c r="B154" s="612">
        <v>4345</v>
      </c>
      <c r="C154" s="613" t="s">
        <v>774</v>
      </c>
      <c r="D154" s="614">
        <v>1</v>
      </c>
    </row>
    <row r="155" spans="1:4" x14ac:dyDescent="0.25">
      <c r="A155" s="1160"/>
      <c r="B155" s="612">
        <v>4332</v>
      </c>
      <c r="C155" s="613" t="s">
        <v>775</v>
      </c>
      <c r="D155" s="614">
        <v>1</v>
      </c>
    </row>
    <row r="156" spans="1:4" x14ac:dyDescent="0.25">
      <c r="A156" s="1160"/>
      <c r="B156" s="612">
        <v>4303</v>
      </c>
      <c r="C156" s="613" t="s">
        <v>776</v>
      </c>
      <c r="D156" s="614">
        <v>1</v>
      </c>
    </row>
    <row r="157" spans="1:4" x14ac:dyDescent="0.25">
      <c r="A157" s="1160"/>
      <c r="B157" s="612">
        <v>4315</v>
      </c>
      <c r="C157" s="613" t="s">
        <v>777</v>
      </c>
      <c r="D157" s="614">
        <v>1</v>
      </c>
    </row>
    <row r="158" spans="1:4" x14ac:dyDescent="0.25">
      <c r="A158" s="1160"/>
      <c r="B158" s="612">
        <v>4355</v>
      </c>
      <c r="C158" s="613" t="s">
        <v>778</v>
      </c>
      <c r="D158" s="614">
        <v>1</v>
      </c>
    </row>
    <row r="159" spans="1:4" x14ac:dyDescent="0.25">
      <c r="A159" s="1160"/>
      <c r="B159" s="612">
        <v>4333</v>
      </c>
      <c r="C159" s="613" t="s">
        <v>779</v>
      </c>
      <c r="D159" s="614">
        <v>1</v>
      </c>
    </row>
    <row r="160" spans="1:4" x14ac:dyDescent="0.25">
      <c r="A160" s="1160"/>
      <c r="B160" s="612">
        <v>4305</v>
      </c>
      <c r="C160" s="613" t="s">
        <v>780</v>
      </c>
      <c r="D160" s="614">
        <v>1</v>
      </c>
    </row>
    <row r="161" spans="1:4" x14ac:dyDescent="0.25">
      <c r="A161" s="1160"/>
      <c r="B161" s="612">
        <v>4323</v>
      </c>
      <c r="C161" s="613" t="s">
        <v>781</v>
      </c>
      <c r="D161" s="614">
        <v>1</v>
      </c>
    </row>
    <row r="162" spans="1:4" x14ac:dyDescent="0.25">
      <c r="A162" s="1160"/>
      <c r="B162" s="612">
        <v>4339</v>
      </c>
      <c r="C162" s="613" t="s">
        <v>782</v>
      </c>
      <c r="D162" s="614">
        <v>1</v>
      </c>
    </row>
    <row r="163" spans="1:4" x14ac:dyDescent="0.25">
      <c r="A163" s="1160"/>
      <c r="B163" s="612">
        <v>4335</v>
      </c>
      <c r="C163" s="613" t="s">
        <v>783</v>
      </c>
      <c r="D163" s="614">
        <v>1</v>
      </c>
    </row>
    <row r="164" spans="1:4" x14ac:dyDescent="0.25">
      <c r="A164" s="1160"/>
      <c r="B164" s="612">
        <v>4301</v>
      </c>
      <c r="C164" s="613" t="s">
        <v>784</v>
      </c>
      <c r="D164" s="614">
        <v>1</v>
      </c>
    </row>
    <row r="165" spans="1:4" x14ac:dyDescent="0.25">
      <c r="A165" s="1160"/>
      <c r="B165" s="612">
        <v>4321</v>
      </c>
      <c r="C165" s="613" t="s">
        <v>785</v>
      </c>
      <c r="D165" s="614">
        <v>1</v>
      </c>
    </row>
    <row r="166" spans="1:4" x14ac:dyDescent="0.25">
      <c r="A166" s="1160"/>
      <c r="B166" s="612">
        <v>4313</v>
      </c>
      <c r="C166" s="613" t="s">
        <v>786</v>
      </c>
      <c r="D166" s="614">
        <v>1</v>
      </c>
    </row>
    <row r="167" spans="1:4" x14ac:dyDescent="0.25">
      <c r="A167" s="1160"/>
      <c r="B167" s="612">
        <v>4319</v>
      </c>
      <c r="C167" s="613" t="s">
        <v>787</v>
      </c>
      <c r="D167" s="614">
        <v>1</v>
      </c>
    </row>
    <row r="168" spans="1:4" x14ac:dyDescent="0.25">
      <c r="A168" s="1160"/>
      <c r="B168" s="612">
        <v>4322</v>
      </c>
      <c r="C168" s="613" t="s">
        <v>788</v>
      </c>
      <c r="D168" s="614">
        <v>1</v>
      </c>
    </row>
    <row r="169" spans="1:4" x14ac:dyDescent="0.25">
      <c r="A169" s="1160"/>
      <c r="B169" s="612">
        <v>4350</v>
      </c>
      <c r="C169" s="613" t="s">
        <v>789</v>
      </c>
      <c r="D169" s="614">
        <v>1</v>
      </c>
    </row>
    <row r="170" spans="1:4" x14ac:dyDescent="0.25">
      <c r="A170" s="1160"/>
      <c r="B170" s="612">
        <v>4362</v>
      </c>
      <c r="C170" s="613" t="s">
        <v>790</v>
      </c>
      <c r="D170" s="614">
        <v>1</v>
      </c>
    </row>
    <row r="171" spans="1:4" x14ac:dyDescent="0.25">
      <c r="A171" s="1160"/>
      <c r="B171" s="612">
        <v>4328</v>
      </c>
      <c r="C171" s="613" t="s">
        <v>791</v>
      </c>
      <c r="D171" s="614">
        <v>1</v>
      </c>
    </row>
    <row r="172" spans="1:4" x14ac:dyDescent="0.25">
      <c r="A172" s="1160"/>
      <c r="B172" s="612">
        <v>4325</v>
      </c>
      <c r="C172" s="613" t="s">
        <v>792</v>
      </c>
      <c r="D172" s="614">
        <v>1</v>
      </c>
    </row>
    <row r="173" spans="1:4" x14ac:dyDescent="0.25">
      <c r="A173" s="1160"/>
      <c r="B173" s="612">
        <v>4310</v>
      </c>
      <c r="C173" s="613" t="s">
        <v>793</v>
      </c>
      <c r="D173" s="614">
        <v>1</v>
      </c>
    </row>
    <row r="174" spans="1:4" x14ac:dyDescent="0.25">
      <c r="A174" s="1160"/>
      <c r="B174" s="612">
        <v>4320</v>
      </c>
      <c r="C174" s="613" t="s">
        <v>794</v>
      </c>
      <c r="D174" s="614">
        <v>1</v>
      </c>
    </row>
    <row r="175" spans="1:4" x14ac:dyDescent="0.25">
      <c r="A175" s="1160"/>
      <c r="B175" s="612">
        <v>4349</v>
      </c>
      <c r="C175" s="613" t="s">
        <v>795</v>
      </c>
      <c r="D175" s="614">
        <v>1</v>
      </c>
    </row>
    <row r="176" spans="1:4" x14ac:dyDescent="0.25">
      <c r="A176" s="1160"/>
      <c r="B176" s="612">
        <v>4353</v>
      </c>
      <c r="C176" s="613" t="s">
        <v>796</v>
      </c>
      <c r="D176" s="614">
        <v>1</v>
      </c>
    </row>
    <row r="177" spans="1:4" x14ac:dyDescent="0.25">
      <c r="A177" s="1160"/>
      <c r="B177" s="612">
        <v>4360</v>
      </c>
      <c r="C177" s="613" t="s">
        <v>797</v>
      </c>
      <c r="D177" s="614">
        <v>1</v>
      </c>
    </row>
    <row r="178" spans="1:4" x14ac:dyDescent="0.25">
      <c r="A178" s="1160"/>
      <c r="B178" s="612">
        <v>4327</v>
      </c>
      <c r="C178" s="613" t="s">
        <v>640</v>
      </c>
      <c r="D178" s="614">
        <v>1</v>
      </c>
    </row>
    <row r="179" spans="1:4" x14ac:dyDescent="0.25">
      <c r="A179" s="1160"/>
      <c r="B179" s="612">
        <v>4343</v>
      </c>
      <c r="C179" s="613" t="s">
        <v>798</v>
      </c>
      <c r="D179" s="614">
        <v>1</v>
      </c>
    </row>
    <row r="180" spans="1:4" x14ac:dyDescent="0.25">
      <c r="A180" s="1160"/>
      <c r="B180" s="612">
        <v>4309</v>
      </c>
      <c r="C180" s="613" t="s">
        <v>799</v>
      </c>
      <c r="D180" s="614">
        <v>1</v>
      </c>
    </row>
    <row r="181" spans="1:4" x14ac:dyDescent="0.25">
      <c r="A181" s="1160"/>
      <c r="B181" s="612">
        <v>4318</v>
      </c>
      <c r="C181" s="613" t="s">
        <v>800</v>
      </c>
      <c r="D181" s="614">
        <v>1</v>
      </c>
    </row>
    <row r="182" spans="1:4" x14ac:dyDescent="0.25">
      <c r="A182" s="1160"/>
      <c r="B182" s="612">
        <v>4337</v>
      </c>
      <c r="C182" s="613" t="s">
        <v>801</v>
      </c>
      <c r="D182" s="614">
        <v>1</v>
      </c>
    </row>
    <row r="183" spans="1:4" x14ac:dyDescent="0.25">
      <c r="A183" s="1160"/>
      <c r="B183" s="612">
        <v>4316</v>
      </c>
      <c r="C183" s="613" t="s">
        <v>802</v>
      </c>
      <c r="D183" s="614">
        <v>1</v>
      </c>
    </row>
    <row r="184" spans="1:4" x14ac:dyDescent="0.25">
      <c r="A184" s="1160"/>
      <c r="B184" s="612">
        <v>4361</v>
      </c>
      <c r="C184" s="613" t="s">
        <v>803</v>
      </c>
      <c r="D184" s="614">
        <v>1</v>
      </c>
    </row>
    <row r="185" spans="1:4" x14ac:dyDescent="0.25">
      <c r="A185" s="1160"/>
      <c r="B185" s="612">
        <v>4317</v>
      </c>
      <c r="C185" s="613" t="s">
        <v>804</v>
      </c>
      <c r="D185" s="614">
        <v>1</v>
      </c>
    </row>
    <row r="186" spans="1:4" x14ac:dyDescent="0.25">
      <c r="A186" s="1160"/>
      <c r="B186" s="612">
        <v>4306</v>
      </c>
      <c r="C186" s="613" t="s">
        <v>805</v>
      </c>
      <c r="D186" s="614">
        <v>1</v>
      </c>
    </row>
    <row r="187" spans="1:4" x14ac:dyDescent="0.25">
      <c r="A187" s="1160"/>
      <c r="B187" s="612">
        <v>4342</v>
      </c>
      <c r="C187" s="613" t="s">
        <v>806</v>
      </c>
      <c r="D187" s="614">
        <v>1</v>
      </c>
    </row>
    <row r="188" spans="1:4" x14ac:dyDescent="0.25">
      <c r="A188" s="1160"/>
      <c r="B188" s="612">
        <v>4307</v>
      </c>
      <c r="C188" s="613" t="s">
        <v>807</v>
      </c>
      <c r="D188" s="614">
        <v>1</v>
      </c>
    </row>
    <row r="189" spans="1:4" x14ac:dyDescent="0.25">
      <c r="A189" s="1160"/>
      <c r="B189" s="612">
        <v>4334</v>
      </c>
      <c r="C189" s="613" t="s">
        <v>808</v>
      </c>
      <c r="D189" s="614">
        <v>1</v>
      </c>
    </row>
    <row r="190" spans="1:4" x14ac:dyDescent="0.25">
      <c r="A190" s="1160"/>
      <c r="B190" s="612">
        <v>4348</v>
      </c>
      <c r="C190" s="613" t="s">
        <v>809</v>
      </c>
      <c r="D190" s="614">
        <v>1</v>
      </c>
    </row>
    <row r="191" spans="1:4" x14ac:dyDescent="0.25">
      <c r="A191" s="1160"/>
      <c r="B191" s="612">
        <v>4358</v>
      </c>
      <c r="C191" s="613" t="s">
        <v>810</v>
      </c>
      <c r="D191" s="614">
        <v>1</v>
      </c>
    </row>
    <row r="192" spans="1:4" x14ac:dyDescent="0.25">
      <c r="A192" s="1160"/>
      <c r="B192" s="612">
        <v>4329</v>
      </c>
      <c r="C192" s="613" t="s">
        <v>811</v>
      </c>
      <c r="D192" s="614">
        <v>1</v>
      </c>
    </row>
    <row r="193" spans="1:4" x14ac:dyDescent="0.25">
      <c r="A193" s="1160"/>
      <c r="B193" s="612">
        <v>4330</v>
      </c>
      <c r="C193" s="613" t="s">
        <v>812</v>
      </c>
      <c r="D193" s="614">
        <v>1</v>
      </c>
    </row>
    <row r="194" spans="1:4" x14ac:dyDescent="0.25">
      <c r="A194" s="1160"/>
      <c r="B194" s="612">
        <v>4356</v>
      </c>
      <c r="C194" s="613" t="s">
        <v>813</v>
      </c>
      <c r="D194" s="614">
        <v>1</v>
      </c>
    </row>
    <row r="195" spans="1:4" x14ac:dyDescent="0.25">
      <c r="A195" s="1160"/>
      <c r="B195" s="612">
        <v>4324</v>
      </c>
      <c r="C195" s="613" t="s">
        <v>814</v>
      </c>
      <c r="D195" s="614">
        <v>1</v>
      </c>
    </row>
    <row r="196" spans="1:4" x14ac:dyDescent="0.25">
      <c r="A196" s="1160"/>
      <c r="B196" s="612">
        <v>4354</v>
      </c>
      <c r="C196" s="613" t="s">
        <v>815</v>
      </c>
      <c r="D196" s="614">
        <v>1</v>
      </c>
    </row>
    <row r="197" spans="1:4" x14ac:dyDescent="0.25">
      <c r="A197" s="1160"/>
      <c r="B197" s="612">
        <v>4347</v>
      </c>
      <c r="C197" s="613" t="s">
        <v>816</v>
      </c>
      <c r="D197" s="614">
        <v>1</v>
      </c>
    </row>
    <row r="198" spans="1:4" x14ac:dyDescent="0.25">
      <c r="A198" s="1160"/>
      <c r="B198" s="612">
        <v>4308</v>
      </c>
      <c r="C198" s="613" t="s">
        <v>817</v>
      </c>
      <c r="D198" s="614">
        <v>1</v>
      </c>
    </row>
    <row r="199" spans="1:4" x14ac:dyDescent="0.25">
      <c r="A199" s="1160"/>
      <c r="B199" s="612">
        <v>4302</v>
      </c>
      <c r="C199" s="613" t="s">
        <v>818</v>
      </c>
      <c r="D199" s="614">
        <v>1</v>
      </c>
    </row>
    <row r="200" spans="1:4" x14ac:dyDescent="0.25">
      <c r="A200" s="1160"/>
      <c r="B200" s="612">
        <v>4340</v>
      </c>
      <c r="C200" s="613" t="s">
        <v>819</v>
      </c>
      <c r="D200" s="614">
        <v>1</v>
      </c>
    </row>
    <row r="201" spans="1:4" x14ac:dyDescent="0.25">
      <c r="A201" s="1160"/>
      <c r="B201" s="612">
        <v>4359</v>
      </c>
      <c r="C201" s="613" t="s">
        <v>820</v>
      </c>
      <c r="D201" s="614">
        <v>1</v>
      </c>
    </row>
    <row r="202" spans="1:4" x14ac:dyDescent="0.25">
      <c r="A202" s="1160"/>
      <c r="B202" s="612">
        <v>4326</v>
      </c>
      <c r="C202" s="613" t="s">
        <v>821</v>
      </c>
      <c r="D202" s="614">
        <v>1</v>
      </c>
    </row>
    <row r="203" spans="1:4" x14ac:dyDescent="0.25">
      <c r="A203" s="1160"/>
      <c r="B203" s="612">
        <v>4352</v>
      </c>
      <c r="C203" s="613" t="s">
        <v>822</v>
      </c>
      <c r="D203" s="614">
        <v>1</v>
      </c>
    </row>
    <row r="204" spans="1:4" x14ac:dyDescent="0.25">
      <c r="A204" s="1160"/>
      <c r="B204" s="612">
        <v>4338</v>
      </c>
      <c r="C204" s="613" t="s">
        <v>823</v>
      </c>
      <c r="D204" s="614">
        <v>1</v>
      </c>
    </row>
    <row r="205" spans="1:4" x14ac:dyDescent="0.25">
      <c r="A205" s="1160"/>
      <c r="B205" s="612">
        <v>4300</v>
      </c>
      <c r="C205" s="613" t="s">
        <v>824</v>
      </c>
      <c r="D205" s="614">
        <v>1</v>
      </c>
    </row>
    <row r="206" spans="1:4" x14ac:dyDescent="0.25">
      <c r="A206" s="1160"/>
      <c r="B206" s="612">
        <v>4314</v>
      </c>
      <c r="C206" s="613" t="s">
        <v>825</v>
      </c>
      <c r="D206" s="614">
        <v>1</v>
      </c>
    </row>
    <row r="207" spans="1:4" x14ac:dyDescent="0.25">
      <c r="A207" s="1160"/>
      <c r="B207" s="612">
        <v>4344</v>
      </c>
      <c r="C207" s="613" t="s">
        <v>826</v>
      </c>
      <c r="D207" s="614">
        <v>1</v>
      </c>
    </row>
    <row r="208" spans="1:4" x14ac:dyDescent="0.25">
      <c r="A208" s="1160"/>
      <c r="B208" s="612">
        <v>4351</v>
      </c>
      <c r="C208" s="613" t="s">
        <v>827</v>
      </c>
      <c r="D208" s="614">
        <v>1</v>
      </c>
    </row>
    <row r="209" spans="1:4" ht="13.5" thickBot="1" x14ac:dyDescent="0.3">
      <c r="A209" s="1161"/>
      <c r="B209" s="605">
        <v>4331</v>
      </c>
      <c r="C209" s="606" t="s">
        <v>828</v>
      </c>
      <c r="D209" s="607">
        <v>1</v>
      </c>
    </row>
    <row r="210" spans="1:4" x14ac:dyDescent="0.25">
      <c r="A210" s="1151" t="s">
        <v>829</v>
      </c>
      <c r="B210" s="602">
        <v>621</v>
      </c>
      <c r="C210" s="603" t="s">
        <v>830</v>
      </c>
      <c r="D210" s="604">
        <v>1</v>
      </c>
    </row>
    <row r="211" spans="1:4" x14ac:dyDescent="0.25">
      <c r="A211" s="1160"/>
      <c r="B211" s="612">
        <v>620</v>
      </c>
      <c r="C211" s="613" t="s">
        <v>831</v>
      </c>
      <c r="D211" s="614">
        <v>1</v>
      </c>
    </row>
    <row r="212" spans="1:4" x14ac:dyDescent="0.25">
      <c r="A212" s="1160"/>
      <c r="B212" s="612">
        <v>604</v>
      </c>
      <c r="C212" s="613" t="s">
        <v>832</v>
      </c>
      <c r="D212" s="614">
        <v>1</v>
      </c>
    </row>
    <row r="213" spans="1:4" x14ac:dyDescent="0.25">
      <c r="A213" s="1160"/>
      <c r="B213" s="612">
        <v>613</v>
      </c>
      <c r="C213" s="613" t="s">
        <v>833</v>
      </c>
      <c r="D213" s="614">
        <v>1</v>
      </c>
    </row>
    <row r="214" spans="1:4" x14ac:dyDescent="0.25">
      <c r="A214" s="1160"/>
      <c r="B214" s="612">
        <v>607</v>
      </c>
      <c r="C214" s="613" t="s">
        <v>834</v>
      </c>
      <c r="D214" s="614">
        <v>1</v>
      </c>
    </row>
    <row r="215" spans="1:4" x14ac:dyDescent="0.25">
      <c r="A215" s="1160"/>
      <c r="B215" s="612">
        <v>626</v>
      </c>
      <c r="C215" s="613" t="s">
        <v>835</v>
      </c>
      <c r="D215" s="614">
        <v>1</v>
      </c>
    </row>
    <row r="216" spans="1:4" x14ac:dyDescent="0.25">
      <c r="A216" s="1160"/>
      <c r="B216" s="612">
        <v>601</v>
      </c>
      <c r="C216" s="613" t="s">
        <v>836</v>
      </c>
      <c r="D216" s="614">
        <v>1</v>
      </c>
    </row>
    <row r="217" spans="1:4" x14ac:dyDescent="0.25">
      <c r="A217" s="1160"/>
      <c r="B217" s="612">
        <v>616</v>
      </c>
      <c r="C217" s="613" t="s">
        <v>738</v>
      </c>
      <c r="D217" s="614">
        <v>1</v>
      </c>
    </row>
    <row r="218" spans="1:4" x14ac:dyDescent="0.25">
      <c r="A218" s="1160"/>
      <c r="B218" s="612">
        <v>640</v>
      </c>
      <c r="C218" s="613" t="s">
        <v>837</v>
      </c>
      <c r="D218" s="614">
        <v>1</v>
      </c>
    </row>
    <row r="219" spans="1:4" x14ac:dyDescent="0.25">
      <c r="A219" s="1160"/>
      <c r="B219" s="612">
        <v>602</v>
      </c>
      <c r="C219" s="613" t="s">
        <v>838</v>
      </c>
      <c r="D219" s="614">
        <v>1</v>
      </c>
    </row>
    <row r="220" spans="1:4" x14ac:dyDescent="0.25">
      <c r="A220" s="1160"/>
      <c r="B220" s="612">
        <v>642</v>
      </c>
      <c r="C220" s="613" t="s">
        <v>839</v>
      </c>
      <c r="D220" s="614">
        <v>1</v>
      </c>
    </row>
    <row r="221" spans="1:4" x14ac:dyDescent="0.25">
      <c r="A221" s="1160"/>
      <c r="B221" s="612">
        <v>637</v>
      </c>
      <c r="C221" s="613" t="s">
        <v>840</v>
      </c>
      <c r="D221" s="614">
        <v>1</v>
      </c>
    </row>
    <row r="222" spans="1:4" x14ac:dyDescent="0.25">
      <c r="A222" s="1160"/>
      <c r="B222" s="612">
        <v>630</v>
      </c>
      <c r="C222" s="613" t="s">
        <v>841</v>
      </c>
      <c r="D222" s="614">
        <v>1</v>
      </c>
    </row>
    <row r="223" spans="1:4" x14ac:dyDescent="0.25">
      <c r="A223" s="1160"/>
      <c r="B223" s="612">
        <v>612</v>
      </c>
      <c r="C223" s="613" t="s">
        <v>842</v>
      </c>
      <c r="D223" s="614">
        <v>1</v>
      </c>
    </row>
    <row r="224" spans="1:4" x14ac:dyDescent="0.25">
      <c r="A224" s="1160"/>
      <c r="B224" s="612">
        <v>624</v>
      </c>
      <c r="C224" s="613" t="s">
        <v>843</v>
      </c>
      <c r="D224" s="614">
        <v>1</v>
      </c>
    </row>
    <row r="225" spans="1:4" x14ac:dyDescent="0.25">
      <c r="A225" s="1160"/>
      <c r="B225" s="612">
        <v>627</v>
      </c>
      <c r="C225" s="613" t="s">
        <v>844</v>
      </c>
      <c r="D225" s="614">
        <v>1</v>
      </c>
    </row>
    <row r="226" spans="1:4" x14ac:dyDescent="0.25">
      <c r="A226" s="1160"/>
      <c r="B226" s="612">
        <v>606</v>
      </c>
      <c r="C226" s="613" t="s">
        <v>845</v>
      </c>
      <c r="D226" s="614">
        <v>1</v>
      </c>
    </row>
    <row r="227" spans="1:4" x14ac:dyDescent="0.25">
      <c r="A227" s="1160"/>
      <c r="B227" s="612">
        <v>641</v>
      </c>
      <c r="C227" s="613" t="s">
        <v>846</v>
      </c>
      <c r="D227" s="614">
        <v>1</v>
      </c>
    </row>
    <row r="228" spans="1:4" x14ac:dyDescent="0.25">
      <c r="A228" s="1160"/>
      <c r="B228" s="612">
        <v>618</v>
      </c>
      <c r="C228" s="613" t="s">
        <v>847</v>
      </c>
      <c r="D228" s="614">
        <v>1</v>
      </c>
    </row>
    <row r="229" spans="1:4" x14ac:dyDescent="0.25">
      <c r="A229" s="1160"/>
      <c r="B229" s="612">
        <v>614</v>
      </c>
      <c r="C229" s="613" t="s">
        <v>848</v>
      </c>
      <c r="D229" s="614">
        <v>1</v>
      </c>
    </row>
    <row r="230" spans="1:4" x14ac:dyDescent="0.25">
      <c r="A230" s="1160"/>
      <c r="B230" s="612">
        <v>636</v>
      </c>
      <c r="C230" s="613" t="s">
        <v>849</v>
      </c>
      <c r="D230" s="614">
        <v>1</v>
      </c>
    </row>
    <row r="231" spans="1:4" x14ac:dyDescent="0.25">
      <c r="A231" s="1160"/>
      <c r="B231" s="612">
        <v>639</v>
      </c>
      <c r="C231" s="613" t="s">
        <v>850</v>
      </c>
      <c r="D231" s="614">
        <v>1</v>
      </c>
    </row>
    <row r="232" spans="1:4" x14ac:dyDescent="0.25">
      <c r="A232" s="1160"/>
      <c r="B232" s="612">
        <v>632</v>
      </c>
      <c r="C232" s="613" t="s">
        <v>851</v>
      </c>
      <c r="D232" s="614">
        <v>1</v>
      </c>
    </row>
    <row r="233" spans="1:4" x14ac:dyDescent="0.25">
      <c r="A233" s="1160"/>
      <c r="B233" s="612">
        <v>643</v>
      </c>
      <c r="C233" s="613" t="s">
        <v>852</v>
      </c>
      <c r="D233" s="614">
        <v>1</v>
      </c>
    </row>
    <row r="234" spans="1:4" x14ac:dyDescent="0.25">
      <c r="A234" s="1160"/>
      <c r="B234" s="612">
        <v>633</v>
      </c>
      <c r="C234" s="613" t="s">
        <v>853</v>
      </c>
      <c r="D234" s="614">
        <v>1</v>
      </c>
    </row>
    <row r="235" spans="1:4" x14ac:dyDescent="0.25">
      <c r="A235" s="1160"/>
      <c r="B235" s="612">
        <v>600</v>
      </c>
      <c r="C235" s="613" t="s">
        <v>854</v>
      </c>
      <c r="D235" s="614">
        <v>1</v>
      </c>
    </row>
    <row r="236" spans="1:4" x14ac:dyDescent="0.25">
      <c r="A236" s="1160"/>
      <c r="B236" s="612">
        <v>611</v>
      </c>
      <c r="C236" s="613" t="s">
        <v>855</v>
      </c>
      <c r="D236" s="614">
        <v>1</v>
      </c>
    </row>
    <row r="237" spans="1:4" x14ac:dyDescent="0.25">
      <c r="A237" s="1160"/>
      <c r="B237" s="612">
        <v>605</v>
      </c>
      <c r="C237" s="613" t="s">
        <v>856</v>
      </c>
      <c r="D237" s="614">
        <v>1</v>
      </c>
    </row>
    <row r="238" spans="1:4" x14ac:dyDescent="0.25">
      <c r="A238" s="1160"/>
      <c r="B238" s="612">
        <v>609</v>
      </c>
      <c r="C238" s="613" t="s">
        <v>857</v>
      </c>
      <c r="D238" s="614">
        <v>1</v>
      </c>
    </row>
    <row r="239" spans="1:4" x14ac:dyDescent="0.25">
      <c r="A239" s="1160"/>
      <c r="B239" s="612">
        <v>629</v>
      </c>
      <c r="C239" s="613" t="s">
        <v>858</v>
      </c>
      <c r="D239" s="614">
        <v>1</v>
      </c>
    </row>
    <row r="240" spans="1:4" x14ac:dyDescent="0.25">
      <c r="A240" s="1160"/>
      <c r="B240" s="612">
        <v>603</v>
      </c>
      <c r="C240" s="613" t="s">
        <v>859</v>
      </c>
      <c r="D240" s="614">
        <v>1</v>
      </c>
    </row>
    <row r="241" spans="1:4" x14ac:dyDescent="0.25">
      <c r="A241" s="1160"/>
      <c r="B241" s="612">
        <v>623</v>
      </c>
      <c r="C241" s="613" t="s">
        <v>860</v>
      </c>
      <c r="D241" s="614">
        <v>1</v>
      </c>
    </row>
    <row r="242" spans="1:4" x14ac:dyDescent="0.25">
      <c r="A242" s="1160"/>
      <c r="B242" s="612">
        <v>635</v>
      </c>
      <c r="C242" s="613" t="s">
        <v>861</v>
      </c>
      <c r="D242" s="614">
        <v>1</v>
      </c>
    </row>
    <row r="243" spans="1:4" x14ac:dyDescent="0.25">
      <c r="A243" s="1160"/>
      <c r="B243" s="612">
        <v>638</v>
      </c>
      <c r="C243" s="613" t="s">
        <v>862</v>
      </c>
      <c r="D243" s="614">
        <v>1</v>
      </c>
    </row>
    <row r="244" spans="1:4" x14ac:dyDescent="0.25">
      <c r="A244" s="1160"/>
      <c r="B244" s="612">
        <v>628</v>
      </c>
      <c r="C244" s="613" t="s">
        <v>863</v>
      </c>
      <c r="D244" s="614">
        <v>1</v>
      </c>
    </row>
    <row r="245" spans="1:4" x14ac:dyDescent="0.25">
      <c r="A245" s="1160"/>
      <c r="B245" s="612">
        <v>617</v>
      </c>
      <c r="C245" s="613" t="s">
        <v>864</v>
      </c>
      <c r="D245" s="614">
        <v>1</v>
      </c>
    </row>
    <row r="246" spans="1:4" x14ac:dyDescent="0.25">
      <c r="A246" s="1160"/>
      <c r="B246" s="612">
        <v>622</v>
      </c>
      <c r="C246" s="613" t="s">
        <v>865</v>
      </c>
      <c r="D246" s="614">
        <v>1</v>
      </c>
    </row>
    <row r="247" spans="1:4" x14ac:dyDescent="0.25">
      <c r="A247" s="1160"/>
      <c r="B247" s="612">
        <v>634</v>
      </c>
      <c r="C247" s="613" t="s">
        <v>866</v>
      </c>
      <c r="D247" s="614">
        <v>1</v>
      </c>
    </row>
    <row r="248" spans="1:4" ht="13.5" customHeight="1" thickBot="1" x14ac:dyDescent="0.3">
      <c r="A248" s="1161"/>
      <c r="B248" s="605">
        <v>631</v>
      </c>
      <c r="C248" s="606" t="s">
        <v>867</v>
      </c>
      <c r="D248" s="607">
        <v>1</v>
      </c>
    </row>
    <row r="249" spans="1:4" ht="12.75" customHeight="1" x14ac:dyDescent="0.25">
      <c r="A249" s="1151" t="s">
        <v>868</v>
      </c>
      <c r="B249" s="602">
        <v>708</v>
      </c>
      <c r="C249" s="603" t="s">
        <v>869</v>
      </c>
      <c r="D249" s="604">
        <v>1</v>
      </c>
    </row>
    <row r="250" spans="1:4" ht="12.75" customHeight="1" x14ac:dyDescent="0.25">
      <c r="A250" s="1160"/>
      <c r="B250" s="612">
        <v>732</v>
      </c>
      <c r="C250" s="613" t="s">
        <v>870</v>
      </c>
      <c r="D250" s="614">
        <v>1</v>
      </c>
    </row>
    <row r="251" spans="1:4" ht="12.75" customHeight="1" x14ac:dyDescent="0.25">
      <c r="A251" s="1160"/>
      <c r="B251" s="612">
        <v>709</v>
      </c>
      <c r="C251" s="613" t="s">
        <v>871</v>
      </c>
      <c r="D251" s="614">
        <v>1</v>
      </c>
    </row>
    <row r="252" spans="1:4" x14ac:dyDescent="0.25">
      <c r="A252" s="1160"/>
      <c r="B252" s="612">
        <v>705</v>
      </c>
      <c r="C252" s="613" t="s">
        <v>872</v>
      </c>
      <c r="D252" s="614">
        <v>1</v>
      </c>
    </row>
    <row r="253" spans="1:4" x14ac:dyDescent="0.25">
      <c r="A253" s="1160"/>
      <c r="B253" s="612">
        <v>718</v>
      </c>
      <c r="C253" s="613" t="s">
        <v>873</v>
      </c>
      <c r="D253" s="614">
        <v>1</v>
      </c>
    </row>
    <row r="254" spans="1:4" x14ac:dyDescent="0.25">
      <c r="A254" s="1160"/>
      <c r="B254" s="612">
        <v>713</v>
      </c>
      <c r="C254" s="613" t="s">
        <v>874</v>
      </c>
      <c r="D254" s="614">
        <v>1</v>
      </c>
    </row>
    <row r="255" spans="1:4" x14ac:dyDescent="0.25">
      <c r="A255" s="1160"/>
      <c r="B255" s="612">
        <v>715</v>
      </c>
      <c r="C255" s="613" t="s">
        <v>875</v>
      </c>
      <c r="D255" s="614">
        <v>1</v>
      </c>
    </row>
    <row r="256" spans="1:4" x14ac:dyDescent="0.25">
      <c r="A256" s="1160"/>
      <c r="B256" s="612">
        <v>734</v>
      </c>
      <c r="C256" s="613" t="s">
        <v>876</v>
      </c>
      <c r="D256" s="614">
        <v>1</v>
      </c>
    </row>
    <row r="257" spans="1:4" x14ac:dyDescent="0.25">
      <c r="A257" s="1160"/>
      <c r="B257" s="612">
        <v>706</v>
      </c>
      <c r="C257" s="613" t="s">
        <v>877</v>
      </c>
      <c r="D257" s="614">
        <v>1</v>
      </c>
    </row>
    <row r="258" spans="1:4" x14ac:dyDescent="0.25">
      <c r="A258" s="1160"/>
      <c r="B258" s="612">
        <v>727</v>
      </c>
      <c r="C258" s="613" t="s">
        <v>878</v>
      </c>
      <c r="D258" s="614">
        <v>1</v>
      </c>
    </row>
    <row r="259" spans="1:4" x14ac:dyDescent="0.25">
      <c r="A259" s="1160"/>
      <c r="B259" s="612">
        <v>702</v>
      </c>
      <c r="C259" s="613" t="s">
        <v>879</v>
      </c>
      <c r="D259" s="614">
        <v>1</v>
      </c>
    </row>
    <row r="260" spans="1:4" x14ac:dyDescent="0.25">
      <c r="A260" s="1160"/>
      <c r="B260" s="612">
        <v>738</v>
      </c>
      <c r="C260" s="613" t="s">
        <v>880</v>
      </c>
      <c r="D260" s="614">
        <v>1</v>
      </c>
    </row>
    <row r="261" spans="1:4" x14ac:dyDescent="0.25">
      <c r="A261" s="1160"/>
      <c r="B261" s="612">
        <v>737</v>
      </c>
      <c r="C261" s="613" t="s">
        <v>881</v>
      </c>
      <c r="D261" s="614">
        <v>1</v>
      </c>
    </row>
    <row r="262" spans="1:4" x14ac:dyDescent="0.25">
      <c r="A262" s="1160"/>
      <c r="B262" s="612">
        <v>714</v>
      </c>
      <c r="C262" s="613" t="s">
        <v>882</v>
      </c>
      <c r="D262" s="614">
        <v>1</v>
      </c>
    </row>
    <row r="263" spans="1:4" x14ac:dyDescent="0.25">
      <c r="A263" s="1160"/>
      <c r="B263" s="612">
        <v>726</v>
      </c>
      <c r="C263" s="613" t="s">
        <v>883</v>
      </c>
      <c r="D263" s="614">
        <v>1</v>
      </c>
    </row>
    <row r="264" spans="1:4" x14ac:dyDescent="0.25">
      <c r="A264" s="1160"/>
      <c r="B264" s="612">
        <v>704</v>
      </c>
      <c r="C264" s="613" t="s">
        <v>884</v>
      </c>
      <c r="D264" s="614">
        <v>1</v>
      </c>
    </row>
    <row r="265" spans="1:4" x14ac:dyDescent="0.25">
      <c r="A265" s="1160"/>
      <c r="B265" s="612">
        <v>735</v>
      </c>
      <c r="C265" s="613" t="s">
        <v>885</v>
      </c>
      <c r="D265" s="614">
        <v>1</v>
      </c>
    </row>
    <row r="266" spans="1:4" x14ac:dyDescent="0.25">
      <c r="A266" s="1160"/>
      <c r="B266" s="612">
        <v>728</v>
      </c>
      <c r="C266" s="613" t="s">
        <v>886</v>
      </c>
      <c r="D266" s="614">
        <v>1</v>
      </c>
    </row>
    <row r="267" spans="1:4" ht="12.75" customHeight="1" x14ac:dyDescent="0.25">
      <c r="A267" s="1160"/>
      <c r="B267" s="612">
        <v>729</v>
      </c>
      <c r="C267" s="613" t="s">
        <v>887</v>
      </c>
      <c r="D267" s="614">
        <v>1</v>
      </c>
    </row>
    <row r="268" spans="1:4" x14ac:dyDescent="0.25">
      <c r="A268" s="1160"/>
      <c r="B268" s="612">
        <v>717</v>
      </c>
      <c r="C268" s="613" t="s">
        <v>888</v>
      </c>
      <c r="D268" s="614">
        <v>1</v>
      </c>
    </row>
    <row r="269" spans="1:4" x14ac:dyDescent="0.25">
      <c r="A269" s="1160"/>
      <c r="B269" s="612">
        <v>721</v>
      </c>
      <c r="C269" s="613" t="s">
        <v>889</v>
      </c>
      <c r="D269" s="614">
        <v>1</v>
      </c>
    </row>
    <row r="270" spans="1:4" x14ac:dyDescent="0.25">
      <c r="A270" s="1160"/>
      <c r="B270" s="612">
        <v>723</v>
      </c>
      <c r="C270" s="613" t="s">
        <v>890</v>
      </c>
      <c r="D270" s="614">
        <v>1</v>
      </c>
    </row>
    <row r="271" spans="1:4" x14ac:dyDescent="0.25">
      <c r="A271" s="1160"/>
      <c r="B271" s="612">
        <v>722</v>
      </c>
      <c r="C271" s="613" t="s">
        <v>891</v>
      </c>
      <c r="D271" s="614">
        <v>1</v>
      </c>
    </row>
    <row r="272" spans="1:4" x14ac:dyDescent="0.25">
      <c r="A272" s="1160"/>
      <c r="B272" s="612">
        <v>707</v>
      </c>
      <c r="C272" s="613" t="s">
        <v>892</v>
      </c>
      <c r="D272" s="614">
        <v>1</v>
      </c>
    </row>
    <row r="273" spans="1:4" x14ac:dyDescent="0.25">
      <c r="A273" s="1160"/>
      <c r="B273" s="612">
        <v>703</v>
      </c>
      <c r="C273" s="613" t="s">
        <v>893</v>
      </c>
      <c r="D273" s="614">
        <v>1</v>
      </c>
    </row>
    <row r="274" spans="1:4" x14ac:dyDescent="0.25">
      <c r="A274" s="1160"/>
      <c r="B274" s="612">
        <v>700</v>
      </c>
      <c r="C274" s="613" t="s">
        <v>894</v>
      </c>
      <c r="D274" s="614">
        <v>1</v>
      </c>
    </row>
    <row r="275" spans="1:4" x14ac:dyDescent="0.25">
      <c r="A275" s="1160"/>
      <c r="B275" s="612">
        <v>716</v>
      </c>
      <c r="C275" s="613" t="s">
        <v>895</v>
      </c>
      <c r="D275" s="614">
        <v>1</v>
      </c>
    </row>
    <row r="276" spans="1:4" x14ac:dyDescent="0.25">
      <c r="A276" s="1160"/>
      <c r="B276" s="612">
        <v>725</v>
      </c>
      <c r="C276" s="613" t="s">
        <v>896</v>
      </c>
      <c r="D276" s="614">
        <v>1</v>
      </c>
    </row>
    <row r="277" spans="1:4" x14ac:dyDescent="0.25">
      <c r="A277" s="1160"/>
      <c r="B277" s="612">
        <v>712</v>
      </c>
      <c r="C277" s="613" t="s">
        <v>897</v>
      </c>
      <c r="D277" s="614">
        <v>1</v>
      </c>
    </row>
    <row r="278" spans="1:4" x14ac:dyDescent="0.25">
      <c r="A278" s="1160"/>
      <c r="B278" s="612">
        <v>736</v>
      </c>
      <c r="C278" s="613" t="s">
        <v>898</v>
      </c>
      <c r="D278" s="614">
        <v>1</v>
      </c>
    </row>
    <row r="279" spans="1:4" x14ac:dyDescent="0.25">
      <c r="A279" s="1160"/>
      <c r="B279" s="612">
        <v>720</v>
      </c>
      <c r="C279" s="613" t="s">
        <v>899</v>
      </c>
      <c r="D279" s="614">
        <v>1</v>
      </c>
    </row>
    <row r="280" spans="1:4" ht="13.5" thickBot="1" x14ac:dyDescent="0.3">
      <c r="A280" s="1161"/>
      <c r="B280" s="605">
        <v>711</v>
      </c>
      <c r="C280" s="606" t="s">
        <v>900</v>
      </c>
      <c r="D280" s="607">
        <v>1</v>
      </c>
    </row>
    <row r="281" spans="1:4" ht="14.25" customHeight="1" x14ac:dyDescent="0.25">
      <c r="A281" s="1151" t="s">
        <v>901</v>
      </c>
      <c r="B281" s="602">
        <v>4423</v>
      </c>
      <c r="C281" s="603" t="s">
        <v>902</v>
      </c>
      <c r="D281" s="604">
        <v>1</v>
      </c>
    </row>
    <row r="282" spans="1:4" ht="14.25" customHeight="1" x14ac:dyDescent="0.25">
      <c r="A282" s="1160"/>
      <c r="B282" s="615">
        <v>4428</v>
      </c>
      <c r="C282" s="616" t="s">
        <v>903</v>
      </c>
      <c r="D282" s="617">
        <v>1</v>
      </c>
    </row>
    <row r="283" spans="1:4" x14ac:dyDescent="0.25">
      <c r="A283" s="1160"/>
      <c r="B283" s="612">
        <v>4430</v>
      </c>
      <c r="C283" s="613" t="s">
        <v>904</v>
      </c>
      <c r="D283" s="614">
        <v>1</v>
      </c>
    </row>
    <row r="284" spans="1:4" x14ac:dyDescent="0.25">
      <c r="A284" s="1160"/>
      <c r="B284" s="612">
        <v>4400</v>
      </c>
      <c r="C284" s="613" t="s">
        <v>905</v>
      </c>
      <c r="D284" s="614">
        <v>1</v>
      </c>
    </row>
    <row r="285" spans="1:4" ht="12" customHeight="1" x14ac:dyDescent="0.25">
      <c r="A285" s="1160"/>
      <c r="B285" s="612">
        <v>4414</v>
      </c>
      <c r="C285" s="613" t="s">
        <v>906</v>
      </c>
      <c r="D285" s="614">
        <v>1</v>
      </c>
    </row>
    <row r="286" spans="1:4" x14ac:dyDescent="0.25">
      <c r="A286" s="1160"/>
      <c r="B286" s="612">
        <v>4418</v>
      </c>
      <c r="C286" s="613" t="s">
        <v>907</v>
      </c>
      <c r="D286" s="614">
        <v>1</v>
      </c>
    </row>
    <row r="287" spans="1:4" x14ac:dyDescent="0.25">
      <c r="A287" s="1160"/>
      <c r="B287" s="612">
        <v>4407</v>
      </c>
      <c r="C287" s="613" t="s">
        <v>908</v>
      </c>
      <c r="D287" s="614">
        <v>1</v>
      </c>
    </row>
    <row r="288" spans="1:4" x14ac:dyDescent="0.25">
      <c r="A288" s="1160"/>
      <c r="B288" s="612">
        <v>4420</v>
      </c>
      <c r="C288" s="613" t="s">
        <v>909</v>
      </c>
      <c r="D288" s="614">
        <v>1</v>
      </c>
    </row>
    <row r="289" spans="1:4" x14ac:dyDescent="0.25">
      <c r="A289" s="1160"/>
      <c r="B289" s="612">
        <v>4404</v>
      </c>
      <c r="C289" s="613" t="s">
        <v>910</v>
      </c>
      <c r="D289" s="614">
        <v>1</v>
      </c>
    </row>
    <row r="290" spans="1:4" x14ac:dyDescent="0.25">
      <c r="A290" s="1160"/>
      <c r="B290" s="612">
        <v>4419</v>
      </c>
      <c r="C290" s="613" t="s">
        <v>911</v>
      </c>
      <c r="D290" s="614">
        <v>1</v>
      </c>
    </row>
    <row r="291" spans="1:4" x14ac:dyDescent="0.25">
      <c r="A291" s="1160"/>
      <c r="B291" s="612">
        <v>4421</v>
      </c>
      <c r="C291" s="613" t="s">
        <v>912</v>
      </c>
      <c r="D291" s="614">
        <v>1</v>
      </c>
    </row>
    <row r="292" spans="1:4" x14ac:dyDescent="0.25">
      <c r="A292" s="1160"/>
      <c r="B292" s="612">
        <v>4429</v>
      </c>
      <c r="C292" s="613" t="s">
        <v>913</v>
      </c>
      <c r="D292" s="614">
        <v>1</v>
      </c>
    </row>
    <row r="293" spans="1:4" x14ac:dyDescent="0.25">
      <c r="A293" s="1160"/>
      <c r="B293" s="612">
        <v>4408</v>
      </c>
      <c r="C293" s="613" t="s">
        <v>914</v>
      </c>
      <c r="D293" s="614">
        <v>1</v>
      </c>
    </row>
    <row r="294" spans="1:4" x14ac:dyDescent="0.25">
      <c r="A294" s="1160"/>
      <c r="B294" s="612">
        <v>4424</v>
      </c>
      <c r="C294" s="613" t="s">
        <v>915</v>
      </c>
      <c r="D294" s="614">
        <v>1</v>
      </c>
    </row>
    <row r="295" spans="1:4" x14ac:dyDescent="0.25">
      <c r="A295" s="1160"/>
      <c r="B295" s="612">
        <v>4402</v>
      </c>
      <c r="C295" s="613" t="s">
        <v>916</v>
      </c>
      <c r="D295" s="614">
        <v>1</v>
      </c>
    </row>
    <row r="296" spans="1:4" x14ac:dyDescent="0.25">
      <c r="A296" s="1160"/>
      <c r="B296" s="612">
        <v>4405</v>
      </c>
      <c r="C296" s="613" t="s">
        <v>917</v>
      </c>
      <c r="D296" s="614">
        <v>1</v>
      </c>
    </row>
    <row r="297" spans="1:4" x14ac:dyDescent="0.25">
      <c r="A297" s="1160"/>
      <c r="B297" s="612">
        <v>4409</v>
      </c>
      <c r="C297" s="613" t="s">
        <v>918</v>
      </c>
      <c r="D297" s="614">
        <v>1</v>
      </c>
    </row>
    <row r="298" spans="1:4" x14ac:dyDescent="0.25">
      <c r="A298" s="1160"/>
      <c r="B298" s="612">
        <v>4413</v>
      </c>
      <c r="C298" s="613" t="s">
        <v>919</v>
      </c>
      <c r="D298" s="614">
        <v>1</v>
      </c>
    </row>
    <row r="299" spans="1:4" x14ac:dyDescent="0.25">
      <c r="A299" s="1160"/>
      <c r="B299" s="612">
        <v>4427</v>
      </c>
      <c r="C299" s="613" t="s">
        <v>920</v>
      </c>
      <c r="D299" s="614">
        <v>1</v>
      </c>
    </row>
    <row r="300" spans="1:4" x14ac:dyDescent="0.25">
      <c r="A300" s="1160"/>
      <c r="B300" s="612">
        <v>4401</v>
      </c>
      <c r="C300" s="613" t="s">
        <v>921</v>
      </c>
      <c r="D300" s="614">
        <v>1</v>
      </c>
    </row>
    <row r="301" spans="1:4" x14ac:dyDescent="0.25">
      <c r="A301" s="1160"/>
      <c r="B301" s="612">
        <v>4422</v>
      </c>
      <c r="C301" s="613" t="s">
        <v>922</v>
      </c>
      <c r="D301" s="614">
        <v>1</v>
      </c>
    </row>
    <row r="302" spans="1:4" ht="15" customHeight="1" x14ac:dyDescent="0.25">
      <c r="A302" s="1160"/>
      <c r="B302" s="612">
        <v>4416</v>
      </c>
      <c r="C302" s="613" t="s">
        <v>923</v>
      </c>
      <c r="D302" s="614">
        <v>1</v>
      </c>
    </row>
    <row r="303" spans="1:4" ht="13.5" thickBot="1" x14ac:dyDescent="0.3">
      <c r="A303" s="1160"/>
      <c r="B303" s="615">
        <v>4403</v>
      </c>
      <c r="C303" s="616" t="s">
        <v>924</v>
      </c>
      <c r="D303" s="617">
        <v>1</v>
      </c>
    </row>
    <row r="304" spans="1:4" x14ac:dyDescent="0.25">
      <c r="A304" s="1151" t="s">
        <v>925</v>
      </c>
      <c r="B304" s="602">
        <v>818</v>
      </c>
      <c r="C304" s="603" t="s">
        <v>926</v>
      </c>
      <c r="D304" s="604">
        <v>1</v>
      </c>
    </row>
    <row r="305" spans="1:4" x14ac:dyDescent="0.25">
      <c r="A305" s="1160"/>
      <c r="B305" s="612">
        <v>801</v>
      </c>
      <c r="C305" s="613" t="s">
        <v>927</v>
      </c>
      <c r="D305" s="614">
        <v>1</v>
      </c>
    </row>
    <row r="306" spans="1:4" x14ac:dyDescent="0.25">
      <c r="A306" s="1160"/>
      <c r="B306" s="612">
        <v>817</v>
      </c>
      <c r="C306" s="613" t="s">
        <v>928</v>
      </c>
      <c r="D306" s="614">
        <v>1</v>
      </c>
    </row>
    <row r="307" spans="1:4" ht="13.5" thickBot="1" x14ac:dyDescent="0.3">
      <c r="A307" s="1160"/>
      <c r="B307" s="615">
        <v>828</v>
      </c>
      <c r="C307" s="616" t="s">
        <v>929</v>
      </c>
      <c r="D307" s="617">
        <v>1</v>
      </c>
    </row>
    <row r="308" spans="1:4" x14ac:dyDescent="0.25">
      <c r="A308" s="1151" t="s">
        <v>930</v>
      </c>
      <c r="B308" s="602">
        <v>4537</v>
      </c>
      <c r="C308" s="603" t="s">
        <v>815</v>
      </c>
      <c r="D308" s="604">
        <v>1</v>
      </c>
    </row>
    <row r="309" spans="1:4" x14ac:dyDescent="0.25">
      <c r="A309" s="1160"/>
      <c r="B309" s="612">
        <v>4534</v>
      </c>
      <c r="C309" s="613" t="s">
        <v>931</v>
      </c>
      <c r="D309" s="614">
        <v>1</v>
      </c>
    </row>
    <row r="310" spans="1:4" x14ac:dyDescent="0.25">
      <c r="A310" s="1160"/>
      <c r="B310" s="612">
        <v>4506</v>
      </c>
      <c r="C310" s="613" t="s">
        <v>932</v>
      </c>
      <c r="D310" s="614">
        <v>1</v>
      </c>
    </row>
    <row r="311" spans="1:4" x14ac:dyDescent="0.25">
      <c r="A311" s="1160"/>
      <c r="B311" s="612">
        <v>4521</v>
      </c>
      <c r="C311" s="613" t="s">
        <v>933</v>
      </c>
      <c r="D311" s="614">
        <v>1</v>
      </c>
    </row>
    <row r="312" spans="1:4" x14ac:dyDescent="0.25">
      <c r="A312" s="1160"/>
      <c r="B312" s="612">
        <v>4527</v>
      </c>
      <c r="C312" s="613" t="s">
        <v>934</v>
      </c>
      <c r="D312" s="614">
        <v>1</v>
      </c>
    </row>
    <row r="313" spans="1:4" x14ac:dyDescent="0.25">
      <c r="A313" s="1160"/>
      <c r="B313" s="612">
        <v>4511</v>
      </c>
      <c r="C313" s="613" t="s">
        <v>935</v>
      </c>
      <c r="D313" s="614">
        <v>1</v>
      </c>
    </row>
    <row r="314" spans="1:4" x14ac:dyDescent="0.25">
      <c r="A314" s="1160"/>
      <c r="B314" s="612">
        <v>4504</v>
      </c>
      <c r="C314" s="613" t="s">
        <v>936</v>
      </c>
      <c r="D314" s="614">
        <v>1</v>
      </c>
    </row>
    <row r="315" spans="1:4" x14ac:dyDescent="0.25">
      <c r="A315" s="1160"/>
      <c r="B315" s="612">
        <v>4526</v>
      </c>
      <c r="C315" s="613" t="s">
        <v>937</v>
      </c>
      <c r="D315" s="614">
        <v>1</v>
      </c>
    </row>
    <row r="316" spans="1:4" x14ac:dyDescent="0.25">
      <c r="A316" s="1160"/>
      <c r="B316" s="612">
        <v>4505</v>
      </c>
      <c r="C316" s="613" t="s">
        <v>938</v>
      </c>
      <c r="D316" s="614">
        <v>1</v>
      </c>
    </row>
    <row r="317" spans="1:4" ht="12.75" customHeight="1" x14ac:dyDescent="0.25">
      <c r="A317" s="1160"/>
      <c r="B317" s="612">
        <v>4528</v>
      </c>
      <c r="C317" s="613" t="s">
        <v>939</v>
      </c>
      <c r="D317" s="614">
        <v>1</v>
      </c>
    </row>
    <row r="318" spans="1:4" x14ac:dyDescent="0.25">
      <c r="A318" s="1160"/>
      <c r="B318" s="612">
        <v>4532</v>
      </c>
      <c r="C318" s="613" t="s">
        <v>940</v>
      </c>
      <c r="D318" s="614">
        <v>1</v>
      </c>
    </row>
    <row r="319" spans="1:4" x14ac:dyDescent="0.25">
      <c r="A319" s="1160"/>
      <c r="B319" s="612">
        <v>4529</v>
      </c>
      <c r="C319" s="613" t="s">
        <v>941</v>
      </c>
      <c r="D319" s="614">
        <v>1</v>
      </c>
    </row>
    <row r="320" spans="1:4" x14ac:dyDescent="0.25">
      <c r="A320" s="1160"/>
      <c r="B320" s="612">
        <v>4517</v>
      </c>
      <c r="C320" s="613" t="s">
        <v>942</v>
      </c>
      <c r="D320" s="614">
        <v>1</v>
      </c>
    </row>
    <row r="321" spans="1:4" x14ac:dyDescent="0.25">
      <c r="A321" s="1160"/>
      <c r="B321" s="612">
        <v>4524</v>
      </c>
      <c r="C321" s="613" t="s">
        <v>943</v>
      </c>
      <c r="D321" s="614">
        <v>1</v>
      </c>
    </row>
    <row r="322" spans="1:4" x14ac:dyDescent="0.25">
      <c r="A322" s="1160"/>
      <c r="B322" s="612">
        <v>4525</v>
      </c>
      <c r="C322" s="613" t="s">
        <v>944</v>
      </c>
      <c r="D322" s="614">
        <v>1</v>
      </c>
    </row>
    <row r="323" spans="1:4" x14ac:dyDescent="0.25">
      <c r="A323" s="1160"/>
      <c r="B323" s="612">
        <v>4501</v>
      </c>
      <c r="C323" s="613" t="s">
        <v>945</v>
      </c>
      <c r="D323" s="614">
        <v>1</v>
      </c>
    </row>
    <row r="324" spans="1:4" x14ac:dyDescent="0.25">
      <c r="A324" s="1160"/>
      <c r="B324" s="612">
        <v>4530</v>
      </c>
      <c r="C324" s="613" t="s">
        <v>946</v>
      </c>
      <c r="D324" s="614">
        <v>1</v>
      </c>
    </row>
    <row r="325" spans="1:4" x14ac:dyDescent="0.25">
      <c r="A325" s="1160"/>
      <c r="B325" s="612">
        <v>4531</v>
      </c>
      <c r="C325" s="613" t="s">
        <v>947</v>
      </c>
      <c r="D325" s="614">
        <v>1</v>
      </c>
    </row>
    <row r="326" spans="1:4" x14ac:dyDescent="0.25">
      <c r="A326" s="1160"/>
      <c r="B326" s="612">
        <v>4508</v>
      </c>
      <c r="C326" s="613" t="s">
        <v>948</v>
      </c>
      <c r="D326" s="614">
        <v>1</v>
      </c>
    </row>
    <row r="327" spans="1:4" x14ac:dyDescent="0.25">
      <c r="A327" s="1160"/>
      <c r="B327" s="612">
        <v>4523</v>
      </c>
      <c r="C327" s="613" t="s">
        <v>723</v>
      </c>
      <c r="D327" s="614">
        <v>1</v>
      </c>
    </row>
    <row r="328" spans="1:4" x14ac:dyDescent="0.25">
      <c r="A328" s="1160"/>
      <c r="B328" s="612">
        <v>4540</v>
      </c>
      <c r="C328" s="613" t="s">
        <v>949</v>
      </c>
      <c r="D328" s="614">
        <v>1</v>
      </c>
    </row>
    <row r="329" spans="1:4" x14ac:dyDescent="0.25">
      <c r="A329" s="1160"/>
      <c r="B329" s="612">
        <v>4507</v>
      </c>
      <c r="C329" s="613" t="s">
        <v>950</v>
      </c>
      <c r="D329" s="614">
        <v>1</v>
      </c>
    </row>
    <row r="330" spans="1:4" x14ac:dyDescent="0.25">
      <c r="A330" s="1160"/>
      <c r="B330" s="612">
        <v>4518</v>
      </c>
      <c r="C330" s="613" t="s">
        <v>951</v>
      </c>
      <c r="D330" s="614">
        <v>1</v>
      </c>
    </row>
    <row r="331" spans="1:4" x14ac:dyDescent="0.25">
      <c r="A331" s="1160"/>
      <c r="B331" s="612">
        <v>4503</v>
      </c>
      <c r="C331" s="613" t="s">
        <v>807</v>
      </c>
      <c r="D331" s="614">
        <v>1</v>
      </c>
    </row>
    <row r="332" spans="1:4" x14ac:dyDescent="0.25">
      <c r="A332" s="1160"/>
      <c r="B332" s="612">
        <v>4513</v>
      </c>
      <c r="C332" s="613" t="s">
        <v>952</v>
      </c>
      <c r="D332" s="614">
        <v>1</v>
      </c>
    </row>
    <row r="333" spans="1:4" x14ac:dyDescent="0.25">
      <c r="A333" s="1160"/>
      <c r="B333" s="612">
        <v>4512</v>
      </c>
      <c r="C333" s="613" t="s">
        <v>953</v>
      </c>
      <c r="D333" s="614">
        <v>1</v>
      </c>
    </row>
    <row r="334" spans="1:4" x14ac:dyDescent="0.25">
      <c r="A334" s="1160"/>
      <c r="B334" s="612">
        <v>4500</v>
      </c>
      <c r="C334" s="613" t="s">
        <v>954</v>
      </c>
      <c r="D334" s="614">
        <v>1</v>
      </c>
    </row>
    <row r="335" spans="1:4" x14ac:dyDescent="0.25">
      <c r="A335" s="1160"/>
      <c r="B335" s="612">
        <v>4538</v>
      </c>
      <c r="C335" s="613" t="s">
        <v>955</v>
      </c>
      <c r="D335" s="614">
        <v>1</v>
      </c>
    </row>
    <row r="336" spans="1:4" x14ac:dyDescent="0.25">
      <c r="A336" s="1160"/>
      <c r="B336" s="612">
        <v>4519</v>
      </c>
      <c r="C336" s="613" t="s">
        <v>956</v>
      </c>
      <c r="D336" s="614">
        <v>1</v>
      </c>
    </row>
    <row r="337" spans="1:4" x14ac:dyDescent="0.25">
      <c r="A337" s="1160"/>
      <c r="B337" s="612">
        <v>4520</v>
      </c>
      <c r="C337" s="613" t="s">
        <v>957</v>
      </c>
      <c r="D337" s="614">
        <v>1</v>
      </c>
    </row>
    <row r="338" spans="1:4" x14ac:dyDescent="0.25">
      <c r="A338" s="1160"/>
      <c r="B338" s="612">
        <v>4536</v>
      </c>
      <c r="C338" s="613" t="s">
        <v>958</v>
      </c>
      <c r="D338" s="614">
        <v>1</v>
      </c>
    </row>
    <row r="339" spans="1:4" x14ac:dyDescent="0.25">
      <c r="A339" s="1160"/>
      <c r="B339" s="612">
        <v>4533</v>
      </c>
      <c r="C339" s="613" t="s">
        <v>959</v>
      </c>
      <c r="D339" s="614">
        <v>1</v>
      </c>
    </row>
    <row r="340" spans="1:4" x14ac:dyDescent="0.25">
      <c r="A340" s="1160"/>
      <c r="B340" s="612">
        <v>4539</v>
      </c>
      <c r="C340" s="613" t="s">
        <v>960</v>
      </c>
      <c r="D340" s="614">
        <v>1</v>
      </c>
    </row>
    <row r="341" spans="1:4" x14ac:dyDescent="0.25">
      <c r="A341" s="1160"/>
      <c r="B341" s="612">
        <v>4522</v>
      </c>
      <c r="C341" s="613" t="s">
        <v>961</v>
      </c>
      <c r="D341" s="614">
        <v>1</v>
      </c>
    </row>
    <row r="342" spans="1:4" x14ac:dyDescent="0.25">
      <c r="A342" s="1160"/>
      <c r="B342" s="612">
        <v>4516</v>
      </c>
      <c r="C342" s="613" t="s">
        <v>962</v>
      </c>
      <c r="D342" s="614">
        <v>1</v>
      </c>
    </row>
    <row r="343" spans="1:4" x14ac:dyDescent="0.25">
      <c r="A343" s="1160"/>
      <c r="B343" s="612">
        <v>4502</v>
      </c>
      <c r="C343" s="613" t="s">
        <v>963</v>
      </c>
      <c r="D343" s="614">
        <v>1</v>
      </c>
    </row>
    <row r="344" spans="1:4" x14ac:dyDescent="0.25">
      <c r="A344" s="1160"/>
      <c r="B344" s="612">
        <v>4535</v>
      </c>
      <c r="C344" s="613" t="s">
        <v>964</v>
      </c>
      <c r="D344" s="614">
        <v>1</v>
      </c>
    </row>
    <row r="345" spans="1:4" x14ac:dyDescent="0.25">
      <c r="A345" s="1160"/>
      <c r="B345" s="612">
        <v>4541</v>
      </c>
      <c r="C345" s="613" t="s">
        <v>965</v>
      </c>
      <c r="D345" s="614">
        <v>1</v>
      </c>
    </row>
    <row r="346" spans="1:4" x14ac:dyDescent="0.25">
      <c r="A346" s="1160"/>
      <c r="B346" s="612">
        <v>4509</v>
      </c>
      <c r="C346" s="613" t="s">
        <v>966</v>
      </c>
      <c r="D346" s="614">
        <v>1</v>
      </c>
    </row>
    <row r="347" spans="1:4" ht="13.5" thickBot="1" x14ac:dyDescent="0.3">
      <c r="A347" s="1161"/>
      <c r="B347" s="605">
        <v>4515</v>
      </c>
      <c r="C347" s="606" t="s">
        <v>967</v>
      </c>
      <c r="D347" s="607">
        <v>1</v>
      </c>
    </row>
    <row r="348" spans="1:4" x14ac:dyDescent="0.25">
      <c r="A348" s="1151" t="s">
        <v>968</v>
      </c>
      <c r="B348" s="618">
        <v>917</v>
      </c>
      <c r="C348" s="619" t="s">
        <v>969</v>
      </c>
      <c r="D348" s="620">
        <v>1</v>
      </c>
    </row>
    <row r="349" spans="1:4" x14ac:dyDescent="0.25">
      <c r="A349" s="1160"/>
      <c r="B349" s="612">
        <v>904</v>
      </c>
      <c r="C349" s="613" t="s">
        <v>970</v>
      </c>
      <c r="D349" s="614">
        <v>1</v>
      </c>
    </row>
    <row r="350" spans="1:4" x14ac:dyDescent="0.25">
      <c r="A350" s="1160"/>
      <c r="B350" s="612">
        <v>901</v>
      </c>
      <c r="C350" s="613" t="s">
        <v>921</v>
      </c>
      <c r="D350" s="614">
        <v>1</v>
      </c>
    </row>
    <row r="351" spans="1:4" x14ac:dyDescent="0.25">
      <c r="A351" s="1160"/>
      <c r="B351" s="612">
        <v>908</v>
      </c>
      <c r="C351" s="613" t="s">
        <v>971</v>
      </c>
      <c r="D351" s="614">
        <v>1</v>
      </c>
    </row>
    <row r="352" spans="1:4" x14ac:dyDescent="0.25">
      <c r="A352" s="1160"/>
      <c r="B352" s="612">
        <v>903</v>
      </c>
      <c r="C352" s="613" t="s">
        <v>713</v>
      </c>
      <c r="D352" s="614">
        <v>1</v>
      </c>
    </row>
    <row r="353" spans="1:4" x14ac:dyDescent="0.25">
      <c r="A353" s="1160"/>
      <c r="B353" s="612">
        <v>924</v>
      </c>
      <c r="C353" s="613" t="s">
        <v>972</v>
      </c>
      <c r="D353" s="614">
        <v>1</v>
      </c>
    </row>
    <row r="354" spans="1:4" x14ac:dyDescent="0.25">
      <c r="A354" s="1160"/>
      <c r="B354" s="612">
        <v>918</v>
      </c>
      <c r="C354" s="613" t="s">
        <v>973</v>
      </c>
      <c r="D354" s="614">
        <v>1</v>
      </c>
    </row>
    <row r="355" spans="1:4" x14ac:dyDescent="0.25">
      <c r="A355" s="1160"/>
      <c r="B355" s="612">
        <v>933</v>
      </c>
      <c r="C355" s="613" t="s">
        <v>974</v>
      </c>
      <c r="D355" s="614">
        <v>1</v>
      </c>
    </row>
    <row r="356" spans="1:4" x14ac:dyDescent="0.25">
      <c r="A356" s="1160"/>
      <c r="B356" s="612">
        <v>926</v>
      </c>
      <c r="C356" s="613" t="s">
        <v>975</v>
      </c>
      <c r="D356" s="614">
        <v>1</v>
      </c>
    </row>
    <row r="357" spans="1:4" x14ac:dyDescent="0.25">
      <c r="A357" s="1160"/>
      <c r="B357" s="612">
        <v>913</v>
      </c>
      <c r="C357" s="613" t="s">
        <v>976</v>
      </c>
      <c r="D357" s="614">
        <v>1</v>
      </c>
    </row>
    <row r="358" spans="1:4" x14ac:dyDescent="0.25">
      <c r="A358" s="1160"/>
      <c r="B358" s="612">
        <v>921</v>
      </c>
      <c r="C358" s="613" t="s">
        <v>977</v>
      </c>
      <c r="D358" s="614">
        <v>1</v>
      </c>
    </row>
    <row r="359" spans="1:4" x14ac:dyDescent="0.25">
      <c r="A359" s="1160"/>
      <c r="B359" s="612">
        <v>914</v>
      </c>
      <c r="C359" s="613" t="s">
        <v>978</v>
      </c>
      <c r="D359" s="614">
        <v>1</v>
      </c>
    </row>
    <row r="360" spans="1:4" x14ac:dyDescent="0.25">
      <c r="A360" s="1160"/>
      <c r="B360" s="612">
        <v>900</v>
      </c>
      <c r="C360" s="613" t="s">
        <v>979</v>
      </c>
      <c r="D360" s="614">
        <v>1</v>
      </c>
    </row>
    <row r="361" spans="1:4" x14ac:dyDescent="0.25">
      <c r="A361" s="1160"/>
      <c r="B361" s="612">
        <v>916</v>
      </c>
      <c r="C361" s="613" t="s">
        <v>980</v>
      </c>
      <c r="D361" s="614">
        <v>1</v>
      </c>
    </row>
    <row r="362" spans="1:4" x14ac:dyDescent="0.25">
      <c r="A362" s="1160"/>
      <c r="B362" s="612">
        <v>929</v>
      </c>
      <c r="C362" s="613" t="s">
        <v>981</v>
      </c>
      <c r="D362" s="614">
        <v>1</v>
      </c>
    </row>
    <row r="363" spans="1:4" x14ac:dyDescent="0.25">
      <c r="A363" s="1160"/>
      <c r="B363" s="612">
        <v>907</v>
      </c>
      <c r="C363" s="613" t="s">
        <v>982</v>
      </c>
      <c r="D363" s="614">
        <v>1</v>
      </c>
    </row>
    <row r="364" spans="1:4" x14ac:dyDescent="0.25">
      <c r="A364" s="1160"/>
      <c r="B364" s="612">
        <v>927</v>
      </c>
      <c r="C364" s="613" t="s">
        <v>983</v>
      </c>
      <c r="D364" s="614">
        <v>1</v>
      </c>
    </row>
    <row r="365" spans="1:4" x14ac:dyDescent="0.25">
      <c r="A365" s="1160"/>
      <c r="B365" s="612">
        <v>912</v>
      </c>
      <c r="C365" s="613" t="s">
        <v>984</v>
      </c>
      <c r="D365" s="614">
        <v>1</v>
      </c>
    </row>
    <row r="366" spans="1:4" x14ac:dyDescent="0.25">
      <c r="A366" s="1160"/>
      <c r="B366" s="612">
        <v>909</v>
      </c>
      <c r="C366" s="613" t="s">
        <v>985</v>
      </c>
      <c r="D366" s="614">
        <v>1</v>
      </c>
    </row>
    <row r="367" spans="1:4" x14ac:dyDescent="0.25">
      <c r="A367" s="1160"/>
      <c r="B367" s="612">
        <v>925</v>
      </c>
      <c r="C367" s="613" t="s">
        <v>986</v>
      </c>
      <c r="D367" s="614">
        <v>1</v>
      </c>
    </row>
    <row r="368" spans="1:4" x14ac:dyDescent="0.25">
      <c r="A368" s="1160"/>
      <c r="B368" s="612">
        <v>920</v>
      </c>
      <c r="C368" s="613" t="s">
        <v>987</v>
      </c>
      <c r="D368" s="614">
        <v>1</v>
      </c>
    </row>
    <row r="369" spans="1:4" x14ac:dyDescent="0.25">
      <c r="A369" s="1160"/>
      <c r="B369" s="612">
        <v>915</v>
      </c>
      <c r="C369" s="613" t="s">
        <v>988</v>
      </c>
      <c r="D369" s="614">
        <v>1</v>
      </c>
    </row>
    <row r="370" spans="1:4" x14ac:dyDescent="0.25">
      <c r="A370" s="1160"/>
      <c r="B370" s="612">
        <v>931</v>
      </c>
      <c r="C370" s="613" t="s">
        <v>989</v>
      </c>
      <c r="D370" s="614">
        <v>1</v>
      </c>
    </row>
    <row r="371" spans="1:4" x14ac:dyDescent="0.25">
      <c r="A371" s="1160"/>
      <c r="B371" s="612">
        <v>911</v>
      </c>
      <c r="C371" s="613" t="s">
        <v>914</v>
      </c>
      <c r="D371" s="614">
        <v>1</v>
      </c>
    </row>
    <row r="372" spans="1:4" x14ac:dyDescent="0.25">
      <c r="A372" s="1160"/>
      <c r="B372" s="612">
        <v>923</v>
      </c>
      <c r="C372" s="613" t="s">
        <v>990</v>
      </c>
      <c r="D372" s="614">
        <v>1</v>
      </c>
    </row>
    <row r="373" spans="1:4" x14ac:dyDescent="0.25">
      <c r="A373" s="1160"/>
      <c r="B373" s="612">
        <v>934</v>
      </c>
      <c r="C373" s="613" t="s">
        <v>991</v>
      </c>
      <c r="D373" s="614">
        <v>1</v>
      </c>
    </row>
    <row r="374" spans="1:4" x14ac:dyDescent="0.25">
      <c r="A374" s="1160"/>
      <c r="B374" s="612">
        <v>932</v>
      </c>
      <c r="C374" s="613" t="s">
        <v>992</v>
      </c>
      <c r="D374" s="614">
        <v>1</v>
      </c>
    </row>
    <row r="375" spans="1:4" x14ac:dyDescent="0.25">
      <c r="A375" s="1160"/>
      <c r="B375" s="612">
        <v>902</v>
      </c>
      <c r="C375" s="613" t="s">
        <v>993</v>
      </c>
      <c r="D375" s="614">
        <v>1</v>
      </c>
    </row>
    <row r="376" spans="1:4" x14ac:dyDescent="0.25">
      <c r="A376" s="1160"/>
      <c r="B376" s="612">
        <v>922</v>
      </c>
      <c r="C376" s="613" t="s">
        <v>994</v>
      </c>
      <c r="D376" s="614">
        <v>1</v>
      </c>
    </row>
    <row r="377" spans="1:4" x14ac:dyDescent="0.25">
      <c r="A377" s="1160"/>
      <c r="B377" s="612">
        <v>910</v>
      </c>
      <c r="C377" s="613" t="s">
        <v>995</v>
      </c>
      <c r="D377" s="614">
        <v>1</v>
      </c>
    </row>
    <row r="378" spans="1:4" ht="13.5" thickBot="1" x14ac:dyDescent="0.3">
      <c r="A378" s="1161"/>
      <c r="B378" s="605">
        <v>919</v>
      </c>
      <c r="C378" s="606" t="s">
        <v>996</v>
      </c>
      <c r="D378" s="607">
        <v>1</v>
      </c>
    </row>
    <row r="379" spans="1:4" x14ac:dyDescent="0.25">
      <c r="A379" s="1151" t="s">
        <v>997</v>
      </c>
      <c r="B379" s="602">
        <v>4606</v>
      </c>
      <c r="C379" s="603" t="s">
        <v>998</v>
      </c>
      <c r="D379" s="604">
        <v>1</v>
      </c>
    </row>
    <row r="380" spans="1:4" x14ac:dyDescent="0.25">
      <c r="A380" s="1160"/>
      <c r="B380" s="612">
        <v>4624</v>
      </c>
      <c r="C380" s="613" t="s">
        <v>999</v>
      </c>
      <c r="D380" s="614">
        <v>1</v>
      </c>
    </row>
    <row r="381" spans="1:4" x14ac:dyDescent="0.25">
      <c r="A381" s="1160"/>
      <c r="B381" s="612">
        <v>4612</v>
      </c>
      <c r="C381" s="613" t="s">
        <v>1000</v>
      </c>
      <c r="D381" s="614">
        <v>1</v>
      </c>
    </row>
    <row r="382" spans="1:4" x14ac:dyDescent="0.25">
      <c r="A382" s="1160"/>
      <c r="B382" s="612">
        <v>4615</v>
      </c>
      <c r="C382" s="613" t="s">
        <v>1001</v>
      </c>
      <c r="D382" s="614">
        <v>1</v>
      </c>
    </row>
    <row r="383" spans="1:4" x14ac:dyDescent="0.25">
      <c r="A383" s="1160"/>
      <c r="B383" s="612">
        <v>4605</v>
      </c>
      <c r="C383" s="613" t="s">
        <v>1002</v>
      </c>
      <c r="D383" s="614">
        <v>1</v>
      </c>
    </row>
    <row r="384" spans="1:4" x14ac:dyDescent="0.25">
      <c r="A384" s="1160"/>
      <c r="B384" s="612">
        <v>4607</v>
      </c>
      <c r="C384" s="613" t="s">
        <v>1003</v>
      </c>
      <c r="D384" s="614">
        <v>1</v>
      </c>
    </row>
    <row r="385" spans="1:4" x14ac:dyDescent="0.25">
      <c r="A385" s="1160"/>
      <c r="B385" s="612">
        <v>4621</v>
      </c>
      <c r="C385" s="613" t="s">
        <v>1004</v>
      </c>
      <c r="D385" s="614">
        <v>1</v>
      </c>
    </row>
    <row r="386" spans="1:4" x14ac:dyDescent="0.25">
      <c r="A386" s="1160"/>
      <c r="B386" s="612">
        <v>4610</v>
      </c>
      <c r="C386" s="613" t="s">
        <v>1005</v>
      </c>
      <c r="D386" s="614">
        <v>1</v>
      </c>
    </row>
    <row r="387" spans="1:4" x14ac:dyDescent="0.25">
      <c r="A387" s="1160"/>
      <c r="B387" s="612">
        <v>4600</v>
      </c>
      <c r="C387" s="613" t="s">
        <v>1006</v>
      </c>
      <c r="D387" s="614">
        <v>1</v>
      </c>
    </row>
    <row r="388" spans="1:4" x14ac:dyDescent="0.25">
      <c r="A388" s="1160"/>
      <c r="B388" s="612">
        <v>4604</v>
      </c>
      <c r="C388" s="613" t="s">
        <v>1007</v>
      </c>
      <c r="D388" s="614">
        <v>1</v>
      </c>
    </row>
    <row r="389" spans="1:4" x14ac:dyDescent="0.25">
      <c r="A389" s="1160"/>
      <c r="B389" s="612">
        <v>4603</v>
      </c>
      <c r="C389" s="613" t="s">
        <v>1008</v>
      </c>
      <c r="D389" s="614">
        <v>1</v>
      </c>
    </row>
    <row r="390" spans="1:4" x14ac:dyDescent="0.25">
      <c r="A390" s="1160"/>
      <c r="B390" s="612">
        <v>4616</v>
      </c>
      <c r="C390" s="613" t="s">
        <v>1009</v>
      </c>
      <c r="D390" s="614">
        <v>1</v>
      </c>
    </row>
    <row r="391" spans="1:4" x14ac:dyDescent="0.25">
      <c r="A391" s="1160"/>
      <c r="B391" s="612">
        <v>4614</v>
      </c>
      <c r="C391" s="613" t="s">
        <v>1010</v>
      </c>
      <c r="D391" s="614">
        <v>1</v>
      </c>
    </row>
    <row r="392" spans="1:4" x14ac:dyDescent="0.25">
      <c r="A392" s="1160"/>
      <c r="B392" s="612">
        <v>4609</v>
      </c>
      <c r="C392" s="613" t="s">
        <v>1011</v>
      </c>
      <c r="D392" s="614">
        <v>1</v>
      </c>
    </row>
    <row r="393" spans="1:4" x14ac:dyDescent="0.25">
      <c r="A393" s="1160"/>
      <c r="B393" s="612">
        <v>4620</v>
      </c>
      <c r="C393" s="613" t="s">
        <v>1012</v>
      </c>
      <c r="D393" s="614">
        <v>1</v>
      </c>
    </row>
    <row r="394" spans="1:4" x14ac:dyDescent="0.25">
      <c r="A394" s="1160"/>
      <c r="B394" s="612">
        <v>4622</v>
      </c>
      <c r="C394" s="613" t="s">
        <v>1013</v>
      </c>
      <c r="D394" s="614">
        <v>1</v>
      </c>
    </row>
    <row r="395" spans="1:4" x14ac:dyDescent="0.25">
      <c r="A395" s="1160"/>
      <c r="B395" s="612">
        <v>4617</v>
      </c>
      <c r="C395" s="613" t="s">
        <v>1014</v>
      </c>
      <c r="D395" s="614">
        <v>1</v>
      </c>
    </row>
    <row r="396" spans="1:4" x14ac:dyDescent="0.25">
      <c r="A396" s="1160"/>
      <c r="B396" s="612">
        <v>4611</v>
      </c>
      <c r="C396" s="613" t="s">
        <v>1015</v>
      </c>
      <c r="D396" s="614">
        <v>1</v>
      </c>
    </row>
    <row r="397" spans="1:4" x14ac:dyDescent="0.25">
      <c r="A397" s="1160"/>
      <c r="B397" s="612">
        <v>4618</v>
      </c>
      <c r="C397" s="613" t="s">
        <v>1016</v>
      </c>
      <c r="D397" s="614">
        <v>1</v>
      </c>
    </row>
    <row r="398" spans="1:4" x14ac:dyDescent="0.25">
      <c r="A398" s="1160"/>
      <c r="B398" s="612">
        <v>4623</v>
      </c>
      <c r="C398" s="613" t="s">
        <v>1017</v>
      </c>
      <c r="D398" s="614">
        <v>1</v>
      </c>
    </row>
    <row r="399" spans="1:4" x14ac:dyDescent="0.25">
      <c r="A399" s="1160"/>
      <c r="B399" s="612">
        <v>4613</v>
      </c>
      <c r="C399" s="613" t="s">
        <v>939</v>
      </c>
      <c r="D399" s="614">
        <v>1</v>
      </c>
    </row>
    <row r="400" spans="1:4" x14ac:dyDescent="0.25">
      <c r="A400" s="1160"/>
      <c r="B400" s="612">
        <v>4601</v>
      </c>
      <c r="C400" s="613" t="s">
        <v>924</v>
      </c>
      <c r="D400" s="614">
        <v>1</v>
      </c>
    </row>
    <row r="401" spans="1:4" x14ac:dyDescent="0.25">
      <c r="A401" s="1160"/>
      <c r="B401" s="612">
        <v>4602</v>
      </c>
      <c r="C401" s="613" t="s">
        <v>1018</v>
      </c>
      <c r="D401" s="614">
        <v>1</v>
      </c>
    </row>
    <row r="402" spans="1:4" ht="13.5" thickBot="1" x14ac:dyDescent="0.3">
      <c r="A402" s="1161"/>
      <c r="B402" s="605">
        <v>4619</v>
      </c>
      <c r="C402" s="606" t="s">
        <v>1019</v>
      </c>
      <c r="D402" s="607">
        <v>1</v>
      </c>
    </row>
    <row r="403" spans="1:4" x14ac:dyDescent="0.25">
      <c r="A403" s="1151" t="s">
        <v>1020</v>
      </c>
      <c r="B403" s="602">
        <v>4700</v>
      </c>
      <c r="C403" s="603" t="s">
        <v>1021</v>
      </c>
      <c r="D403" s="604">
        <v>1</v>
      </c>
    </row>
    <row r="404" spans="1:4" x14ac:dyDescent="0.25">
      <c r="A404" s="1160"/>
      <c r="B404" s="612">
        <v>4706</v>
      </c>
      <c r="C404" s="613" t="s">
        <v>1022</v>
      </c>
      <c r="D404" s="614">
        <v>1</v>
      </c>
    </row>
    <row r="405" spans="1:4" x14ac:dyDescent="0.25">
      <c r="A405" s="1160"/>
      <c r="B405" s="612">
        <v>4721</v>
      </c>
      <c r="C405" s="613" t="s">
        <v>626</v>
      </c>
      <c r="D405" s="614">
        <v>1</v>
      </c>
    </row>
    <row r="406" spans="1:4" x14ac:dyDescent="0.25">
      <c r="A406" s="1160"/>
      <c r="B406" s="612">
        <v>4708</v>
      </c>
      <c r="C406" s="613" t="s">
        <v>1023</v>
      </c>
      <c r="D406" s="614">
        <v>1</v>
      </c>
    </row>
    <row r="407" spans="1:4" x14ac:dyDescent="0.25">
      <c r="A407" s="1160"/>
      <c r="B407" s="612">
        <v>4713</v>
      </c>
      <c r="C407" s="613" t="s">
        <v>1024</v>
      </c>
      <c r="D407" s="614">
        <v>1</v>
      </c>
    </row>
    <row r="408" spans="1:4" x14ac:dyDescent="0.25">
      <c r="A408" s="1160"/>
      <c r="B408" s="612">
        <v>4701</v>
      </c>
      <c r="C408" s="613" t="s">
        <v>1025</v>
      </c>
      <c r="D408" s="614">
        <v>1</v>
      </c>
    </row>
    <row r="409" spans="1:4" x14ac:dyDescent="0.25">
      <c r="A409" s="1160"/>
      <c r="B409" s="612">
        <v>4717</v>
      </c>
      <c r="C409" s="613" t="s">
        <v>1026</v>
      </c>
      <c r="D409" s="614">
        <v>1</v>
      </c>
    </row>
    <row r="410" spans="1:4" x14ac:dyDescent="0.25">
      <c r="A410" s="1160"/>
      <c r="B410" s="612">
        <v>4707</v>
      </c>
      <c r="C410" s="613" t="s">
        <v>1027</v>
      </c>
      <c r="D410" s="614">
        <v>1</v>
      </c>
    </row>
    <row r="411" spans="1:4" x14ac:dyDescent="0.25">
      <c r="A411" s="1160"/>
      <c r="B411" s="612">
        <v>4714</v>
      </c>
      <c r="C411" s="613" t="s">
        <v>691</v>
      </c>
      <c r="D411" s="614">
        <v>1</v>
      </c>
    </row>
    <row r="412" spans="1:4" x14ac:dyDescent="0.25">
      <c r="A412" s="1160"/>
      <c r="B412" s="612">
        <v>4716</v>
      </c>
      <c r="C412" s="613" t="s">
        <v>1028</v>
      </c>
      <c r="D412" s="614">
        <v>1</v>
      </c>
    </row>
    <row r="413" spans="1:4" x14ac:dyDescent="0.25">
      <c r="A413" s="1160"/>
      <c r="B413" s="612">
        <v>4712</v>
      </c>
      <c r="C413" s="613" t="s">
        <v>1029</v>
      </c>
      <c r="D413" s="614">
        <v>1</v>
      </c>
    </row>
    <row r="414" spans="1:4" x14ac:dyDescent="0.25">
      <c r="A414" s="1160"/>
      <c r="B414" s="612">
        <v>4718</v>
      </c>
      <c r="C414" s="613" t="s">
        <v>1030</v>
      </c>
      <c r="D414" s="614">
        <v>1</v>
      </c>
    </row>
    <row r="415" spans="1:4" x14ac:dyDescent="0.25">
      <c r="A415" s="1160"/>
      <c r="B415" s="612">
        <v>4719</v>
      </c>
      <c r="C415" s="613" t="s">
        <v>1031</v>
      </c>
      <c r="D415" s="614">
        <v>1</v>
      </c>
    </row>
    <row r="416" spans="1:4" x14ac:dyDescent="0.25">
      <c r="A416" s="1160"/>
      <c r="B416" s="612">
        <v>4710</v>
      </c>
      <c r="C416" s="613" t="s">
        <v>939</v>
      </c>
      <c r="D416" s="614">
        <v>1</v>
      </c>
    </row>
    <row r="417" spans="1:4" x14ac:dyDescent="0.25">
      <c r="A417" s="1160"/>
      <c r="B417" s="612">
        <v>4703</v>
      </c>
      <c r="C417" s="613" t="s">
        <v>1032</v>
      </c>
      <c r="D417" s="614">
        <v>1</v>
      </c>
    </row>
    <row r="418" spans="1:4" x14ac:dyDescent="0.25">
      <c r="A418" s="1160"/>
      <c r="B418" s="612">
        <v>4704</v>
      </c>
      <c r="C418" s="613" t="s">
        <v>1033</v>
      </c>
      <c r="D418" s="614">
        <v>1</v>
      </c>
    </row>
    <row r="419" spans="1:4" x14ac:dyDescent="0.25">
      <c r="A419" s="1160"/>
      <c r="B419" s="612">
        <v>4709</v>
      </c>
      <c r="C419" s="613" t="s">
        <v>1034</v>
      </c>
      <c r="D419" s="614">
        <v>1</v>
      </c>
    </row>
    <row r="420" spans="1:4" ht="13.5" thickBot="1" x14ac:dyDescent="0.3">
      <c r="A420" s="1161"/>
      <c r="B420" s="605">
        <v>4720</v>
      </c>
      <c r="C420" s="606" t="s">
        <v>1035</v>
      </c>
      <c r="D420" s="607">
        <v>1</v>
      </c>
    </row>
    <row r="421" spans="1:4" x14ac:dyDescent="0.25">
      <c r="A421" s="1151" t="s">
        <v>1036</v>
      </c>
      <c r="B421" s="602">
        <v>2707</v>
      </c>
      <c r="C421" s="603" t="s">
        <v>1037</v>
      </c>
      <c r="D421" s="604">
        <v>1</v>
      </c>
    </row>
    <row r="422" spans="1:4" x14ac:dyDescent="0.25">
      <c r="A422" s="1160"/>
      <c r="B422" s="612">
        <v>2705</v>
      </c>
      <c r="C422" s="613" t="s">
        <v>1038</v>
      </c>
      <c r="D422" s="614">
        <v>1</v>
      </c>
    </row>
    <row r="423" spans="1:4" x14ac:dyDescent="0.25">
      <c r="A423" s="1160"/>
      <c r="B423" s="612">
        <v>2722</v>
      </c>
      <c r="C423" s="613" t="s">
        <v>1039</v>
      </c>
      <c r="D423" s="614">
        <v>1</v>
      </c>
    </row>
    <row r="424" spans="1:4" x14ac:dyDescent="0.25">
      <c r="A424" s="1160"/>
      <c r="B424" s="612">
        <v>2702</v>
      </c>
      <c r="C424" s="613" t="s">
        <v>1040</v>
      </c>
      <c r="D424" s="614">
        <v>1</v>
      </c>
    </row>
    <row r="425" spans="1:4" x14ac:dyDescent="0.25">
      <c r="A425" s="1160"/>
      <c r="B425" s="612">
        <v>2725</v>
      </c>
      <c r="C425" s="613" t="s">
        <v>1041</v>
      </c>
      <c r="D425" s="614">
        <v>1</v>
      </c>
    </row>
    <row r="426" spans="1:4" x14ac:dyDescent="0.25">
      <c r="A426" s="1160"/>
      <c r="B426" s="612">
        <v>2720</v>
      </c>
      <c r="C426" s="613" t="s">
        <v>1042</v>
      </c>
      <c r="D426" s="614">
        <v>1</v>
      </c>
    </row>
    <row r="427" spans="1:4" x14ac:dyDescent="0.25">
      <c r="A427" s="1160"/>
      <c r="B427" s="612">
        <v>2706</v>
      </c>
      <c r="C427" s="613" t="s">
        <v>1043</v>
      </c>
      <c r="D427" s="614">
        <v>1</v>
      </c>
    </row>
    <row r="428" spans="1:4" x14ac:dyDescent="0.25">
      <c r="A428" s="1160"/>
      <c r="B428" s="612">
        <v>2708</v>
      </c>
      <c r="C428" s="613" t="s">
        <v>1044</v>
      </c>
      <c r="D428" s="614">
        <v>1</v>
      </c>
    </row>
    <row r="429" spans="1:4" x14ac:dyDescent="0.25">
      <c r="A429" s="1160"/>
      <c r="B429" s="612">
        <v>2712</v>
      </c>
      <c r="C429" s="613" t="s">
        <v>1045</v>
      </c>
      <c r="D429" s="614">
        <v>1</v>
      </c>
    </row>
    <row r="430" spans="1:4" x14ac:dyDescent="0.25">
      <c r="A430" s="1160"/>
      <c r="B430" s="612">
        <v>2700</v>
      </c>
      <c r="C430" s="613" t="s">
        <v>1046</v>
      </c>
      <c r="D430" s="614">
        <v>1</v>
      </c>
    </row>
    <row r="431" spans="1:4" x14ac:dyDescent="0.25">
      <c r="A431" s="1160"/>
      <c r="B431" s="612">
        <v>2717</v>
      </c>
      <c r="C431" s="613" t="s">
        <v>774</v>
      </c>
      <c r="D431" s="614">
        <v>1</v>
      </c>
    </row>
    <row r="432" spans="1:4" x14ac:dyDescent="0.25">
      <c r="A432" s="1160"/>
      <c r="B432" s="612">
        <v>2723</v>
      </c>
      <c r="C432" s="613" t="s">
        <v>1047</v>
      </c>
      <c r="D432" s="614">
        <v>1</v>
      </c>
    </row>
    <row r="433" spans="1:4" ht="12.75" customHeight="1" x14ac:dyDescent="0.25">
      <c r="A433" s="1160"/>
      <c r="B433" s="612">
        <v>2704</v>
      </c>
      <c r="C433" s="613" t="s">
        <v>1048</v>
      </c>
      <c r="D433" s="614">
        <v>1</v>
      </c>
    </row>
    <row r="434" spans="1:4" x14ac:dyDescent="0.25">
      <c r="A434" s="1160"/>
      <c r="B434" s="612">
        <v>2719</v>
      </c>
      <c r="C434" s="613" t="s">
        <v>1049</v>
      </c>
      <c r="D434" s="614">
        <v>1</v>
      </c>
    </row>
    <row r="435" spans="1:4" x14ac:dyDescent="0.25">
      <c r="A435" s="1160"/>
      <c r="B435" s="612">
        <v>2726</v>
      </c>
      <c r="C435" s="613" t="s">
        <v>1050</v>
      </c>
      <c r="D435" s="614">
        <v>1</v>
      </c>
    </row>
    <row r="436" spans="1:4" x14ac:dyDescent="0.25">
      <c r="A436" s="1160"/>
      <c r="B436" s="612">
        <v>2724</v>
      </c>
      <c r="C436" s="613" t="s">
        <v>1051</v>
      </c>
      <c r="D436" s="614">
        <v>1</v>
      </c>
    </row>
    <row r="437" spans="1:4" x14ac:dyDescent="0.25">
      <c r="A437" s="1160"/>
      <c r="B437" s="612">
        <v>2721</v>
      </c>
      <c r="C437" s="613" t="s">
        <v>1052</v>
      </c>
      <c r="D437" s="614">
        <v>1</v>
      </c>
    </row>
    <row r="438" spans="1:4" x14ac:dyDescent="0.25">
      <c r="A438" s="1160"/>
      <c r="B438" s="612">
        <v>2718</v>
      </c>
      <c r="C438" s="613" t="s">
        <v>1053</v>
      </c>
      <c r="D438" s="614">
        <v>1</v>
      </c>
    </row>
    <row r="439" spans="1:4" x14ac:dyDescent="0.25">
      <c r="A439" s="1160"/>
      <c r="B439" s="612">
        <v>2716</v>
      </c>
      <c r="C439" s="613" t="s">
        <v>1054</v>
      </c>
      <c r="D439" s="614">
        <v>1</v>
      </c>
    </row>
    <row r="440" spans="1:4" x14ac:dyDescent="0.25">
      <c r="A440" s="1160"/>
      <c r="B440" s="612">
        <v>2709</v>
      </c>
      <c r="C440" s="613" t="s">
        <v>1055</v>
      </c>
      <c r="D440" s="614">
        <v>1</v>
      </c>
    </row>
    <row r="441" spans="1:4" x14ac:dyDescent="0.25">
      <c r="A441" s="1160"/>
      <c r="B441" s="612">
        <v>2701</v>
      </c>
      <c r="C441" s="613" t="s">
        <v>1056</v>
      </c>
      <c r="D441" s="614">
        <v>1</v>
      </c>
    </row>
    <row r="442" spans="1:4" x14ac:dyDescent="0.25">
      <c r="A442" s="1160"/>
      <c r="B442" s="612">
        <v>2711</v>
      </c>
      <c r="C442" s="613" t="s">
        <v>1057</v>
      </c>
      <c r="D442" s="614">
        <v>1</v>
      </c>
    </row>
    <row r="443" spans="1:4" x14ac:dyDescent="0.25">
      <c r="A443" s="1160"/>
      <c r="B443" s="612">
        <v>2713</v>
      </c>
      <c r="C443" s="613" t="s">
        <v>1058</v>
      </c>
      <c r="D443" s="614">
        <v>1</v>
      </c>
    </row>
    <row r="444" spans="1:4" x14ac:dyDescent="0.25">
      <c r="A444" s="1160"/>
      <c r="B444" s="612">
        <v>2703</v>
      </c>
      <c r="C444" s="613" t="s">
        <v>954</v>
      </c>
      <c r="D444" s="614">
        <v>1</v>
      </c>
    </row>
    <row r="445" spans="1:4" x14ac:dyDescent="0.25">
      <c r="A445" s="1160"/>
      <c r="B445" s="612">
        <v>2714</v>
      </c>
      <c r="C445" s="613" t="s">
        <v>1059</v>
      </c>
      <c r="D445" s="614">
        <v>1</v>
      </c>
    </row>
    <row r="446" spans="1:4" x14ac:dyDescent="0.25">
      <c r="A446" s="1160"/>
      <c r="B446" s="612">
        <v>2710</v>
      </c>
      <c r="C446" s="613" t="s">
        <v>1060</v>
      </c>
      <c r="D446" s="614">
        <v>1</v>
      </c>
    </row>
    <row r="447" spans="1:4" ht="13.5" thickBot="1" x14ac:dyDescent="0.3">
      <c r="A447" s="1161"/>
      <c r="B447" s="605">
        <v>2715</v>
      </c>
      <c r="C447" s="606" t="s">
        <v>1061</v>
      </c>
      <c r="D447" s="607">
        <v>1</v>
      </c>
    </row>
    <row r="448" spans="1:4" x14ac:dyDescent="0.25">
      <c r="A448" s="1151" t="s">
        <v>2278</v>
      </c>
      <c r="B448" s="602">
        <v>1321</v>
      </c>
      <c r="C448" s="603" t="s">
        <v>1062</v>
      </c>
      <c r="D448" s="604">
        <v>1</v>
      </c>
    </row>
    <row r="449" spans="1:4" x14ac:dyDescent="0.25">
      <c r="A449" s="1160"/>
      <c r="B449" s="612">
        <v>1314</v>
      </c>
      <c r="C449" s="613" t="s">
        <v>1063</v>
      </c>
      <c r="D449" s="614">
        <v>1</v>
      </c>
    </row>
    <row r="450" spans="1:4" x14ac:dyDescent="0.25">
      <c r="A450" s="1160"/>
      <c r="B450" s="612">
        <v>1309</v>
      </c>
      <c r="C450" s="613" t="s">
        <v>1064</v>
      </c>
      <c r="D450" s="614">
        <v>1</v>
      </c>
    </row>
    <row r="451" spans="1:4" x14ac:dyDescent="0.25">
      <c r="A451" s="1160"/>
      <c r="B451" s="612">
        <v>1312</v>
      </c>
      <c r="C451" s="613" t="s">
        <v>1065</v>
      </c>
      <c r="D451" s="614">
        <v>1</v>
      </c>
    </row>
    <row r="452" spans="1:4" x14ac:dyDescent="0.25">
      <c r="A452" s="1160"/>
      <c r="B452" s="612">
        <v>1307</v>
      </c>
      <c r="C452" s="613" t="s">
        <v>1066</v>
      </c>
      <c r="D452" s="614">
        <v>1</v>
      </c>
    </row>
    <row r="453" spans="1:4" x14ac:dyDescent="0.25">
      <c r="A453" s="1160"/>
      <c r="B453" s="612">
        <v>1313</v>
      </c>
      <c r="C453" s="613" t="s">
        <v>1067</v>
      </c>
      <c r="D453" s="614">
        <v>1</v>
      </c>
    </row>
    <row r="454" spans="1:4" x14ac:dyDescent="0.25">
      <c r="A454" s="1160"/>
      <c r="B454" s="612">
        <v>1303</v>
      </c>
      <c r="C454" s="613" t="s">
        <v>1068</v>
      </c>
      <c r="D454" s="614">
        <v>1</v>
      </c>
    </row>
    <row r="455" spans="1:4" x14ac:dyDescent="0.25">
      <c r="A455" s="1160"/>
      <c r="B455" s="612">
        <v>1317</v>
      </c>
      <c r="C455" s="613" t="s">
        <v>1069</v>
      </c>
      <c r="D455" s="614">
        <v>1</v>
      </c>
    </row>
    <row r="456" spans="1:4" x14ac:dyDescent="0.25">
      <c r="A456" s="1160"/>
      <c r="B456" s="612">
        <v>1311</v>
      </c>
      <c r="C456" s="613" t="s">
        <v>1070</v>
      </c>
      <c r="D456" s="614">
        <v>1</v>
      </c>
    </row>
    <row r="457" spans="1:4" x14ac:dyDescent="0.25">
      <c r="A457" s="1160"/>
      <c r="B457" s="612">
        <v>1308</v>
      </c>
      <c r="C457" s="613" t="s">
        <v>1071</v>
      </c>
      <c r="D457" s="614">
        <v>1</v>
      </c>
    </row>
    <row r="458" spans="1:4" x14ac:dyDescent="0.25">
      <c r="A458" s="1160"/>
      <c r="B458" s="612">
        <v>1318</v>
      </c>
      <c r="C458" s="613" t="s">
        <v>1072</v>
      </c>
      <c r="D458" s="614">
        <v>1</v>
      </c>
    </row>
    <row r="459" spans="1:4" x14ac:dyDescent="0.25">
      <c r="A459" s="1160"/>
      <c r="B459" s="612">
        <v>1325</v>
      </c>
      <c r="C459" s="613" t="s">
        <v>1073</v>
      </c>
      <c r="D459" s="614">
        <v>1</v>
      </c>
    </row>
    <row r="460" spans="1:4" x14ac:dyDescent="0.25">
      <c r="A460" s="1160"/>
      <c r="B460" s="612">
        <v>1315</v>
      </c>
      <c r="C460" s="613" t="s">
        <v>983</v>
      </c>
      <c r="D460" s="614">
        <v>1</v>
      </c>
    </row>
    <row r="461" spans="1:4" x14ac:dyDescent="0.25">
      <c r="A461" s="1160"/>
      <c r="B461" s="612">
        <v>1302</v>
      </c>
      <c r="C461" s="613" t="s">
        <v>1074</v>
      </c>
      <c r="D461" s="614">
        <v>1</v>
      </c>
    </row>
    <row r="462" spans="1:4" x14ac:dyDescent="0.25">
      <c r="A462" s="1160"/>
      <c r="B462" s="612">
        <v>1323</v>
      </c>
      <c r="C462" s="613" t="s">
        <v>1075</v>
      </c>
      <c r="D462" s="614">
        <v>1</v>
      </c>
    </row>
    <row r="463" spans="1:4" x14ac:dyDescent="0.25">
      <c r="A463" s="1160"/>
      <c r="B463" s="612">
        <v>1320</v>
      </c>
      <c r="C463" s="613" t="s">
        <v>1076</v>
      </c>
      <c r="D463" s="614">
        <v>1</v>
      </c>
    </row>
    <row r="464" spans="1:4" x14ac:dyDescent="0.25">
      <c r="A464" s="1160"/>
      <c r="B464" s="612">
        <v>1316</v>
      </c>
      <c r="C464" s="613" t="s">
        <v>1077</v>
      </c>
      <c r="D464" s="614">
        <v>1</v>
      </c>
    </row>
    <row r="465" spans="1:4" x14ac:dyDescent="0.25">
      <c r="A465" s="1160"/>
      <c r="B465" s="612">
        <v>1310</v>
      </c>
      <c r="C465" s="613" t="s">
        <v>1078</v>
      </c>
      <c r="D465" s="614">
        <v>1</v>
      </c>
    </row>
    <row r="466" spans="1:4" x14ac:dyDescent="0.25">
      <c r="A466" s="1160"/>
      <c r="B466" s="612">
        <v>1324</v>
      </c>
      <c r="C466" s="613" t="s">
        <v>1079</v>
      </c>
      <c r="D466" s="614">
        <v>1</v>
      </c>
    </row>
    <row r="467" spans="1:4" x14ac:dyDescent="0.25">
      <c r="A467" s="1160"/>
      <c r="B467" s="612">
        <v>1304</v>
      </c>
      <c r="C467" s="613" t="s">
        <v>1080</v>
      </c>
      <c r="D467" s="614">
        <v>1</v>
      </c>
    </row>
    <row r="468" spans="1:4" x14ac:dyDescent="0.25">
      <c r="A468" s="1160"/>
      <c r="B468" s="612">
        <v>1305</v>
      </c>
      <c r="C468" s="613" t="s">
        <v>1081</v>
      </c>
      <c r="D468" s="614">
        <v>1</v>
      </c>
    </row>
    <row r="469" spans="1:4" x14ac:dyDescent="0.25">
      <c r="A469" s="1160"/>
      <c r="B469" s="612">
        <v>1301</v>
      </c>
      <c r="C469" s="613" t="s">
        <v>1082</v>
      </c>
      <c r="D469" s="614">
        <v>1</v>
      </c>
    </row>
    <row r="470" spans="1:4" x14ac:dyDescent="0.25">
      <c r="A470" s="1160"/>
      <c r="B470" s="612">
        <v>1322</v>
      </c>
      <c r="C470" s="613" t="s">
        <v>1083</v>
      </c>
      <c r="D470" s="614">
        <v>1</v>
      </c>
    </row>
    <row r="471" spans="1:4" x14ac:dyDescent="0.25">
      <c r="A471" s="1160"/>
      <c r="B471" s="612">
        <v>1300</v>
      </c>
      <c r="C471" s="613" t="s">
        <v>1084</v>
      </c>
      <c r="D471" s="614">
        <v>1</v>
      </c>
    </row>
    <row r="472" spans="1:4" ht="13.5" thickBot="1" x14ac:dyDescent="0.3">
      <c r="A472" s="1161"/>
      <c r="B472" s="605">
        <v>1319</v>
      </c>
      <c r="C472" s="606" t="s">
        <v>1085</v>
      </c>
      <c r="D472" s="607">
        <v>1</v>
      </c>
    </row>
    <row r="473" spans="1:4" x14ac:dyDescent="0.25">
      <c r="A473" s="1151" t="s">
        <v>1086</v>
      </c>
      <c r="B473" s="602">
        <v>1123</v>
      </c>
      <c r="C473" s="603" t="s">
        <v>1087</v>
      </c>
      <c r="D473" s="604">
        <v>1</v>
      </c>
    </row>
    <row r="474" spans="1:4" x14ac:dyDescent="0.25">
      <c r="A474" s="1160"/>
      <c r="B474" s="612">
        <v>1120</v>
      </c>
      <c r="C474" s="613" t="s">
        <v>1088</v>
      </c>
      <c r="D474" s="614">
        <v>1</v>
      </c>
    </row>
    <row r="475" spans="1:4" ht="13.5" customHeight="1" x14ac:dyDescent="0.25">
      <c r="A475" s="1160"/>
      <c r="B475" s="612">
        <v>1124</v>
      </c>
      <c r="C475" s="613" t="s">
        <v>1089</v>
      </c>
      <c r="D475" s="614">
        <v>1</v>
      </c>
    </row>
    <row r="476" spans="1:4" x14ac:dyDescent="0.25">
      <c r="A476" s="1160"/>
      <c r="B476" s="612">
        <v>1133</v>
      </c>
      <c r="C476" s="613" t="s">
        <v>1090</v>
      </c>
      <c r="D476" s="614">
        <v>1</v>
      </c>
    </row>
    <row r="477" spans="1:4" x14ac:dyDescent="0.25">
      <c r="A477" s="1160"/>
      <c r="B477" s="612">
        <v>1118</v>
      </c>
      <c r="C477" s="613" t="s">
        <v>1091</v>
      </c>
      <c r="D477" s="614">
        <v>1</v>
      </c>
    </row>
    <row r="478" spans="1:4" x14ac:dyDescent="0.25">
      <c r="A478" s="1160"/>
      <c r="B478" s="612">
        <v>1121</v>
      </c>
      <c r="C478" s="613" t="s">
        <v>1092</v>
      </c>
      <c r="D478" s="614">
        <v>1</v>
      </c>
    </row>
    <row r="479" spans="1:4" x14ac:dyDescent="0.25">
      <c r="A479" s="1160"/>
      <c r="B479" s="612">
        <v>1116</v>
      </c>
      <c r="C479" s="613" t="s">
        <v>1093</v>
      </c>
      <c r="D479" s="614">
        <v>1</v>
      </c>
    </row>
    <row r="480" spans="1:4" x14ac:dyDescent="0.25">
      <c r="A480" s="1160"/>
      <c r="B480" s="612">
        <v>1100</v>
      </c>
      <c r="C480" s="613" t="s">
        <v>1094</v>
      </c>
      <c r="D480" s="614">
        <v>1</v>
      </c>
    </row>
    <row r="481" spans="1:4" x14ac:dyDescent="0.25">
      <c r="A481" s="1160"/>
      <c r="B481" s="612">
        <v>1139</v>
      </c>
      <c r="C481" s="613" t="s">
        <v>1095</v>
      </c>
      <c r="D481" s="614">
        <v>1</v>
      </c>
    </row>
    <row r="482" spans="1:4" x14ac:dyDescent="0.25">
      <c r="A482" s="1160"/>
      <c r="B482" s="612">
        <v>1127</v>
      </c>
      <c r="C482" s="613" t="s">
        <v>1096</v>
      </c>
      <c r="D482" s="614">
        <v>1</v>
      </c>
    </row>
    <row r="483" spans="1:4" x14ac:dyDescent="0.25">
      <c r="A483" s="1160"/>
      <c r="B483" s="612">
        <v>1141</v>
      </c>
      <c r="C483" s="613" t="s">
        <v>1097</v>
      </c>
      <c r="D483" s="614">
        <v>1</v>
      </c>
    </row>
    <row r="484" spans="1:4" x14ac:dyDescent="0.25">
      <c r="A484" s="1160"/>
      <c r="B484" s="612">
        <v>1131</v>
      </c>
      <c r="C484" s="613" t="s">
        <v>1098</v>
      </c>
      <c r="D484" s="614">
        <v>1</v>
      </c>
    </row>
    <row r="485" spans="1:4" x14ac:dyDescent="0.25">
      <c r="A485" s="1160"/>
      <c r="B485" s="612">
        <v>1136</v>
      </c>
      <c r="C485" s="613" t="s">
        <v>1099</v>
      </c>
      <c r="D485" s="614">
        <v>1</v>
      </c>
    </row>
    <row r="486" spans="1:4" x14ac:dyDescent="0.25">
      <c r="A486" s="1160"/>
      <c r="B486" s="612">
        <v>1105</v>
      </c>
      <c r="C486" s="613" t="s">
        <v>1100</v>
      </c>
      <c r="D486" s="614">
        <v>1</v>
      </c>
    </row>
    <row r="487" spans="1:4" x14ac:dyDescent="0.25">
      <c r="A487" s="1160"/>
      <c r="B487" s="612">
        <v>1113</v>
      </c>
      <c r="C487" s="613" t="s">
        <v>1101</v>
      </c>
      <c r="D487" s="614">
        <v>1</v>
      </c>
    </row>
    <row r="488" spans="1:4" x14ac:dyDescent="0.25">
      <c r="A488" s="1160"/>
      <c r="B488" s="612">
        <v>1103</v>
      </c>
      <c r="C488" s="613" t="s">
        <v>1102</v>
      </c>
      <c r="D488" s="614">
        <v>1</v>
      </c>
    </row>
    <row r="489" spans="1:4" x14ac:dyDescent="0.25">
      <c r="A489" s="1160"/>
      <c r="B489" s="612">
        <v>1117</v>
      </c>
      <c r="C489" s="613" t="s">
        <v>738</v>
      </c>
      <c r="D489" s="614">
        <v>1</v>
      </c>
    </row>
    <row r="490" spans="1:4" x14ac:dyDescent="0.25">
      <c r="A490" s="1160"/>
      <c r="B490" s="612">
        <v>1109</v>
      </c>
      <c r="C490" s="613" t="s">
        <v>1103</v>
      </c>
      <c r="D490" s="614">
        <v>1</v>
      </c>
    </row>
    <row r="491" spans="1:4" ht="13.5" customHeight="1" x14ac:dyDescent="0.25">
      <c r="A491" s="1160"/>
      <c r="B491" s="612">
        <v>1135</v>
      </c>
      <c r="C491" s="613" t="s">
        <v>1104</v>
      </c>
      <c r="D491" s="614">
        <v>1</v>
      </c>
    </row>
    <row r="492" spans="1:4" x14ac:dyDescent="0.25">
      <c r="A492" s="1160"/>
      <c r="B492" s="612">
        <v>1115</v>
      </c>
      <c r="C492" s="613" t="s">
        <v>1105</v>
      </c>
      <c r="D492" s="614">
        <v>1</v>
      </c>
    </row>
    <row r="493" spans="1:4" x14ac:dyDescent="0.25">
      <c r="A493" s="1160"/>
      <c r="B493" s="612">
        <v>1125</v>
      </c>
      <c r="C493" s="613" t="s">
        <v>1106</v>
      </c>
      <c r="D493" s="614">
        <v>1</v>
      </c>
    </row>
    <row r="494" spans="1:4" x14ac:dyDescent="0.25">
      <c r="A494" s="1160"/>
      <c r="B494" s="612">
        <v>1102</v>
      </c>
      <c r="C494" s="613" t="s">
        <v>1107</v>
      </c>
      <c r="D494" s="614">
        <v>1</v>
      </c>
    </row>
    <row r="495" spans="1:4" x14ac:dyDescent="0.25">
      <c r="A495" s="1160"/>
      <c r="B495" s="612">
        <v>1129</v>
      </c>
      <c r="C495" s="613" t="s">
        <v>1108</v>
      </c>
      <c r="D495" s="614">
        <v>1</v>
      </c>
    </row>
    <row r="496" spans="1:4" x14ac:dyDescent="0.25">
      <c r="A496" s="1160"/>
      <c r="B496" s="612">
        <v>1106</v>
      </c>
      <c r="C496" s="613" t="s">
        <v>1109</v>
      </c>
      <c r="D496" s="614">
        <v>1</v>
      </c>
    </row>
    <row r="497" spans="1:4" x14ac:dyDescent="0.25">
      <c r="A497" s="1160"/>
      <c r="B497" s="612">
        <v>1132</v>
      </c>
      <c r="C497" s="613" t="s">
        <v>1110</v>
      </c>
      <c r="D497" s="614">
        <v>1</v>
      </c>
    </row>
    <row r="498" spans="1:4" x14ac:dyDescent="0.25">
      <c r="A498" s="1160"/>
      <c r="B498" s="612">
        <v>1101</v>
      </c>
      <c r="C498" s="613" t="s">
        <v>755</v>
      </c>
      <c r="D498" s="614">
        <v>1</v>
      </c>
    </row>
    <row r="499" spans="1:4" x14ac:dyDescent="0.25">
      <c r="A499" s="1160"/>
      <c r="B499" s="612">
        <v>1134</v>
      </c>
      <c r="C499" s="613" t="s">
        <v>1111</v>
      </c>
      <c r="D499" s="614">
        <v>1</v>
      </c>
    </row>
    <row r="500" spans="1:4" x14ac:dyDescent="0.25">
      <c r="A500" s="1160"/>
      <c r="B500" s="612">
        <v>1111</v>
      </c>
      <c r="C500" s="613" t="s">
        <v>1112</v>
      </c>
      <c r="D500" s="614">
        <v>1</v>
      </c>
    </row>
    <row r="501" spans="1:4" x14ac:dyDescent="0.25">
      <c r="A501" s="1160"/>
      <c r="B501" s="612">
        <v>1128</v>
      </c>
      <c r="C501" s="613" t="s">
        <v>1113</v>
      </c>
      <c r="D501" s="614">
        <v>1</v>
      </c>
    </row>
    <row r="502" spans="1:4" x14ac:dyDescent="0.25">
      <c r="A502" s="1160"/>
      <c r="B502" s="612">
        <v>1107</v>
      </c>
      <c r="C502" s="613" t="s">
        <v>1114</v>
      </c>
      <c r="D502" s="614">
        <v>1</v>
      </c>
    </row>
    <row r="503" spans="1:4" x14ac:dyDescent="0.25">
      <c r="A503" s="1160"/>
      <c r="B503" s="612">
        <v>1126</v>
      </c>
      <c r="C503" s="613" t="s">
        <v>1115</v>
      </c>
      <c r="D503" s="614">
        <v>1</v>
      </c>
    </row>
    <row r="504" spans="1:4" x14ac:dyDescent="0.25">
      <c r="A504" s="1160"/>
      <c r="B504" s="612">
        <v>1130</v>
      </c>
      <c r="C504" s="613" t="s">
        <v>1116</v>
      </c>
      <c r="D504" s="614">
        <v>1</v>
      </c>
    </row>
    <row r="505" spans="1:4" x14ac:dyDescent="0.25">
      <c r="A505" s="1160"/>
      <c r="B505" s="612">
        <v>1108</v>
      </c>
      <c r="C505" s="613" t="s">
        <v>1117</v>
      </c>
      <c r="D505" s="614">
        <v>1</v>
      </c>
    </row>
    <row r="506" spans="1:4" x14ac:dyDescent="0.25">
      <c r="A506" s="1160"/>
      <c r="B506" s="612">
        <v>1110</v>
      </c>
      <c r="C506" s="613" t="s">
        <v>1118</v>
      </c>
      <c r="D506" s="614">
        <v>1</v>
      </c>
    </row>
    <row r="507" spans="1:4" ht="13.5" thickBot="1" x14ac:dyDescent="0.3">
      <c r="A507" s="1161"/>
      <c r="B507" s="605">
        <v>1114</v>
      </c>
      <c r="C507" s="606" t="s">
        <v>1119</v>
      </c>
      <c r="D507" s="607">
        <v>1</v>
      </c>
    </row>
    <row r="508" spans="1:4" x14ac:dyDescent="0.25">
      <c r="A508" s="1151" t="s">
        <v>1120</v>
      </c>
      <c r="B508" s="602">
        <v>1203</v>
      </c>
      <c r="C508" s="603" t="s">
        <v>1121</v>
      </c>
      <c r="D508" s="604">
        <v>1</v>
      </c>
    </row>
    <row r="509" spans="1:4" x14ac:dyDescent="0.25">
      <c r="A509" s="1160"/>
      <c r="B509" s="612">
        <v>1204</v>
      </c>
      <c r="C509" s="613" t="s">
        <v>1122</v>
      </c>
      <c r="D509" s="614">
        <v>1</v>
      </c>
    </row>
    <row r="510" spans="1:4" x14ac:dyDescent="0.25">
      <c r="A510" s="1160"/>
      <c r="B510" s="612">
        <v>1229</v>
      </c>
      <c r="C510" s="613" t="s">
        <v>1123</v>
      </c>
      <c r="D510" s="614">
        <v>1</v>
      </c>
    </row>
    <row r="511" spans="1:4" x14ac:dyDescent="0.25">
      <c r="A511" s="1160"/>
      <c r="B511" s="612">
        <v>1205</v>
      </c>
      <c r="C511" s="613" t="s">
        <v>1124</v>
      </c>
      <c r="D511" s="614">
        <v>1</v>
      </c>
    </row>
    <row r="512" spans="1:4" x14ac:dyDescent="0.25">
      <c r="A512" s="1160"/>
      <c r="B512" s="612">
        <v>1223</v>
      </c>
      <c r="C512" s="613" t="s">
        <v>1125</v>
      </c>
      <c r="D512" s="614">
        <v>1</v>
      </c>
    </row>
    <row r="513" spans="1:4" x14ac:dyDescent="0.25">
      <c r="A513" s="1160"/>
      <c r="B513" s="612">
        <v>1242</v>
      </c>
      <c r="C513" s="613" t="s">
        <v>1126</v>
      </c>
      <c r="D513" s="614">
        <v>1</v>
      </c>
    </row>
    <row r="514" spans="1:4" x14ac:dyDescent="0.25">
      <c r="A514" s="1160"/>
      <c r="B514" s="612">
        <v>1216</v>
      </c>
      <c r="C514" s="613" t="s">
        <v>1128</v>
      </c>
      <c r="D514" s="614">
        <v>1</v>
      </c>
    </row>
    <row r="515" spans="1:4" x14ac:dyDescent="0.25">
      <c r="A515" s="1160"/>
      <c r="B515" s="612">
        <v>1215</v>
      </c>
      <c r="C515" s="613" t="s">
        <v>1132</v>
      </c>
      <c r="D515" s="614">
        <v>1</v>
      </c>
    </row>
    <row r="516" spans="1:4" x14ac:dyDescent="0.25">
      <c r="A516" s="1160"/>
      <c r="B516" s="612">
        <v>1237</v>
      </c>
      <c r="C516" s="613" t="s">
        <v>1134</v>
      </c>
      <c r="D516" s="614">
        <v>1</v>
      </c>
    </row>
    <row r="517" spans="1:4" x14ac:dyDescent="0.25">
      <c r="A517" s="1160"/>
      <c r="B517" s="612">
        <v>1200</v>
      </c>
      <c r="C517" s="613" t="s">
        <v>1127</v>
      </c>
      <c r="D517" s="614">
        <v>1</v>
      </c>
    </row>
    <row r="518" spans="1:4" x14ac:dyDescent="0.25">
      <c r="A518" s="1160"/>
      <c r="B518" s="612">
        <v>1210</v>
      </c>
      <c r="C518" s="613" t="s">
        <v>1130</v>
      </c>
      <c r="D518" s="614">
        <v>1</v>
      </c>
    </row>
    <row r="519" spans="1:4" x14ac:dyDescent="0.25">
      <c r="A519" s="1160"/>
      <c r="B519" s="612">
        <v>1212</v>
      </c>
      <c r="C519" s="613" t="s">
        <v>1152</v>
      </c>
      <c r="D519" s="614">
        <v>1</v>
      </c>
    </row>
    <row r="520" spans="1:4" x14ac:dyDescent="0.25">
      <c r="A520" s="1160"/>
      <c r="B520" s="612">
        <v>1232</v>
      </c>
      <c r="C520" s="613" t="s">
        <v>1142</v>
      </c>
      <c r="D520" s="614">
        <v>1</v>
      </c>
    </row>
    <row r="521" spans="1:4" x14ac:dyDescent="0.25">
      <c r="A521" s="1160"/>
      <c r="B521" s="612">
        <v>1243</v>
      </c>
      <c r="C521" s="613" t="s">
        <v>1129</v>
      </c>
      <c r="D521" s="614">
        <v>1</v>
      </c>
    </row>
    <row r="522" spans="1:4" x14ac:dyDescent="0.25">
      <c r="A522" s="1160"/>
      <c r="B522" s="612">
        <v>1240</v>
      </c>
      <c r="C522" s="613" t="s">
        <v>1137</v>
      </c>
      <c r="D522" s="614">
        <v>1</v>
      </c>
    </row>
    <row r="523" spans="1:4" x14ac:dyDescent="0.25">
      <c r="A523" s="1160"/>
      <c r="B523" s="612">
        <v>1202</v>
      </c>
      <c r="C523" s="613" t="s">
        <v>1131</v>
      </c>
      <c r="D523" s="614">
        <v>1</v>
      </c>
    </row>
    <row r="524" spans="1:4" x14ac:dyDescent="0.25">
      <c r="A524" s="1160"/>
      <c r="B524" s="612">
        <v>1206</v>
      </c>
      <c r="C524" s="613" t="s">
        <v>1138</v>
      </c>
      <c r="D524" s="614">
        <v>1</v>
      </c>
    </row>
    <row r="525" spans="1:4" x14ac:dyDescent="0.25">
      <c r="A525" s="1160"/>
      <c r="B525" s="612">
        <v>1233</v>
      </c>
      <c r="C525" s="613" t="s">
        <v>1136</v>
      </c>
      <c r="D525" s="614">
        <v>1</v>
      </c>
    </row>
    <row r="526" spans="1:4" x14ac:dyDescent="0.25">
      <c r="A526" s="1160"/>
      <c r="B526" s="612">
        <v>1222</v>
      </c>
      <c r="C526" s="613" t="s">
        <v>1133</v>
      </c>
      <c r="D526" s="614">
        <v>1</v>
      </c>
    </row>
    <row r="527" spans="1:4" x14ac:dyDescent="0.25">
      <c r="A527" s="1160"/>
      <c r="B527" s="612">
        <v>1235</v>
      </c>
      <c r="C527" s="613" t="s">
        <v>1147</v>
      </c>
      <c r="D527" s="614">
        <v>1</v>
      </c>
    </row>
    <row r="528" spans="1:4" ht="15" customHeight="1" x14ac:dyDescent="0.25">
      <c r="A528" s="1160"/>
      <c r="B528" s="612">
        <v>1209</v>
      </c>
      <c r="C528" s="613" t="s">
        <v>1135</v>
      </c>
      <c r="D528" s="614">
        <v>1</v>
      </c>
    </row>
    <row r="529" spans="1:4" x14ac:dyDescent="0.25">
      <c r="A529" s="1160"/>
      <c r="B529" s="612">
        <v>1207</v>
      </c>
      <c r="C529" s="613" t="s">
        <v>1158</v>
      </c>
      <c r="D529" s="614">
        <v>1</v>
      </c>
    </row>
    <row r="530" spans="1:4" x14ac:dyDescent="0.25">
      <c r="A530" s="1160"/>
      <c r="B530" s="612">
        <v>1219</v>
      </c>
      <c r="C530" s="613" t="s">
        <v>1151</v>
      </c>
      <c r="D530" s="614">
        <v>1</v>
      </c>
    </row>
    <row r="531" spans="1:4" x14ac:dyDescent="0.25">
      <c r="A531" s="1160"/>
      <c r="B531" s="612">
        <v>1245</v>
      </c>
      <c r="C531" s="613" t="s">
        <v>1139</v>
      </c>
      <c r="D531" s="614">
        <v>1</v>
      </c>
    </row>
    <row r="532" spans="1:4" x14ac:dyDescent="0.25">
      <c r="A532" s="1160"/>
      <c r="B532" s="612">
        <v>1224</v>
      </c>
      <c r="C532" s="613" t="s">
        <v>1140</v>
      </c>
      <c r="D532" s="614">
        <v>1</v>
      </c>
    </row>
    <row r="533" spans="1:4" x14ac:dyDescent="0.25">
      <c r="A533" s="1160"/>
      <c r="B533" s="612">
        <v>1239</v>
      </c>
      <c r="C533" s="613" t="s">
        <v>1090</v>
      </c>
      <c r="D533" s="614">
        <v>1</v>
      </c>
    </row>
    <row r="534" spans="1:4" x14ac:dyDescent="0.25">
      <c r="A534" s="1160"/>
      <c r="B534" s="612">
        <v>1220</v>
      </c>
      <c r="C534" s="613" t="s">
        <v>1141</v>
      </c>
      <c r="D534" s="614">
        <v>1</v>
      </c>
    </row>
    <row r="535" spans="1:4" x14ac:dyDescent="0.25">
      <c r="A535" s="1160"/>
      <c r="B535" s="612">
        <v>1217</v>
      </c>
      <c r="C535" s="613" t="s">
        <v>1144</v>
      </c>
      <c r="D535" s="614">
        <v>1</v>
      </c>
    </row>
    <row r="536" spans="1:4" x14ac:dyDescent="0.25">
      <c r="A536" s="1160"/>
      <c r="B536" s="612">
        <v>1246</v>
      </c>
      <c r="C536" s="613" t="s">
        <v>1149</v>
      </c>
      <c r="D536" s="614">
        <v>1</v>
      </c>
    </row>
    <row r="537" spans="1:4" x14ac:dyDescent="0.25">
      <c r="A537" s="1160"/>
      <c r="B537" s="612">
        <v>1214</v>
      </c>
      <c r="C537" s="613" t="s">
        <v>1145</v>
      </c>
      <c r="D537" s="614">
        <v>1</v>
      </c>
    </row>
    <row r="538" spans="1:4" x14ac:dyDescent="0.25">
      <c r="A538" s="1160"/>
      <c r="B538" s="612">
        <v>1247</v>
      </c>
      <c r="C538" s="613" t="s">
        <v>1143</v>
      </c>
      <c r="D538" s="614">
        <v>1</v>
      </c>
    </row>
    <row r="539" spans="1:4" x14ac:dyDescent="0.25">
      <c r="A539" s="1160"/>
      <c r="B539" s="612">
        <v>1228</v>
      </c>
      <c r="C539" s="613" t="s">
        <v>1154</v>
      </c>
      <c r="D539" s="614">
        <v>1</v>
      </c>
    </row>
    <row r="540" spans="1:4" x14ac:dyDescent="0.25">
      <c r="A540" s="1160"/>
      <c r="B540" s="612">
        <v>1201</v>
      </c>
      <c r="C540" s="613" t="s">
        <v>1148</v>
      </c>
      <c r="D540" s="614">
        <v>1</v>
      </c>
    </row>
    <row r="541" spans="1:4" x14ac:dyDescent="0.25">
      <c r="A541" s="1160"/>
      <c r="B541" s="612">
        <v>1218</v>
      </c>
      <c r="C541" s="613" t="s">
        <v>1150</v>
      </c>
      <c r="D541" s="614">
        <v>1</v>
      </c>
    </row>
    <row r="542" spans="1:4" x14ac:dyDescent="0.25">
      <c r="A542" s="1160"/>
      <c r="B542" s="612">
        <v>1221</v>
      </c>
      <c r="C542" s="613" t="s">
        <v>1153</v>
      </c>
      <c r="D542" s="614">
        <v>1</v>
      </c>
    </row>
    <row r="543" spans="1:4" x14ac:dyDescent="0.25">
      <c r="A543" s="1160"/>
      <c r="B543" s="612">
        <v>1238</v>
      </c>
      <c r="C543" s="613" t="s">
        <v>1155</v>
      </c>
      <c r="D543" s="614">
        <v>1</v>
      </c>
    </row>
    <row r="544" spans="1:4" x14ac:dyDescent="0.25">
      <c r="A544" s="1160"/>
      <c r="B544" s="612">
        <v>1226</v>
      </c>
      <c r="C544" s="613" t="s">
        <v>1157</v>
      </c>
      <c r="D544" s="614">
        <v>1</v>
      </c>
    </row>
    <row r="545" spans="1:4" x14ac:dyDescent="0.25">
      <c r="A545" s="1160"/>
      <c r="B545" s="612">
        <v>1230</v>
      </c>
      <c r="C545" s="613" t="s">
        <v>1146</v>
      </c>
      <c r="D545" s="614">
        <v>1</v>
      </c>
    </row>
    <row r="546" spans="1:4" x14ac:dyDescent="0.25">
      <c r="A546" s="1160"/>
      <c r="B546" s="612">
        <v>1234</v>
      </c>
      <c r="C546" s="613" t="s">
        <v>1159</v>
      </c>
      <c r="D546" s="614">
        <v>1</v>
      </c>
    </row>
    <row r="547" spans="1:4" x14ac:dyDescent="0.25">
      <c r="A547" s="1160"/>
      <c r="B547" s="612">
        <v>1213</v>
      </c>
      <c r="C547" s="613" t="s">
        <v>1160</v>
      </c>
      <c r="D547" s="614">
        <v>1</v>
      </c>
    </row>
    <row r="548" spans="1:4" x14ac:dyDescent="0.25">
      <c r="A548" s="1160"/>
      <c r="B548" s="612">
        <v>1211</v>
      </c>
      <c r="C548" s="613" t="s">
        <v>1156</v>
      </c>
      <c r="D548" s="614">
        <v>1</v>
      </c>
    </row>
    <row r="549" spans="1:4" ht="13.5" thickBot="1" x14ac:dyDescent="0.3">
      <c r="A549" s="1161"/>
      <c r="B549" s="605">
        <v>1208</v>
      </c>
      <c r="C549" s="606" t="s">
        <v>1161</v>
      </c>
      <c r="D549" s="607">
        <v>1</v>
      </c>
    </row>
    <row r="550" spans="1:4" x14ac:dyDescent="0.25">
      <c r="A550" s="1151" t="s">
        <v>1162</v>
      </c>
      <c r="B550" s="602">
        <v>3432</v>
      </c>
      <c r="C550" s="603" t="s">
        <v>1163</v>
      </c>
      <c r="D550" s="604">
        <v>1</v>
      </c>
    </row>
    <row r="551" spans="1:4" x14ac:dyDescent="0.25">
      <c r="A551" s="1160"/>
      <c r="B551" s="612">
        <v>3413</v>
      </c>
      <c r="C551" s="613" t="s">
        <v>1164</v>
      </c>
      <c r="D551" s="614">
        <v>1</v>
      </c>
    </row>
    <row r="552" spans="1:4" x14ac:dyDescent="0.25">
      <c r="A552" s="1160"/>
      <c r="B552" s="612">
        <v>3405</v>
      </c>
      <c r="C552" s="613" t="s">
        <v>1165</v>
      </c>
      <c r="D552" s="614">
        <v>1</v>
      </c>
    </row>
    <row r="553" spans="1:4" x14ac:dyDescent="0.25">
      <c r="A553" s="1160"/>
      <c r="B553" s="612">
        <v>3403</v>
      </c>
      <c r="C553" s="613" t="s">
        <v>1166</v>
      </c>
      <c r="D553" s="614">
        <v>1</v>
      </c>
    </row>
    <row r="554" spans="1:4" x14ac:dyDescent="0.25">
      <c r="A554" s="1160"/>
      <c r="B554" s="612">
        <v>3410</v>
      </c>
      <c r="C554" s="613" t="s">
        <v>1167</v>
      </c>
      <c r="D554" s="614">
        <v>1</v>
      </c>
    </row>
    <row r="555" spans="1:4" x14ac:dyDescent="0.25">
      <c r="A555" s="1160"/>
      <c r="B555" s="612">
        <v>3416</v>
      </c>
      <c r="C555" s="613" t="s">
        <v>1168</v>
      </c>
      <c r="D555" s="614">
        <v>1</v>
      </c>
    </row>
    <row r="556" spans="1:4" x14ac:dyDescent="0.25">
      <c r="A556" s="1160"/>
      <c r="B556" s="612">
        <v>3402</v>
      </c>
      <c r="C556" s="613" t="s">
        <v>1169</v>
      </c>
      <c r="D556" s="614">
        <v>1</v>
      </c>
    </row>
    <row r="557" spans="1:4" x14ac:dyDescent="0.25">
      <c r="A557" s="1160"/>
      <c r="B557" s="612">
        <v>3429</v>
      </c>
      <c r="C557" s="613" t="s">
        <v>1170</v>
      </c>
      <c r="D557" s="614">
        <v>1</v>
      </c>
    </row>
    <row r="558" spans="1:4" x14ac:dyDescent="0.25">
      <c r="A558" s="1160"/>
      <c r="B558" s="612">
        <v>3419</v>
      </c>
      <c r="C558" s="613" t="s">
        <v>1171</v>
      </c>
      <c r="D558" s="614">
        <v>1</v>
      </c>
    </row>
    <row r="559" spans="1:4" x14ac:dyDescent="0.25">
      <c r="A559" s="1160"/>
      <c r="B559" s="612">
        <v>3408</v>
      </c>
      <c r="C559" s="613" t="s">
        <v>1172</v>
      </c>
      <c r="D559" s="614">
        <v>1</v>
      </c>
    </row>
    <row r="560" spans="1:4" x14ac:dyDescent="0.25">
      <c r="A560" s="1160"/>
      <c r="B560" s="612">
        <v>3418</v>
      </c>
      <c r="C560" s="613" t="s">
        <v>1173</v>
      </c>
      <c r="D560" s="614">
        <v>1</v>
      </c>
    </row>
    <row r="561" spans="1:4" x14ac:dyDescent="0.25">
      <c r="A561" s="1160"/>
      <c r="B561" s="612">
        <v>3415</v>
      </c>
      <c r="C561" s="613" t="s">
        <v>1174</v>
      </c>
      <c r="D561" s="614">
        <v>1</v>
      </c>
    </row>
    <row r="562" spans="1:4" x14ac:dyDescent="0.25">
      <c r="A562" s="1160"/>
      <c r="B562" s="612">
        <v>3428</v>
      </c>
      <c r="C562" s="613" t="s">
        <v>1175</v>
      </c>
      <c r="D562" s="614">
        <v>1</v>
      </c>
    </row>
    <row r="563" spans="1:4" x14ac:dyDescent="0.25">
      <c r="A563" s="1160"/>
      <c r="B563" s="612">
        <v>3417</v>
      </c>
      <c r="C563" s="613" t="s">
        <v>1176</v>
      </c>
      <c r="D563" s="614">
        <v>1</v>
      </c>
    </row>
    <row r="564" spans="1:4" x14ac:dyDescent="0.25">
      <c r="A564" s="1160"/>
      <c r="B564" s="612">
        <v>3414</v>
      </c>
      <c r="C564" s="613" t="s">
        <v>1177</v>
      </c>
      <c r="D564" s="614">
        <v>1</v>
      </c>
    </row>
    <row r="565" spans="1:4" x14ac:dyDescent="0.25">
      <c r="A565" s="1160"/>
      <c r="B565" s="612">
        <v>3400</v>
      </c>
      <c r="C565" s="613" t="s">
        <v>1178</v>
      </c>
      <c r="D565" s="614">
        <v>1</v>
      </c>
    </row>
    <row r="566" spans="1:4" x14ac:dyDescent="0.25">
      <c r="A566" s="1160"/>
      <c r="B566" s="612">
        <v>3424</v>
      </c>
      <c r="C566" s="613" t="s">
        <v>1179</v>
      </c>
      <c r="D566" s="614">
        <v>1</v>
      </c>
    </row>
    <row r="567" spans="1:4" x14ac:dyDescent="0.25">
      <c r="A567" s="1160"/>
      <c r="B567" s="612">
        <v>3411</v>
      </c>
      <c r="C567" s="613" t="s">
        <v>1180</v>
      </c>
      <c r="D567" s="614">
        <v>1</v>
      </c>
    </row>
    <row r="568" spans="1:4" x14ac:dyDescent="0.25">
      <c r="A568" s="1160"/>
      <c r="B568" s="612">
        <v>3435</v>
      </c>
      <c r="C568" s="613" t="s">
        <v>1181</v>
      </c>
      <c r="D568" s="614">
        <v>1</v>
      </c>
    </row>
    <row r="569" spans="1:4" x14ac:dyDescent="0.25">
      <c r="A569" s="1160"/>
      <c r="B569" s="612">
        <v>3430</v>
      </c>
      <c r="C569" s="613" t="s">
        <v>1182</v>
      </c>
      <c r="D569" s="614">
        <v>1</v>
      </c>
    </row>
    <row r="570" spans="1:4" x14ac:dyDescent="0.25">
      <c r="A570" s="1160"/>
      <c r="B570" s="612">
        <v>3406</v>
      </c>
      <c r="C570" s="613" t="s">
        <v>1183</v>
      </c>
      <c r="D570" s="614">
        <v>1</v>
      </c>
    </row>
    <row r="571" spans="1:4" x14ac:dyDescent="0.25">
      <c r="A571" s="1160"/>
      <c r="B571" s="612">
        <v>3404</v>
      </c>
      <c r="C571" s="613" t="s">
        <v>1184</v>
      </c>
      <c r="D571" s="614">
        <v>1</v>
      </c>
    </row>
    <row r="572" spans="1:4" x14ac:dyDescent="0.25">
      <c r="A572" s="1160"/>
      <c r="B572" s="612">
        <v>3409</v>
      </c>
      <c r="C572" s="613" t="s">
        <v>1185</v>
      </c>
      <c r="D572" s="614">
        <v>1</v>
      </c>
    </row>
    <row r="573" spans="1:4" x14ac:dyDescent="0.25">
      <c r="A573" s="1160"/>
      <c r="B573" s="612">
        <v>3433</v>
      </c>
      <c r="C573" s="613" t="s">
        <v>1186</v>
      </c>
      <c r="D573" s="614">
        <v>1</v>
      </c>
    </row>
    <row r="574" spans="1:4" x14ac:dyDescent="0.25">
      <c r="A574" s="1160"/>
      <c r="B574" s="612">
        <v>3423</v>
      </c>
      <c r="C574" s="613" t="s">
        <v>1187</v>
      </c>
      <c r="D574" s="614">
        <v>1</v>
      </c>
    </row>
    <row r="575" spans="1:4" x14ac:dyDescent="0.25">
      <c r="A575" s="1160"/>
      <c r="B575" s="612">
        <v>3420</v>
      </c>
      <c r="C575" s="613" t="s">
        <v>1188</v>
      </c>
      <c r="D575" s="614">
        <v>1</v>
      </c>
    </row>
    <row r="576" spans="1:4" x14ac:dyDescent="0.25">
      <c r="A576" s="1160"/>
      <c r="B576" s="612">
        <v>3426</v>
      </c>
      <c r="C576" s="613" t="s">
        <v>1189</v>
      </c>
      <c r="D576" s="614">
        <v>1</v>
      </c>
    </row>
    <row r="577" spans="1:4" x14ac:dyDescent="0.25">
      <c r="A577" s="1160"/>
      <c r="B577" s="612">
        <v>3427</v>
      </c>
      <c r="C577" s="613" t="s">
        <v>1190</v>
      </c>
      <c r="D577" s="614">
        <v>1</v>
      </c>
    </row>
    <row r="578" spans="1:4" x14ac:dyDescent="0.25">
      <c r="A578" s="1160"/>
      <c r="B578" s="612">
        <v>3425</v>
      </c>
      <c r="C578" s="613" t="s">
        <v>1191</v>
      </c>
      <c r="D578" s="614">
        <v>1</v>
      </c>
    </row>
    <row r="579" spans="1:4" x14ac:dyDescent="0.25">
      <c r="A579" s="1160"/>
      <c r="B579" s="612">
        <v>3431</v>
      </c>
      <c r="C579" s="613" t="s">
        <v>1192</v>
      </c>
      <c r="D579" s="614">
        <v>1</v>
      </c>
    </row>
    <row r="580" spans="1:4" x14ac:dyDescent="0.25">
      <c r="A580" s="1160"/>
      <c r="B580" s="612">
        <v>3421</v>
      </c>
      <c r="C580" s="613" t="s">
        <v>1193</v>
      </c>
      <c r="D580" s="614">
        <v>1</v>
      </c>
    </row>
    <row r="581" spans="1:4" x14ac:dyDescent="0.25">
      <c r="A581" s="1160"/>
      <c r="B581" s="612">
        <v>3422</v>
      </c>
      <c r="C581" s="613" t="s">
        <v>1194</v>
      </c>
      <c r="D581" s="614">
        <v>1</v>
      </c>
    </row>
    <row r="582" spans="1:4" ht="13.5" thickBot="1" x14ac:dyDescent="0.3">
      <c r="A582" s="1161"/>
      <c r="B582" s="605">
        <v>3401</v>
      </c>
      <c r="C582" s="606" t="s">
        <v>1195</v>
      </c>
      <c r="D582" s="607">
        <v>1</v>
      </c>
    </row>
    <row r="583" spans="1:4" x14ac:dyDescent="0.25">
      <c r="A583" s="1151" t="s">
        <v>1196</v>
      </c>
      <c r="B583" s="602">
        <v>2046</v>
      </c>
      <c r="C583" s="603" t="s">
        <v>1197</v>
      </c>
      <c r="D583" s="604">
        <v>1</v>
      </c>
    </row>
    <row r="584" spans="1:4" x14ac:dyDescent="0.25">
      <c r="A584" s="1160"/>
      <c r="B584" s="612">
        <v>2055</v>
      </c>
      <c r="C584" s="613" t="s">
        <v>2279</v>
      </c>
      <c r="D584" s="614">
        <v>1</v>
      </c>
    </row>
    <row r="585" spans="1:4" ht="15" customHeight="1" x14ac:dyDescent="0.25">
      <c r="A585" s="1160"/>
      <c r="B585" s="612">
        <v>2010</v>
      </c>
      <c r="C585" s="613" t="s">
        <v>2280</v>
      </c>
      <c r="D585" s="614">
        <v>1</v>
      </c>
    </row>
    <row r="586" spans="1:4" x14ac:dyDescent="0.25">
      <c r="A586" s="1160"/>
      <c r="B586" s="612">
        <v>2013</v>
      </c>
      <c r="C586" s="613" t="s">
        <v>1655</v>
      </c>
      <c r="D586" s="614">
        <v>1</v>
      </c>
    </row>
    <row r="587" spans="1:4" x14ac:dyDescent="0.25">
      <c r="A587" s="1160"/>
      <c r="B587" s="612">
        <v>2048</v>
      </c>
      <c r="C587" s="613" t="s">
        <v>2281</v>
      </c>
      <c r="D587" s="614">
        <v>1</v>
      </c>
    </row>
    <row r="588" spans="1:4" x14ac:dyDescent="0.25">
      <c r="A588" s="1160"/>
      <c r="B588" s="612">
        <v>2012</v>
      </c>
      <c r="C588" s="613" t="s">
        <v>1198</v>
      </c>
      <c r="D588" s="614">
        <v>1</v>
      </c>
    </row>
    <row r="589" spans="1:4" x14ac:dyDescent="0.25">
      <c r="A589" s="1160"/>
      <c r="B589" s="612">
        <v>2025</v>
      </c>
      <c r="C589" s="613" t="s">
        <v>2282</v>
      </c>
      <c r="D589" s="614">
        <v>1</v>
      </c>
    </row>
    <row r="590" spans="1:4" x14ac:dyDescent="0.25">
      <c r="A590" s="1160"/>
      <c r="B590" s="612">
        <v>2037</v>
      </c>
      <c r="C590" s="613" t="s">
        <v>1199</v>
      </c>
      <c r="D590" s="614">
        <v>1</v>
      </c>
    </row>
    <row r="591" spans="1:4" x14ac:dyDescent="0.25">
      <c r="A591" s="1160"/>
      <c r="B591" s="612">
        <v>2009</v>
      </c>
      <c r="C591" s="613" t="s">
        <v>1200</v>
      </c>
      <c r="D591" s="614">
        <v>1</v>
      </c>
    </row>
    <row r="592" spans="1:4" x14ac:dyDescent="0.25">
      <c r="A592" s="1160"/>
      <c r="B592" s="612">
        <v>2043</v>
      </c>
      <c r="C592" s="613" t="s">
        <v>1201</v>
      </c>
      <c r="D592" s="614">
        <v>1</v>
      </c>
    </row>
    <row r="593" spans="1:4" x14ac:dyDescent="0.25">
      <c r="A593" s="1160"/>
      <c r="B593" s="612">
        <v>2028</v>
      </c>
      <c r="C593" s="613" t="s">
        <v>1202</v>
      </c>
      <c r="D593" s="614">
        <v>1</v>
      </c>
    </row>
    <row r="594" spans="1:4" x14ac:dyDescent="0.25">
      <c r="A594" s="1160"/>
      <c r="B594" s="612">
        <v>2058</v>
      </c>
      <c r="C594" s="613" t="s">
        <v>1203</v>
      </c>
      <c r="D594" s="614">
        <v>1</v>
      </c>
    </row>
    <row r="595" spans="1:4" x14ac:dyDescent="0.25">
      <c r="A595" s="1160"/>
      <c r="B595" s="612">
        <v>2033</v>
      </c>
      <c r="C595" s="613" t="s">
        <v>1204</v>
      </c>
      <c r="D595" s="614">
        <v>1</v>
      </c>
    </row>
    <row r="596" spans="1:4" x14ac:dyDescent="0.25">
      <c r="A596" s="1160"/>
      <c r="B596" s="612">
        <v>2034</v>
      </c>
      <c r="C596" s="613" t="s">
        <v>1205</v>
      </c>
      <c r="D596" s="614">
        <v>1</v>
      </c>
    </row>
    <row r="597" spans="1:4" x14ac:dyDescent="0.25">
      <c r="A597" s="1160"/>
      <c r="B597" s="612">
        <v>2016</v>
      </c>
      <c r="C597" s="613" t="s">
        <v>1206</v>
      </c>
      <c r="D597" s="614">
        <v>1</v>
      </c>
    </row>
    <row r="598" spans="1:4" x14ac:dyDescent="0.25">
      <c r="A598" s="1160"/>
      <c r="B598" s="612">
        <v>2007</v>
      </c>
      <c r="C598" s="613" t="s">
        <v>1207</v>
      </c>
      <c r="D598" s="614">
        <v>1</v>
      </c>
    </row>
    <row r="599" spans="1:4" x14ac:dyDescent="0.25">
      <c r="A599" s="1160"/>
      <c r="B599" s="612">
        <v>2052</v>
      </c>
      <c r="C599" s="613" t="s">
        <v>1208</v>
      </c>
      <c r="D599" s="614">
        <v>1</v>
      </c>
    </row>
    <row r="600" spans="1:4" x14ac:dyDescent="0.25">
      <c r="A600" s="1160"/>
      <c r="B600" s="612">
        <v>2054</v>
      </c>
      <c r="C600" s="613" t="s">
        <v>2283</v>
      </c>
      <c r="D600" s="614">
        <v>1</v>
      </c>
    </row>
    <row r="601" spans="1:4" x14ac:dyDescent="0.25">
      <c r="A601" s="1160"/>
      <c r="B601" s="612">
        <v>2053</v>
      </c>
      <c r="C601" s="613" t="s">
        <v>1209</v>
      </c>
      <c r="D601" s="614">
        <v>1</v>
      </c>
    </row>
    <row r="602" spans="1:4" x14ac:dyDescent="0.25">
      <c r="A602" s="1160"/>
      <c r="B602" s="612">
        <v>2001</v>
      </c>
      <c r="C602" s="613" t="s">
        <v>1056</v>
      </c>
      <c r="D602" s="614">
        <v>1</v>
      </c>
    </row>
    <row r="603" spans="1:4" x14ac:dyDescent="0.25">
      <c r="A603" s="1160"/>
      <c r="B603" s="612">
        <v>2014</v>
      </c>
      <c r="C603" s="613" t="s">
        <v>1210</v>
      </c>
      <c r="D603" s="614">
        <v>1</v>
      </c>
    </row>
    <row r="604" spans="1:4" x14ac:dyDescent="0.25">
      <c r="A604" s="1160"/>
      <c r="B604" s="612">
        <v>2047</v>
      </c>
      <c r="C604" s="613" t="s">
        <v>1211</v>
      </c>
      <c r="D604" s="614">
        <v>1</v>
      </c>
    </row>
    <row r="605" spans="1:4" x14ac:dyDescent="0.25">
      <c r="A605" s="1160"/>
      <c r="B605" s="612">
        <v>2044</v>
      </c>
      <c r="C605" s="613" t="s">
        <v>1212</v>
      </c>
      <c r="D605" s="614">
        <v>1</v>
      </c>
    </row>
    <row r="606" spans="1:4" x14ac:dyDescent="0.25">
      <c r="A606" s="1160"/>
      <c r="B606" s="612">
        <v>2057</v>
      </c>
      <c r="C606" s="613" t="s">
        <v>2284</v>
      </c>
      <c r="D606" s="614">
        <v>1</v>
      </c>
    </row>
    <row r="607" spans="1:4" x14ac:dyDescent="0.25">
      <c r="A607" s="1160"/>
      <c r="B607" s="612">
        <v>2045</v>
      </c>
      <c r="C607" s="613" t="s">
        <v>2285</v>
      </c>
      <c r="D607" s="614">
        <v>1</v>
      </c>
    </row>
    <row r="608" spans="1:4" x14ac:dyDescent="0.25">
      <c r="A608" s="1160"/>
      <c r="B608" s="612">
        <v>2042</v>
      </c>
      <c r="C608" s="613" t="s">
        <v>1213</v>
      </c>
      <c r="D608" s="614">
        <v>1</v>
      </c>
    </row>
    <row r="609" spans="1:4" x14ac:dyDescent="0.25">
      <c r="A609" s="1160"/>
      <c r="B609" s="612">
        <v>2041</v>
      </c>
      <c r="C609" s="613" t="s">
        <v>2286</v>
      </c>
      <c r="D609" s="614">
        <v>1</v>
      </c>
    </row>
    <row r="610" spans="1:4" x14ac:dyDescent="0.25">
      <c r="A610" s="1160"/>
      <c r="B610" s="612">
        <v>2049</v>
      </c>
      <c r="C610" s="613" t="s">
        <v>2287</v>
      </c>
      <c r="D610" s="614">
        <v>1</v>
      </c>
    </row>
    <row r="611" spans="1:4" x14ac:dyDescent="0.25">
      <c r="A611" s="1160"/>
      <c r="B611" s="612">
        <v>2032</v>
      </c>
      <c r="C611" s="613" t="s">
        <v>1214</v>
      </c>
      <c r="D611" s="614">
        <v>1</v>
      </c>
    </row>
    <row r="612" spans="1:4" x14ac:dyDescent="0.25">
      <c r="A612" s="1160"/>
      <c r="B612" s="612">
        <v>2015</v>
      </c>
      <c r="C612" s="613" t="s">
        <v>2288</v>
      </c>
      <c r="D612" s="614">
        <v>1</v>
      </c>
    </row>
    <row r="613" spans="1:4" x14ac:dyDescent="0.25">
      <c r="A613" s="1160"/>
      <c r="B613" s="612">
        <v>2038</v>
      </c>
      <c r="C613" s="613" t="s">
        <v>2289</v>
      </c>
      <c r="D613" s="614">
        <v>1</v>
      </c>
    </row>
    <row r="614" spans="1:4" x14ac:dyDescent="0.25">
      <c r="A614" s="1160"/>
      <c r="B614" s="612">
        <v>2006</v>
      </c>
      <c r="C614" s="613" t="s">
        <v>1215</v>
      </c>
      <c r="D614" s="614">
        <v>1</v>
      </c>
    </row>
    <row r="615" spans="1:4" x14ac:dyDescent="0.25">
      <c r="A615" s="1160"/>
      <c r="B615" s="612">
        <v>2027</v>
      </c>
      <c r="C615" s="613" t="s">
        <v>1216</v>
      </c>
      <c r="D615" s="614">
        <v>1</v>
      </c>
    </row>
    <row r="616" spans="1:4" x14ac:dyDescent="0.25">
      <c r="A616" s="1160"/>
      <c r="B616" s="612">
        <v>2002</v>
      </c>
      <c r="C616" s="613" t="s">
        <v>1217</v>
      </c>
      <c r="D616" s="614">
        <v>1</v>
      </c>
    </row>
    <row r="617" spans="1:4" x14ac:dyDescent="0.25">
      <c r="A617" s="1160"/>
      <c r="B617" s="612">
        <v>2019</v>
      </c>
      <c r="C617" s="613" t="s">
        <v>1218</v>
      </c>
      <c r="D617" s="614">
        <v>1</v>
      </c>
    </row>
    <row r="618" spans="1:4" x14ac:dyDescent="0.25">
      <c r="A618" s="1160"/>
      <c r="B618" s="612">
        <v>2051</v>
      </c>
      <c r="C618" s="613" t="s">
        <v>1219</v>
      </c>
      <c r="D618" s="614">
        <v>1</v>
      </c>
    </row>
    <row r="619" spans="1:4" x14ac:dyDescent="0.25">
      <c r="A619" s="1160"/>
      <c r="B619" s="612">
        <v>2020</v>
      </c>
      <c r="C619" s="613" t="s">
        <v>892</v>
      </c>
      <c r="D619" s="614">
        <v>1</v>
      </c>
    </row>
    <row r="620" spans="1:4" x14ac:dyDescent="0.25">
      <c r="A620" s="1160"/>
      <c r="B620" s="612">
        <v>2018</v>
      </c>
      <c r="C620" s="613" t="s">
        <v>1220</v>
      </c>
      <c r="D620" s="614">
        <v>1</v>
      </c>
    </row>
    <row r="621" spans="1:4" x14ac:dyDescent="0.25">
      <c r="A621" s="1160"/>
      <c r="B621" s="612">
        <v>2005</v>
      </c>
      <c r="C621" s="613" t="s">
        <v>1221</v>
      </c>
      <c r="D621" s="614">
        <v>1</v>
      </c>
    </row>
    <row r="622" spans="1:4" x14ac:dyDescent="0.25">
      <c r="A622" s="1160"/>
      <c r="B622" s="612">
        <v>2030</v>
      </c>
      <c r="C622" s="613" t="s">
        <v>1222</v>
      </c>
      <c r="D622" s="614">
        <v>1</v>
      </c>
    </row>
    <row r="623" spans="1:4" x14ac:dyDescent="0.25">
      <c r="A623" s="1160"/>
      <c r="B623" s="612">
        <v>2008</v>
      </c>
      <c r="C623" s="613" t="s">
        <v>1223</v>
      </c>
      <c r="D623" s="614">
        <v>1</v>
      </c>
    </row>
    <row r="624" spans="1:4" x14ac:dyDescent="0.25">
      <c r="A624" s="1160"/>
      <c r="B624" s="612">
        <v>2017</v>
      </c>
      <c r="C624" s="613" t="s">
        <v>1224</v>
      </c>
      <c r="D624" s="614">
        <v>1</v>
      </c>
    </row>
    <row r="625" spans="1:4" x14ac:dyDescent="0.25">
      <c r="A625" s="1160"/>
      <c r="B625" s="612">
        <v>2021</v>
      </c>
      <c r="C625" s="613" t="s">
        <v>1225</v>
      </c>
      <c r="D625" s="614">
        <v>1</v>
      </c>
    </row>
    <row r="626" spans="1:4" x14ac:dyDescent="0.25">
      <c r="A626" s="1160"/>
      <c r="B626" s="612">
        <v>2039</v>
      </c>
      <c r="C626" s="613" t="s">
        <v>1226</v>
      </c>
      <c r="D626" s="614">
        <v>1</v>
      </c>
    </row>
    <row r="627" spans="1:4" x14ac:dyDescent="0.25">
      <c r="A627" s="1160"/>
      <c r="B627" s="612">
        <v>2022</v>
      </c>
      <c r="C627" s="613" t="s">
        <v>1227</v>
      </c>
      <c r="D627" s="614">
        <v>1</v>
      </c>
    </row>
    <row r="628" spans="1:4" x14ac:dyDescent="0.25">
      <c r="A628" s="1160"/>
      <c r="B628" s="612">
        <v>2026</v>
      </c>
      <c r="C628" s="613" t="s">
        <v>1228</v>
      </c>
      <c r="D628" s="614">
        <v>1</v>
      </c>
    </row>
    <row r="629" spans="1:4" x14ac:dyDescent="0.25">
      <c r="A629" s="1160"/>
      <c r="B629" s="612">
        <v>2036</v>
      </c>
      <c r="C629" s="613" t="s">
        <v>1229</v>
      </c>
      <c r="D629" s="614">
        <v>1</v>
      </c>
    </row>
    <row r="630" spans="1:4" ht="13.5" thickBot="1" x14ac:dyDescent="0.3">
      <c r="A630" s="1161"/>
      <c r="B630" s="605">
        <v>2056</v>
      </c>
      <c r="C630" s="606" t="s">
        <v>1230</v>
      </c>
      <c r="D630" s="607">
        <v>1</v>
      </c>
    </row>
    <row r="631" spans="1:4" x14ac:dyDescent="0.25">
      <c r="A631" s="1151" t="s">
        <v>1231</v>
      </c>
      <c r="B631" s="602">
        <v>5912</v>
      </c>
      <c r="C631" s="603" t="s">
        <v>1232</v>
      </c>
      <c r="D631" s="604">
        <v>1</v>
      </c>
    </row>
    <row r="632" spans="1:4" x14ac:dyDescent="0.25">
      <c r="A632" s="1160"/>
      <c r="B632" s="612">
        <v>5911</v>
      </c>
      <c r="C632" s="613" t="s">
        <v>1233</v>
      </c>
      <c r="D632" s="614">
        <v>1</v>
      </c>
    </row>
    <row r="633" spans="1:4" ht="13.5" thickBot="1" x14ac:dyDescent="0.3">
      <c r="A633" s="1160"/>
      <c r="B633" s="615">
        <v>5913</v>
      </c>
      <c r="C633" s="616" t="s">
        <v>1234</v>
      </c>
      <c r="D633" s="617">
        <v>1</v>
      </c>
    </row>
    <row r="634" spans="1:4" x14ac:dyDescent="0.25">
      <c r="A634" s="1151" t="s">
        <v>476</v>
      </c>
      <c r="B634" s="602">
        <v>5300</v>
      </c>
      <c r="C634" s="603" t="s">
        <v>1235</v>
      </c>
      <c r="D634" s="604">
        <v>1</v>
      </c>
    </row>
    <row r="635" spans="1:4" ht="13.5" thickBot="1" x14ac:dyDescent="0.3">
      <c r="A635" s="1161"/>
      <c r="B635" s="605">
        <v>5300</v>
      </c>
      <c r="C635" s="606" t="s">
        <v>1236</v>
      </c>
      <c r="D635" s="607">
        <v>1</v>
      </c>
    </row>
    <row r="636" spans="1:4" x14ac:dyDescent="0.25">
      <c r="A636" s="1151" t="s">
        <v>598</v>
      </c>
      <c r="B636" s="602">
        <v>5901</v>
      </c>
      <c r="C636" s="603" t="s">
        <v>1237</v>
      </c>
      <c r="D636" s="604">
        <v>1</v>
      </c>
    </row>
    <row r="637" spans="1:4" x14ac:dyDescent="0.25">
      <c r="A637" s="1160"/>
      <c r="B637" s="612">
        <v>5902</v>
      </c>
      <c r="C637" s="613" t="s">
        <v>1115</v>
      </c>
      <c r="D637" s="614">
        <v>1</v>
      </c>
    </row>
    <row r="638" spans="1:4" x14ac:dyDescent="0.25">
      <c r="A638" s="1160"/>
      <c r="B638" s="612">
        <v>5903</v>
      </c>
      <c r="C638" s="613" t="s">
        <v>1238</v>
      </c>
      <c r="D638" s="614">
        <v>1</v>
      </c>
    </row>
    <row r="639" spans="1:4" ht="13.5" thickBot="1" x14ac:dyDescent="0.3">
      <c r="A639" s="1161"/>
      <c r="B639" s="605">
        <v>5900</v>
      </c>
      <c r="C639" s="606" t="s">
        <v>1239</v>
      </c>
      <c r="D639" s="607">
        <v>1</v>
      </c>
    </row>
    <row r="640" spans="1:4" x14ac:dyDescent="0.25">
      <c r="A640" s="1151" t="s">
        <v>1240</v>
      </c>
      <c r="B640" s="602">
        <v>3307</v>
      </c>
      <c r="C640" s="603" t="s">
        <v>970</v>
      </c>
      <c r="D640" s="604">
        <v>1</v>
      </c>
    </row>
    <row r="641" spans="1:4" x14ac:dyDescent="0.25">
      <c r="A641" s="1160"/>
      <c r="B641" s="612">
        <v>3302</v>
      </c>
      <c r="C641" s="613" t="s">
        <v>1241</v>
      </c>
      <c r="D641" s="614">
        <v>1</v>
      </c>
    </row>
    <row r="642" spans="1:4" x14ac:dyDescent="0.25">
      <c r="A642" s="1160"/>
      <c r="B642" s="612">
        <v>3325</v>
      </c>
      <c r="C642" s="613" t="s">
        <v>1242</v>
      </c>
      <c r="D642" s="614">
        <v>1</v>
      </c>
    </row>
    <row r="643" spans="1:4" x14ac:dyDescent="0.25">
      <c r="A643" s="1160"/>
      <c r="B643" s="612">
        <v>3303</v>
      </c>
      <c r="C643" s="613" t="s">
        <v>1243</v>
      </c>
      <c r="D643" s="614">
        <v>1</v>
      </c>
    </row>
    <row r="644" spans="1:4" x14ac:dyDescent="0.25">
      <c r="A644" s="1160"/>
      <c r="B644" s="612">
        <v>3308</v>
      </c>
      <c r="C644" s="613" t="s">
        <v>1244</v>
      </c>
      <c r="D644" s="614">
        <v>1</v>
      </c>
    </row>
    <row r="645" spans="1:4" x14ac:dyDescent="0.25">
      <c r="A645" s="1160"/>
      <c r="B645" s="612">
        <v>3316</v>
      </c>
      <c r="C645" s="613" t="s">
        <v>1245</v>
      </c>
      <c r="D645" s="614">
        <v>1</v>
      </c>
    </row>
    <row r="646" spans="1:4" x14ac:dyDescent="0.25">
      <c r="A646" s="1160"/>
      <c r="B646" s="612">
        <v>3321</v>
      </c>
      <c r="C646" s="613" t="s">
        <v>1246</v>
      </c>
      <c r="D646" s="614">
        <v>1</v>
      </c>
    </row>
    <row r="647" spans="1:4" x14ac:dyDescent="0.25">
      <c r="A647" s="1160"/>
      <c r="B647" s="612">
        <v>3305</v>
      </c>
      <c r="C647" s="613" t="s">
        <v>1247</v>
      </c>
      <c r="D647" s="614">
        <v>1</v>
      </c>
    </row>
    <row r="648" spans="1:4" x14ac:dyDescent="0.25">
      <c r="A648" s="1160"/>
      <c r="B648" s="612">
        <v>3300</v>
      </c>
      <c r="C648" s="613" t="s">
        <v>784</v>
      </c>
      <c r="D648" s="614">
        <v>1</v>
      </c>
    </row>
    <row r="649" spans="1:4" x14ac:dyDescent="0.25">
      <c r="A649" s="1160"/>
      <c r="B649" s="612">
        <v>3322</v>
      </c>
      <c r="C649" s="613" t="s">
        <v>1248</v>
      </c>
      <c r="D649" s="614">
        <v>1</v>
      </c>
    </row>
    <row r="650" spans="1:4" x14ac:dyDescent="0.25">
      <c r="A650" s="1160"/>
      <c r="B650" s="612">
        <v>3330</v>
      </c>
      <c r="C650" s="613" t="s">
        <v>1249</v>
      </c>
      <c r="D650" s="614">
        <v>1</v>
      </c>
    </row>
    <row r="651" spans="1:4" x14ac:dyDescent="0.25">
      <c r="A651" s="1160"/>
      <c r="B651" s="612">
        <v>3313</v>
      </c>
      <c r="C651" s="613" t="s">
        <v>1250</v>
      </c>
      <c r="D651" s="614">
        <v>1</v>
      </c>
    </row>
    <row r="652" spans="1:4" x14ac:dyDescent="0.25">
      <c r="A652" s="1160"/>
      <c r="B652" s="612">
        <v>3337</v>
      </c>
      <c r="C652" s="613" t="s">
        <v>1251</v>
      </c>
      <c r="D652" s="614">
        <v>1</v>
      </c>
    </row>
    <row r="653" spans="1:4" x14ac:dyDescent="0.25">
      <c r="A653" s="1160"/>
      <c r="B653" s="612">
        <v>3340</v>
      </c>
      <c r="C653" s="613" t="s">
        <v>678</v>
      </c>
      <c r="D653" s="614">
        <v>1</v>
      </c>
    </row>
    <row r="654" spans="1:4" x14ac:dyDescent="0.25">
      <c r="A654" s="1160"/>
      <c r="B654" s="612">
        <v>3334</v>
      </c>
      <c r="C654" s="613" t="s">
        <v>1252</v>
      </c>
      <c r="D654" s="614">
        <v>1</v>
      </c>
    </row>
    <row r="655" spans="1:4" x14ac:dyDescent="0.25">
      <c r="A655" s="1160"/>
      <c r="B655" s="612">
        <v>3312</v>
      </c>
      <c r="C655" s="613" t="s">
        <v>1253</v>
      </c>
      <c r="D655" s="614">
        <v>1</v>
      </c>
    </row>
    <row r="656" spans="1:4" x14ac:dyDescent="0.25">
      <c r="A656" s="1160"/>
      <c r="B656" s="612">
        <v>3342</v>
      </c>
      <c r="C656" s="613" t="s">
        <v>1254</v>
      </c>
      <c r="D656" s="614">
        <v>1</v>
      </c>
    </row>
    <row r="657" spans="1:4" x14ac:dyDescent="0.25">
      <c r="A657" s="1160"/>
      <c r="B657" s="612">
        <v>3311</v>
      </c>
      <c r="C657" s="613" t="s">
        <v>1255</v>
      </c>
      <c r="D657" s="614">
        <v>1</v>
      </c>
    </row>
    <row r="658" spans="1:4" x14ac:dyDescent="0.25">
      <c r="A658" s="1160"/>
      <c r="B658" s="612">
        <v>3327</v>
      </c>
      <c r="C658" s="613" t="s">
        <v>1256</v>
      </c>
      <c r="D658" s="614">
        <v>1</v>
      </c>
    </row>
    <row r="659" spans="1:4" x14ac:dyDescent="0.25">
      <c r="A659" s="1160"/>
      <c r="B659" s="612">
        <v>3317</v>
      </c>
      <c r="C659" s="613" t="s">
        <v>1257</v>
      </c>
      <c r="D659" s="614">
        <v>1</v>
      </c>
    </row>
    <row r="660" spans="1:4" x14ac:dyDescent="0.25">
      <c r="A660" s="1160"/>
      <c r="B660" s="612">
        <v>3343</v>
      </c>
      <c r="C660" s="613" t="s">
        <v>1258</v>
      </c>
      <c r="D660" s="614">
        <v>1</v>
      </c>
    </row>
    <row r="661" spans="1:4" ht="12.75" customHeight="1" x14ac:dyDescent="0.25">
      <c r="A661" s="1160"/>
      <c r="B661" s="612">
        <v>3318</v>
      </c>
      <c r="C661" s="613" t="s">
        <v>1259</v>
      </c>
      <c r="D661" s="614">
        <v>1</v>
      </c>
    </row>
    <row r="662" spans="1:4" x14ac:dyDescent="0.25">
      <c r="A662" s="1160"/>
      <c r="B662" s="612">
        <v>3323</v>
      </c>
      <c r="C662" s="613" t="s">
        <v>1260</v>
      </c>
      <c r="D662" s="614">
        <v>1</v>
      </c>
    </row>
    <row r="663" spans="1:4" x14ac:dyDescent="0.25">
      <c r="A663" s="1160"/>
      <c r="B663" s="612">
        <v>3341</v>
      </c>
      <c r="C663" s="613" t="s">
        <v>1261</v>
      </c>
      <c r="D663" s="614">
        <v>1</v>
      </c>
    </row>
    <row r="664" spans="1:4" x14ac:dyDescent="0.25">
      <c r="A664" s="1160"/>
      <c r="B664" s="612">
        <v>3338</v>
      </c>
      <c r="C664" s="613" t="s">
        <v>1262</v>
      </c>
      <c r="D664" s="614">
        <v>1</v>
      </c>
    </row>
    <row r="665" spans="1:4" x14ac:dyDescent="0.25">
      <c r="A665" s="1160"/>
      <c r="B665" s="612">
        <v>3345</v>
      </c>
      <c r="C665" s="613" t="s">
        <v>1263</v>
      </c>
      <c r="D665" s="614">
        <v>1</v>
      </c>
    </row>
    <row r="666" spans="1:4" x14ac:dyDescent="0.25">
      <c r="A666" s="1160"/>
      <c r="B666" s="612">
        <v>3344</v>
      </c>
      <c r="C666" s="613" t="s">
        <v>1264</v>
      </c>
      <c r="D666" s="614">
        <v>1</v>
      </c>
    </row>
    <row r="667" spans="1:4" x14ac:dyDescent="0.25">
      <c r="A667" s="1160"/>
      <c r="B667" s="612">
        <v>3314</v>
      </c>
      <c r="C667" s="613" t="s">
        <v>1265</v>
      </c>
      <c r="D667" s="614">
        <v>1</v>
      </c>
    </row>
    <row r="668" spans="1:4" x14ac:dyDescent="0.25">
      <c r="A668" s="1160"/>
      <c r="B668" s="612">
        <v>3310</v>
      </c>
      <c r="C668" s="613" t="s">
        <v>1266</v>
      </c>
      <c r="D668" s="614">
        <v>1</v>
      </c>
    </row>
    <row r="669" spans="1:4" x14ac:dyDescent="0.25">
      <c r="A669" s="1160"/>
      <c r="B669" s="612">
        <v>3315</v>
      </c>
      <c r="C669" s="613" t="s">
        <v>1267</v>
      </c>
      <c r="D669" s="614">
        <v>1</v>
      </c>
    </row>
    <row r="670" spans="1:4" x14ac:dyDescent="0.25">
      <c r="A670" s="1160"/>
      <c r="B670" s="612">
        <v>3329</v>
      </c>
      <c r="C670" s="613" t="s">
        <v>1268</v>
      </c>
      <c r="D670" s="614">
        <v>1</v>
      </c>
    </row>
    <row r="671" spans="1:4" x14ac:dyDescent="0.25">
      <c r="A671" s="1160"/>
      <c r="B671" s="612">
        <v>3301</v>
      </c>
      <c r="C671" s="613" t="s">
        <v>1269</v>
      </c>
      <c r="D671" s="614">
        <v>1</v>
      </c>
    </row>
    <row r="672" spans="1:4" x14ac:dyDescent="0.25">
      <c r="A672" s="1160"/>
      <c r="B672" s="612">
        <v>3331</v>
      </c>
      <c r="C672" s="613" t="s">
        <v>1270</v>
      </c>
      <c r="D672" s="614">
        <v>1</v>
      </c>
    </row>
    <row r="673" spans="1:4" x14ac:dyDescent="0.25">
      <c r="A673" s="1160"/>
      <c r="B673" s="612">
        <v>3336</v>
      </c>
      <c r="C673" s="613" t="s">
        <v>1271</v>
      </c>
      <c r="D673" s="614">
        <v>1</v>
      </c>
    </row>
    <row r="674" spans="1:4" x14ac:dyDescent="0.25">
      <c r="A674" s="1160"/>
      <c r="B674" s="612">
        <v>3332</v>
      </c>
      <c r="C674" s="613" t="s">
        <v>1272</v>
      </c>
      <c r="D674" s="614">
        <v>1</v>
      </c>
    </row>
    <row r="675" spans="1:4" x14ac:dyDescent="0.25">
      <c r="A675" s="1160"/>
      <c r="B675" s="612">
        <v>3339</v>
      </c>
      <c r="C675" s="613" t="s">
        <v>1273</v>
      </c>
      <c r="D675" s="614">
        <v>1</v>
      </c>
    </row>
    <row r="676" spans="1:4" x14ac:dyDescent="0.25">
      <c r="A676" s="1160"/>
      <c r="B676" s="612">
        <v>3328</v>
      </c>
      <c r="C676" s="613" t="s">
        <v>939</v>
      </c>
      <c r="D676" s="614">
        <v>1</v>
      </c>
    </row>
    <row r="677" spans="1:4" x14ac:dyDescent="0.25">
      <c r="A677" s="1160"/>
      <c r="B677" s="612">
        <v>3319</v>
      </c>
      <c r="C677" s="613" t="s">
        <v>1274</v>
      </c>
      <c r="D677" s="614">
        <v>1</v>
      </c>
    </row>
    <row r="678" spans="1:4" x14ac:dyDescent="0.25">
      <c r="A678" s="1160"/>
      <c r="B678" s="612">
        <v>3306</v>
      </c>
      <c r="C678" s="613" t="s">
        <v>1275</v>
      </c>
      <c r="D678" s="614">
        <v>1</v>
      </c>
    </row>
    <row r="679" spans="1:4" x14ac:dyDescent="0.25">
      <c r="A679" s="1160"/>
      <c r="B679" s="612">
        <v>3309</v>
      </c>
      <c r="C679" s="613" t="s">
        <v>1276</v>
      </c>
      <c r="D679" s="614">
        <v>1</v>
      </c>
    </row>
    <row r="680" spans="1:4" x14ac:dyDescent="0.25">
      <c r="A680" s="1160"/>
      <c r="B680" s="612">
        <v>3335</v>
      </c>
      <c r="C680" s="613" t="s">
        <v>1277</v>
      </c>
      <c r="D680" s="614">
        <v>1</v>
      </c>
    </row>
    <row r="681" spans="1:4" ht="13.5" thickBot="1" x14ac:dyDescent="0.3">
      <c r="A681" s="1161"/>
      <c r="B681" s="605">
        <v>3333</v>
      </c>
      <c r="C681" s="606" t="s">
        <v>1278</v>
      </c>
      <c r="D681" s="607">
        <v>1</v>
      </c>
    </row>
    <row r="682" spans="1:4" x14ac:dyDescent="0.25">
      <c r="A682" s="1151" t="s">
        <v>1279</v>
      </c>
      <c r="B682" s="602">
        <v>3500</v>
      </c>
      <c r="C682" s="603" t="s">
        <v>1280</v>
      </c>
      <c r="D682" s="604">
        <v>1</v>
      </c>
    </row>
    <row r="683" spans="1:4" x14ac:dyDescent="0.25">
      <c r="A683" s="1160"/>
      <c r="B683" s="612">
        <v>3502</v>
      </c>
      <c r="C683" s="613" t="s">
        <v>1281</v>
      </c>
      <c r="D683" s="614">
        <v>1</v>
      </c>
    </row>
    <row r="684" spans="1:4" x14ac:dyDescent="0.25">
      <c r="A684" s="1160"/>
      <c r="B684" s="612">
        <v>3510</v>
      </c>
      <c r="C684" s="613" t="s">
        <v>1282</v>
      </c>
      <c r="D684" s="614">
        <v>1</v>
      </c>
    </row>
    <row r="685" spans="1:4" x14ac:dyDescent="0.25">
      <c r="A685" s="1160"/>
      <c r="B685" s="612">
        <v>3515</v>
      </c>
      <c r="C685" s="613" t="s">
        <v>665</v>
      </c>
      <c r="D685" s="614">
        <v>1</v>
      </c>
    </row>
    <row r="686" spans="1:4" x14ac:dyDescent="0.25">
      <c r="A686" s="1160"/>
      <c r="B686" s="612">
        <v>3514</v>
      </c>
      <c r="C686" s="613" t="s">
        <v>1283</v>
      </c>
      <c r="D686" s="614">
        <v>1</v>
      </c>
    </row>
    <row r="687" spans="1:4" x14ac:dyDescent="0.25">
      <c r="A687" s="1160"/>
      <c r="B687" s="612">
        <v>3501</v>
      </c>
      <c r="C687" s="613" t="s">
        <v>1284</v>
      </c>
      <c r="D687" s="614">
        <v>1</v>
      </c>
    </row>
    <row r="688" spans="1:4" x14ac:dyDescent="0.25">
      <c r="A688" s="1160"/>
      <c r="B688" s="612">
        <v>3522</v>
      </c>
      <c r="C688" s="613" t="s">
        <v>1285</v>
      </c>
      <c r="D688" s="614">
        <v>1</v>
      </c>
    </row>
    <row r="689" spans="1:4" x14ac:dyDescent="0.25">
      <c r="A689" s="1160"/>
      <c r="B689" s="612">
        <v>3503</v>
      </c>
      <c r="C689" s="613" t="s">
        <v>1286</v>
      </c>
      <c r="D689" s="614">
        <v>1</v>
      </c>
    </row>
    <row r="690" spans="1:4" x14ac:dyDescent="0.25">
      <c r="A690" s="1160"/>
      <c r="B690" s="612">
        <v>3523</v>
      </c>
      <c r="C690" s="613" t="s">
        <v>1287</v>
      </c>
      <c r="D690" s="614">
        <v>1</v>
      </c>
    </row>
    <row r="691" spans="1:4" x14ac:dyDescent="0.25">
      <c r="A691" s="1160"/>
      <c r="B691" s="612">
        <v>3508</v>
      </c>
      <c r="C691" s="613" t="s">
        <v>1288</v>
      </c>
      <c r="D691" s="614">
        <v>1</v>
      </c>
    </row>
    <row r="692" spans="1:4" x14ac:dyDescent="0.25">
      <c r="A692" s="1160"/>
      <c r="B692" s="612">
        <v>3505</v>
      </c>
      <c r="C692" s="613" t="s">
        <v>1289</v>
      </c>
      <c r="D692" s="614">
        <v>1</v>
      </c>
    </row>
    <row r="693" spans="1:4" x14ac:dyDescent="0.25">
      <c r="A693" s="1160"/>
      <c r="B693" s="612">
        <v>3506</v>
      </c>
      <c r="C693" s="613" t="s">
        <v>1290</v>
      </c>
      <c r="D693" s="614">
        <v>1</v>
      </c>
    </row>
    <row r="694" spans="1:4" x14ac:dyDescent="0.25">
      <c r="A694" s="1160"/>
      <c r="B694" s="612">
        <v>3513</v>
      </c>
      <c r="C694" s="613" t="s">
        <v>1291</v>
      </c>
      <c r="D694" s="614">
        <v>1</v>
      </c>
    </row>
    <row r="695" spans="1:4" x14ac:dyDescent="0.25">
      <c r="A695" s="1160"/>
      <c r="B695" s="612">
        <v>3518</v>
      </c>
      <c r="C695" s="613" t="s">
        <v>1292</v>
      </c>
      <c r="D695" s="614">
        <v>1</v>
      </c>
    </row>
    <row r="696" spans="1:4" x14ac:dyDescent="0.25">
      <c r="A696" s="1160"/>
      <c r="B696" s="612">
        <v>3519</v>
      </c>
      <c r="C696" s="613" t="s">
        <v>1293</v>
      </c>
      <c r="D696" s="614">
        <v>1</v>
      </c>
    </row>
    <row r="697" spans="1:4" x14ac:dyDescent="0.25">
      <c r="A697" s="1160"/>
      <c r="B697" s="612">
        <v>3516</v>
      </c>
      <c r="C697" s="613" t="s">
        <v>1294</v>
      </c>
      <c r="D697" s="614">
        <v>1</v>
      </c>
    </row>
    <row r="698" spans="1:4" x14ac:dyDescent="0.25">
      <c r="A698" s="1160"/>
      <c r="B698" s="612">
        <v>3512</v>
      </c>
      <c r="C698" s="613" t="s">
        <v>774</v>
      </c>
      <c r="D698" s="614">
        <v>1</v>
      </c>
    </row>
    <row r="699" spans="1:4" x14ac:dyDescent="0.25">
      <c r="A699" s="1160"/>
      <c r="B699" s="612">
        <v>3520</v>
      </c>
      <c r="C699" s="613" t="s">
        <v>1295</v>
      </c>
      <c r="D699" s="614">
        <v>1</v>
      </c>
    </row>
    <row r="700" spans="1:4" x14ac:dyDescent="0.25">
      <c r="A700" s="1160"/>
      <c r="B700" s="612">
        <v>3511</v>
      </c>
      <c r="C700" s="613" t="s">
        <v>1296</v>
      </c>
      <c r="D700" s="614">
        <v>1</v>
      </c>
    </row>
    <row r="701" spans="1:4" ht="13.5" thickBot="1" x14ac:dyDescent="0.3">
      <c r="A701" s="1161"/>
      <c r="B701" s="605">
        <v>3524</v>
      </c>
      <c r="C701" s="606" t="s">
        <v>1297</v>
      </c>
      <c r="D701" s="607">
        <v>1</v>
      </c>
    </row>
    <row r="702" spans="1:4" x14ac:dyDescent="0.25">
      <c r="A702" s="1151" t="s">
        <v>1298</v>
      </c>
      <c r="B702" s="602">
        <v>4838</v>
      </c>
      <c r="C702" s="603" t="s">
        <v>1299</v>
      </c>
      <c r="D702" s="604">
        <v>1</v>
      </c>
    </row>
    <row r="703" spans="1:4" x14ac:dyDescent="0.25">
      <c r="A703" s="1160"/>
      <c r="B703" s="612">
        <v>4824</v>
      </c>
      <c r="C703" s="613" t="s">
        <v>1300</v>
      </c>
      <c r="D703" s="614">
        <v>1</v>
      </c>
    </row>
    <row r="704" spans="1:4" x14ac:dyDescent="0.25">
      <c r="A704" s="1160"/>
      <c r="B704" s="612">
        <v>4825</v>
      </c>
      <c r="C704" s="613" t="s">
        <v>1301</v>
      </c>
      <c r="D704" s="614">
        <v>1</v>
      </c>
    </row>
    <row r="705" spans="1:4" x14ac:dyDescent="0.25">
      <c r="A705" s="1160"/>
      <c r="B705" s="612">
        <v>4802</v>
      </c>
      <c r="C705" s="613" t="s">
        <v>1302</v>
      </c>
      <c r="D705" s="614">
        <v>1</v>
      </c>
    </row>
    <row r="706" spans="1:4" x14ac:dyDescent="0.25">
      <c r="A706" s="1160"/>
      <c r="B706" s="612">
        <v>4815</v>
      </c>
      <c r="C706" s="613" t="s">
        <v>1303</v>
      </c>
      <c r="D706" s="614">
        <v>1</v>
      </c>
    </row>
    <row r="707" spans="1:4" x14ac:dyDescent="0.25">
      <c r="A707" s="1160"/>
      <c r="B707" s="612">
        <v>4822</v>
      </c>
      <c r="C707" s="613" t="s">
        <v>1304</v>
      </c>
      <c r="D707" s="614">
        <v>1</v>
      </c>
    </row>
    <row r="708" spans="1:4" x14ac:dyDescent="0.25">
      <c r="A708" s="1160"/>
      <c r="B708" s="612">
        <v>4839</v>
      </c>
      <c r="C708" s="613" t="s">
        <v>1305</v>
      </c>
      <c r="D708" s="614">
        <v>1</v>
      </c>
    </row>
    <row r="709" spans="1:4" x14ac:dyDescent="0.25">
      <c r="A709" s="1160"/>
      <c r="B709" s="612">
        <v>4821</v>
      </c>
      <c r="C709" s="613" t="s">
        <v>1306</v>
      </c>
      <c r="D709" s="614">
        <v>1</v>
      </c>
    </row>
    <row r="710" spans="1:4" x14ac:dyDescent="0.25">
      <c r="A710" s="1160"/>
      <c r="B710" s="612">
        <v>4829</v>
      </c>
      <c r="C710" s="613" t="s">
        <v>1307</v>
      </c>
      <c r="D710" s="614">
        <v>1</v>
      </c>
    </row>
    <row r="711" spans="1:4" x14ac:dyDescent="0.25">
      <c r="A711" s="1160"/>
      <c r="B711" s="612">
        <v>4804</v>
      </c>
      <c r="C711" s="613" t="s">
        <v>1308</v>
      </c>
      <c r="D711" s="614">
        <v>1</v>
      </c>
    </row>
    <row r="712" spans="1:4" x14ac:dyDescent="0.25">
      <c r="A712" s="1160"/>
      <c r="B712" s="612">
        <v>4814</v>
      </c>
      <c r="C712" s="613" t="s">
        <v>775</v>
      </c>
      <c r="D712" s="614">
        <v>1</v>
      </c>
    </row>
    <row r="713" spans="1:4" x14ac:dyDescent="0.25">
      <c r="A713" s="1160"/>
      <c r="B713" s="612">
        <v>4809</v>
      </c>
      <c r="C713" s="613" t="s">
        <v>1309</v>
      </c>
      <c r="D713" s="614">
        <v>1</v>
      </c>
    </row>
    <row r="714" spans="1:4" x14ac:dyDescent="0.25">
      <c r="A714" s="1160"/>
      <c r="B714" s="612">
        <v>4832</v>
      </c>
      <c r="C714" s="613" t="s">
        <v>1310</v>
      </c>
      <c r="D714" s="614">
        <v>1</v>
      </c>
    </row>
    <row r="715" spans="1:4" x14ac:dyDescent="0.25">
      <c r="A715" s="1160"/>
      <c r="B715" s="612">
        <v>4808</v>
      </c>
      <c r="C715" s="613" t="s">
        <v>1311</v>
      </c>
      <c r="D715" s="614">
        <v>1</v>
      </c>
    </row>
    <row r="716" spans="1:4" x14ac:dyDescent="0.25">
      <c r="A716" s="1160"/>
      <c r="B716" s="612">
        <v>4803</v>
      </c>
      <c r="C716" s="613" t="s">
        <v>1312</v>
      </c>
      <c r="D716" s="614">
        <v>1</v>
      </c>
    </row>
    <row r="717" spans="1:4" x14ac:dyDescent="0.25">
      <c r="A717" s="1160"/>
      <c r="B717" s="612">
        <v>4813</v>
      </c>
      <c r="C717" s="613" t="s">
        <v>1313</v>
      </c>
      <c r="D717" s="614">
        <v>1</v>
      </c>
    </row>
    <row r="718" spans="1:4" x14ac:dyDescent="0.25">
      <c r="A718" s="1160"/>
      <c r="B718" s="612">
        <v>4818</v>
      </c>
      <c r="C718" s="613" t="s">
        <v>1314</v>
      </c>
      <c r="D718" s="614">
        <v>1</v>
      </c>
    </row>
    <row r="719" spans="1:4" x14ac:dyDescent="0.25">
      <c r="A719" s="1160"/>
      <c r="B719" s="612">
        <v>4800</v>
      </c>
      <c r="C719" s="613" t="s">
        <v>1243</v>
      </c>
      <c r="D719" s="614">
        <v>1</v>
      </c>
    </row>
    <row r="720" spans="1:4" x14ac:dyDescent="0.25">
      <c r="A720" s="1160"/>
      <c r="B720" s="612">
        <v>4835</v>
      </c>
      <c r="C720" s="613" t="s">
        <v>1315</v>
      </c>
      <c r="D720" s="614">
        <v>1</v>
      </c>
    </row>
    <row r="721" spans="1:4" x14ac:dyDescent="0.25">
      <c r="A721" s="1160"/>
      <c r="B721" s="612">
        <v>4805</v>
      </c>
      <c r="C721" s="613" t="s">
        <v>1316</v>
      </c>
      <c r="D721" s="614">
        <v>1</v>
      </c>
    </row>
    <row r="722" spans="1:4" x14ac:dyDescent="0.25">
      <c r="A722" s="1160"/>
      <c r="B722" s="612">
        <v>4834</v>
      </c>
      <c r="C722" s="613" t="s">
        <v>949</v>
      </c>
      <c r="D722" s="614">
        <v>1</v>
      </c>
    </row>
    <row r="723" spans="1:4" x14ac:dyDescent="0.25">
      <c r="A723" s="1160"/>
      <c r="B723" s="612">
        <v>4806</v>
      </c>
      <c r="C723" s="613" t="s">
        <v>1317</v>
      </c>
      <c r="D723" s="614">
        <v>1</v>
      </c>
    </row>
    <row r="724" spans="1:4" x14ac:dyDescent="0.25">
      <c r="A724" s="1160"/>
      <c r="B724" s="612">
        <v>4828</v>
      </c>
      <c r="C724" s="613" t="s">
        <v>909</v>
      </c>
      <c r="D724" s="614">
        <v>1</v>
      </c>
    </row>
    <row r="725" spans="1:4" x14ac:dyDescent="0.25">
      <c r="A725" s="1160"/>
      <c r="B725" s="612">
        <v>4810</v>
      </c>
      <c r="C725" s="613" t="s">
        <v>1318</v>
      </c>
      <c r="D725" s="614">
        <v>1</v>
      </c>
    </row>
    <row r="726" spans="1:4" x14ac:dyDescent="0.25">
      <c r="A726" s="1160"/>
      <c r="B726" s="612">
        <v>4807</v>
      </c>
      <c r="C726" s="613" t="s">
        <v>1320</v>
      </c>
      <c r="D726" s="614">
        <v>1</v>
      </c>
    </row>
    <row r="727" spans="1:4" x14ac:dyDescent="0.25">
      <c r="A727" s="1160"/>
      <c r="B727" s="612">
        <v>4811</v>
      </c>
      <c r="C727" s="613" t="s">
        <v>1319</v>
      </c>
      <c r="D727" s="614">
        <v>1</v>
      </c>
    </row>
    <row r="728" spans="1:4" x14ac:dyDescent="0.25">
      <c r="A728" s="1160"/>
      <c r="B728" s="612">
        <v>4816</v>
      </c>
      <c r="C728" s="613" t="s">
        <v>1321</v>
      </c>
      <c r="D728" s="614">
        <v>1</v>
      </c>
    </row>
    <row r="729" spans="1:4" x14ac:dyDescent="0.25">
      <c r="A729" s="1160"/>
      <c r="B729" s="612">
        <v>4823</v>
      </c>
      <c r="C729" s="613" t="s">
        <v>1322</v>
      </c>
      <c r="D729" s="614">
        <v>1</v>
      </c>
    </row>
    <row r="730" spans="1:4" x14ac:dyDescent="0.25">
      <c r="A730" s="1160"/>
      <c r="B730" s="612">
        <v>4836</v>
      </c>
      <c r="C730" s="613" t="s">
        <v>1323</v>
      </c>
      <c r="D730" s="614">
        <v>1</v>
      </c>
    </row>
    <row r="731" spans="1:4" x14ac:dyDescent="0.25">
      <c r="A731" s="1160"/>
      <c r="B731" s="612">
        <v>4819</v>
      </c>
      <c r="C731" s="613" t="s">
        <v>1325</v>
      </c>
      <c r="D731" s="614">
        <v>1</v>
      </c>
    </row>
    <row r="732" spans="1:4" x14ac:dyDescent="0.25">
      <c r="A732" s="1160"/>
      <c r="B732" s="612">
        <v>4837</v>
      </c>
      <c r="C732" s="613" t="s">
        <v>1324</v>
      </c>
      <c r="D732" s="614">
        <v>1</v>
      </c>
    </row>
    <row r="733" spans="1:4" x14ac:dyDescent="0.25">
      <c r="A733" s="1160"/>
      <c r="B733" s="612">
        <v>4826</v>
      </c>
      <c r="C733" s="613" t="s">
        <v>1326</v>
      </c>
      <c r="D733" s="614">
        <v>1</v>
      </c>
    </row>
    <row r="734" spans="1:4" x14ac:dyDescent="0.25">
      <c r="A734" s="1160"/>
      <c r="B734" s="612">
        <v>4817</v>
      </c>
      <c r="C734" s="613" t="s">
        <v>1327</v>
      </c>
      <c r="D734" s="614">
        <v>1</v>
      </c>
    </row>
    <row r="735" spans="1:4" x14ac:dyDescent="0.25">
      <c r="A735" s="1160"/>
      <c r="B735" s="612">
        <v>4827</v>
      </c>
      <c r="C735" s="613" t="s">
        <v>1328</v>
      </c>
      <c r="D735" s="614">
        <v>1</v>
      </c>
    </row>
    <row r="736" spans="1:4" x14ac:dyDescent="0.25">
      <c r="A736" s="1160"/>
      <c r="B736" s="612">
        <v>4831</v>
      </c>
      <c r="C736" s="613" t="s">
        <v>1329</v>
      </c>
      <c r="D736" s="614">
        <v>1</v>
      </c>
    </row>
    <row r="737" spans="1:4" x14ac:dyDescent="0.25">
      <c r="A737" s="1160"/>
      <c r="B737" s="612">
        <v>4801</v>
      </c>
      <c r="C737" s="613" t="s">
        <v>1021</v>
      </c>
      <c r="D737" s="614">
        <v>1</v>
      </c>
    </row>
    <row r="738" spans="1:4" x14ac:dyDescent="0.25">
      <c r="A738" s="1160"/>
      <c r="B738" s="612">
        <v>4830</v>
      </c>
      <c r="C738" s="613" t="s">
        <v>1330</v>
      </c>
      <c r="D738" s="614">
        <v>1</v>
      </c>
    </row>
    <row r="739" spans="1:4" ht="12.75" customHeight="1" thickBot="1" x14ac:dyDescent="0.3">
      <c r="A739" s="1161"/>
      <c r="B739" s="605">
        <v>4833</v>
      </c>
      <c r="C739" s="606" t="s">
        <v>1331</v>
      </c>
      <c r="D739" s="607">
        <v>1</v>
      </c>
    </row>
    <row r="740" spans="1:4" x14ac:dyDescent="0.25">
      <c r="A740" s="1151" t="s">
        <v>1332</v>
      </c>
      <c r="B740" s="602">
        <v>4917</v>
      </c>
      <c r="C740" s="603" t="s">
        <v>1333</v>
      </c>
      <c r="D740" s="604">
        <v>1</v>
      </c>
    </row>
    <row r="741" spans="1:4" x14ac:dyDescent="0.25">
      <c r="A741" s="1160"/>
      <c r="B741" s="612">
        <v>4910</v>
      </c>
      <c r="C741" s="613" t="s">
        <v>1334</v>
      </c>
      <c r="D741" s="614">
        <v>1</v>
      </c>
    </row>
    <row r="742" spans="1:4" x14ac:dyDescent="0.25">
      <c r="A742" s="1160"/>
      <c r="B742" s="612">
        <v>4905</v>
      </c>
      <c r="C742" s="613" t="s">
        <v>1335</v>
      </c>
      <c r="D742" s="614">
        <v>1</v>
      </c>
    </row>
    <row r="743" spans="1:4" x14ac:dyDescent="0.25">
      <c r="A743" s="1160"/>
      <c r="B743" s="612">
        <v>4925</v>
      </c>
      <c r="C743" s="613" t="s">
        <v>1336</v>
      </c>
      <c r="D743" s="614">
        <v>1</v>
      </c>
    </row>
    <row r="744" spans="1:4" x14ac:dyDescent="0.25">
      <c r="A744" s="1160"/>
      <c r="B744" s="612">
        <v>4904</v>
      </c>
      <c r="C744" s="613" t="s">
        <v>1337</v>
      </c>
      <c r="D744" s="614">
        <v>1</v>
      </c>
    </row>
    <row r="745" spans="1:4" x14ac:dyDescent="0.25">
      <c r="A745" s="1160"/>
      <c r="B745" s="612">
        <v>4923</v>
      </c>
      <c r="C745" s="613" t="s">
        <v>1338</v>
      </c>
      <c r="D745" s="614">
        <v>1</v>
      </c>
    </row>
    <row r="746" spans="1:4" x14ac:dyDescent="0.25">
      <c r="A746" s="1160"/>
      <c r="B746" s="612">
        <v>4918</v>
      </c>
      <c r="C746" s="613" t="s">
        <v>1339</v>
      </c>
      <c r="D746" s="614">
        <v>1</v>
      </c>
    </row>
    <row r="747" spans="1:4" x14ac:dyDescent="0.25">
      <c r="A747" s="1160"/>
      <c r="B747" s="612">
        <v>4922</v>
      </c>
      <c r="C747" s="613" t="s">
        <v>1340</v>
      </c>
      <c r="D747" s="614">
        <v>1</v>
      </c>
    </row>
    <row r="748" spans="1:4" x14ac:dyDescent="0.25">
      <c r="A748" s="1160"/>
      <c r="B748" s="612">
        <v>4929</v>
      </c>
      <c r="C748" s="613" t="s">
        <v>1341</v>
      </c>
      <c r="D748" s="614">
        <v>1</v>
      </c>
    </row>
    <row r="749" spans="1:4" x14ac:dyDescent="0.25">
      <c r="A749" s="1160"/>
      <c r="B749" s="612">
        <v>4916</v>
      </c>
      <c r="C749" s="613" t="s">
        <v>1087</v>
      </c>
      <c r="D749" s="614">
        <v>1</v>
      </c>
    </row>
    <row r="750" spans="1:4" x14ac:dyDescent="0.25">
      <c r="A750" s="1160"/>
      <c r="B750" s="612">
        <v>4931</v>
      </c>
      <c r="C750" s="613" t="s">
        <v>1342</v>
      </c>
      <c r="D750" s="614">
        <v>1</v>
      </c>
    </row>
    <row r="751" spans="1:4" x14ac:dyDescent="0.25">
      <c r="A751" s="1160"/>
      <c r="B751" s="612">
        <v>4911</v>
      </c>
      <c r="C751" s="613" t="s">
        <v>1343</v>
      </c>
      <c r="D751" s="614">
        <v>1</v>
      </c>
    </row>
    <row r="752" spans="1:4" x14ac:dyDescent="0.25">
      <c r="A752" s="1160"/>
      <c r="B752" s="612">
        <v>4914</v>
      </c>
      <c r="C752" s="613" t="s">
        <v>1344</v>
      </c>
      <c r="D752" s="614">
        <v>1</v>
      </c>
    </row>
    <row r="753" spans="1:4" x14ac:dyDescent="0.25">
      <c r="A753" s="1160"/>
      <c r="B753" s="612">
        <v>4906</v>
      </c>
      <c r="C753" s="613" t="s">
        <v>1345</v>
      </c>
      <c r="D753" s="614">
        <v>1</v>
      </c>
    </row>
    <row r="754" spans="1:4" x14ac:dyDescent="0.25">
      <c r="A754" s="1160"/>
      <c r="B754" s="612">
        <v>4912</v>
      </c>
      <c r="C754" s="613" t="s">
        <v>1346</v>
      </c>
      <c r="D754" s="614">
        <v>1</v>
      </c>
    </row>
    <row r="755" spans="1:4" x14ac:dyDescent="0.25">
      <c r="A755" s="1160"/>
      <c r="B755" s="612">
        <v>4927</v>
      </c>
      <c r="C755" s="613" t="s">
        <v>1347</v>
      </c>
      <c r="D755" s="614">
        <v>1</v>
      </c>
    </row>
    <row r="756" spans="1:4" x14ac:dyDescent="0.25">
      <c r="A756" s="1160"/>
      <c r="B756" s="612">
        <v>4930</v>
      </c>
      <c r="C756" s="613" t="s">
        <v>1173</v>
      </c>
      <c r="D756" s="614">
        <v>1</v>
      </c>
    </row>
    <row r="757" spans="1:4" x14ac:dyDescent="0.25">
      <c r="A757" s="1160"/>
      <c r="B757" s="612">
        <v>4913</v>
      </c>
      <c r="C757" s="613" t="s">
        <v>1348</v>
      </c>
      <c r="D757" s="614">
        <v>1</v>
      </c>
    </row>
    <row r="758" spans="1:4" x14ac:dyDescent="0.25">
      <c r="A758" s="1160"/>
      <c r="B758" s="612">
        <v>4902</v>
      </c>
      <c r="C758" s="613" t="s">
        <v>1349</v>
      </c>
      <c r="D758" s="614">
        <v>1</v>
      </c>
    </row>
    <row r="759" spans="1:4" x14ac:dyDescent="0.25">
      <c r="A759" s="1160"/>
      <c r="B759" s="612">
        <v>4921</v>
      </c>
      <c r="C759" s="613" t="s">
        <v>1350</v>
      </c>
      <c r="D759" s="614">
        <v>1</v>
      </c>
    </row>
    <row r="760" spans="1:4" x14ac:dyDescent="0.25">
      <c r="A760" s="1160"/>
      <c r="B760" s="612">
        <v>4909</v>
      </c>
      <c r="C760" s="613" t="s">
        <v>1351</v>
      </c>
      <c r="D760" s="614">
        <v>1</v>
      </c>
    </row>
    <row r="761" spans="1:4" x14ac:dyDescent="0.25">
      <c r="A761" s="1160"/>
      <c r="B761" s="612">
        <v>4903</v>
      </c>
      <c r="C761" s="613" t="s">
        <v>1352</v>
      </c>
      <c r="D761" s="614">
        <v>1</v>
      </c>
    </row>
    <row r="762" spans="1:4" x14ac:dyDescent="0.25">
      <c r="A762" s="1160"/>
      <c r="B762" s="612">
        <v>4928</v>
      </c>
      <c r="C762" s="613" t="s">
        <v>1013</v>
      </c>
      <c r="D762" s="614">
        <v>1</v>
      </c>
    </row>
    <row r="763" spans="1:4" x14ac:dyDescent="0.25">
      <c r="A763" s="1160"/>
      <c r="B763" s="612">
        <v>4908</v>
      </c>
      <c r="C763" s="613" t="s">
        <v>1353</v>
      </c>
      <c r="D763" s="614">
        <v>1</v>
      </c>
    </row>
    <row r="764" spans="1:4" x14ac:dyDescent="0.25">
      <c r="A764" s="1160"/>
      <c r="B764" s="612">
        <v>4907</v>
      </c>
      <c r="C764" s="613" t="s">
        <v>1354</v>
      </c>
      <c r="D764" s="614">
        <v>1</v>
      </c>
    </row>
    <row r="765" spans="1:4" x14ac:dyDescent="0.25">
      <c r="A765" s="1160"/>
      <c r="B765" s="612">
        <v>4926</v>
      </c>
      <c r="C765" s="613" t="s">
        <v>1355</v>
      </c>
      <c r="D765" s="614">
        <v>1</v>
      </c>
    </row>
    <row r="766" spans="1:4" ht="13.5" thickBot="1" x14ac:dyDescent="0.3">
      <c r="A766" s="1161"/>
      <c r="B766" s="605">
        <v>4901</v>
      </c>
      <c r="C766" s="606" t="s">
        <v>1356</v>
      </c>
      <c r="D766" s="607">
        <v>1</v>
      </c>
    </row>
    <row r="767" spans="1:4" x14ac:dyDescent="0.25">
      <c r="A767" s="1151" t="s">
        <v>1357</v>
      </c>
      <c r="B767" s="602">
        <v>1602</v>
      </c>
      <c r="C767" s="603" t="s">
        <v>1358</v>
      </c>
      <c r="D767" s="604">
        <v>1</v>
      </c>
    </row>
    <row r="768" spans="1:4" x14ac:dyDescent="0.25">
      <c r="A768" s="1160"/>
      <c r="B768" s="612">
        <v>1605</v>
      </c>
      <c r="C768" s="613" t="s">
        <v>1359</v>
      </c>
      <c r="D768" s="614">
        <v>1</v>
      </c>
    </row>
    <row r="769" spans="1:4" x14ac:dyDescent="0.25">
      <c r="A769" s="1160"/>
      <c r="B769" s="612">
        <v>1607</v>
      </c>
      <c r="C769" s="613" t="s">
        <v>1360</v>
      </c>
      <c r="D769" s="614">
        <v>1</v>
      </c>
    </row>
    <row r="770" spans="1:4" x14ac:dyDescent="0.25">
      <c r="A770" s="1160"/>
      <c r="B770" s="612">
        <v>1625</v>
      </c>
      <c r="C770" s="613" t="s">
        <v>1361</v>
      </c>
      <c r="D770" s="614">
        <v>1</v>
      </c>
    </row>
    <row r="771" spans="1:4" x14ac:dyDescent="0.25">
      <c r="A771" s="1160"/>
      <c r="B771" s="612">
        <v>1604</v>
      </c>
      <c r="C771" s="613" t="s">
        <v>1032</v>
      </c>
      <c r="D771" s="614">
        <v>1</v>
      </c>
    </row>
    <row r="772" spans="1:4" x14ac:dyDescent="0.25">
      <c r="A772" s="1160"/>
      <c r="B772" s="612">
        <v>1612</v>
      </c>
      <c r="C772" s="613" t="s">
        <v>1362</v>
      </c>
      <c r="D772" s="614">
        <v>1</v>
      </c>
    </row>
    <row r="773" spans="1:4" x14ac:dyDescent="0.25">
      <c r="A773" s="1160"/>
      <c r="B773" s="612">
        <v>1606</v>
      </c>
      <c r="C773" s="613" t="s">
        <v>1363</v>
      </c>
      <c r="D773" s="614">
        <v>1</v>
      </c>
    </row>
    <row r="774" spans="1:4" x14ac:dyDescent="0.25">
      <c r="A774" s="1160"/>
      <c r="B774" s="612">
        <v>1617</v>
      </c>
      <c r="C774" s="613" t="s">
        <v>1364</v>
      </c>
      <c r="D774" s="614">
        <v>1</v>
      </c>
    </row>
    <row r="775" spans="1:4" x14ac:dyDescent="0.25">
      <c r="A775" s="1160"/>
      <c r="B775" s="612">
        <v>1618</v>
      </c>
      <c r="C775" s="613" t="s">
        <v>1365</v>
      </c>
      <c r="D775" s="614">
        <v>1</v>
      </c>
    </row>
    <row r="776" spans="1:4" x14ac:dyDescent="0.25">
      <c r="A776" s="1160"/>
      <c r="B776" s="612">
        <v>1601</v>
      </c>
      <c r="C776" s="613" t="s">
        <v>1366</v>
      </c>
      <c r="D776" s="614">
        <v>1</v>
      </c>
    </row>
    <row r="777" spans="1:4" x14ac:dyDescent="0.25">
      <c r="A777" s="1160"/>
      <c r="B777" s="612">
        <v>1616</v>
      </c>
      <c r="C777" s="613" t="s">
        <v>1367</v>
      </c>
      <c r="D777" s="614">
        <v>1</v>
      </c>
    </row>
    <row r="778" spans="1:4" x14ac:dyDescent="0.25">
      <c r="A778" s="1160"/>
      <c r="B778" s="612">
        <v>1609</v>
      </c>
      <c r="C778" s="613" t="s">
        <v>1368</v>
      </c>
      <c r="D778" s="614">
        <v>1</v>
      </c>
    </row>
    <row r="779" spans="1:4" x14ac:dyDescent="0.25">
      <c r="A779" s="1160"/>
      <c r="B779" s="612">
        <v>1627</v>
      </c>
      <c r="C779" s="613" t="s">
        <v>1369</v>
      </c>
      <c r="D779" s="614">
        <v>1</v>
      </c>
    </row>
    <row r="780" spans="1:4" x14ac:dyDescent="0.25">
      <c r="A780" s="1160"/>
      <c r="B780" s="612">
        <v>1613</v>
      </c>
      <c r="C780" s="613" t="s">
        <v>1370</v>
      </c>
      <c r="D780" s="614">
        <v>1</v>
      </c>
    </row>
    <row r="781" spans="1:4" x14ac:dyDescent="0.25">
      <c r="A781" s="1160"/>
      <c r="B781" s="612">
        <v>1614</v>
      </c>
      <c r="C781" s="613" t="s">
        <v>1371</v>
      </c>
      <c r="D781" s="614">
        <v>1</v>
      </c>
    </row>
    <row r="782" spans="1:4" x14ac:dyDescent="0.25">
      <c r="A782" s="1160"/>
      <c r="B782" s="612">
        <v>1610</v>
      </c>
      <c r="C782" s="613" t="s">
        <v>1372</v>
      </c>
      <c r="D782" s="614">
        <v>1</v>
      </c>
    </row>
    <row r="783" spans="1:4" x14ac:dyDescent="0.25">
      <c r="A783" s="1160"/>
      <c r="B783" s="612">
        <v>1623</v>
      </c>
      <c r="C783" s="613" t="s">
        <v>1373</v>
      </c>
      <c r="D783" s="614">
        <v>1</v>
      </c>
    </row>
    <row r="784" spans="1:4" x14ac:dyDescent="0.25">
      <c r="A784" s="1160"/>
      <c r="B784" s="612">
        <v>1608</v>
      </c>
      <c r="C784" s="613" t="s">
        <v>1374</v>
      </c>
      <c r="D784" s="614">
        <v>1</v>
      </c>
    </row>
    <row r="785" spans="1:4" x14ac:dyDescent="0.25">
      <c r="A785" s="1160"/>
      <c r="B785" s="612">
        <v>1624</v>
      </c>
      <c r="C785" s="613" t="s">
        <v>1375</v>
      </c>
      <c r="D785" s="614">
        <v>1</v>
      </c>
    </row>
    <row r="786" spans="1:4" x14ac:dyDescent="0.25">
      <c r="A786" s="1160"/>
      <c r="B786" s="612">
        <v>1611</v>
      </c>
      <c r="C786" s="613" t="s">
        <v>1376</v>
      </c>
      <c r="D786" s="614">
        <v>1</v>
      </c>
    </row>
    <row r="787" spans="1:4" x14ac:dyDescent="0.25">
      <c r="A787" s="1160"/>
      <c r="B787" s="612">
        <v>1600</v>
      </c>
      <c r="C787" s="613" t="s">
        <v>818</v>
      </c>
      <c r="D787" s="614">
        <v>1</v>
      </c>
    </row>
    <row r="788" spans="1:4" x14ac:dyDescent="0.25">
      <c r="A788" s="1160"/>
      <c r="B788" s="612">
        <v>1622</v>
      </c>
      <c r="C788" s="613" t="s">
        <v>1377</v>
      </c>
      <c r="D788" s="614">
        <v>1</v>
      </c>
    </row>
    <row r="789" spans="1:4" x14ac:dyDescent="0.25">
      <c r="A789" s="1160"/>
      <c r="B789" s="612">
        <v>1603</v>
      </c>
      <c r="C789" s="613" t="s">
        <v>1378</v>
      </c>
      <c r="D789" s="614">
        <v>1</v>
      </c>
    </row>
    <row r="790" spans="1:4" x14ac:dyDescent="0.25">
      <c r="A790" s="1160"/>
      <c r="B790" s="612">
        <v>1626</v>
      </c>
      <c r="C790" s="613" t="s">
        <v>1379</v>
      </c>
      <c r="D790" s="614">
        <v>1</v>
      </c>
    </row>
    <row r="791" spans="1:4" ht="13.5" thickBot="1" x14ac:dyDescent="0.3">
      <c r="A791" s="1161"/>
      <c r="B791" s="605">
        <v>1620</v>
      </c>
      <c r="C791" s="606" t="s">
        <v>1380</v>
      </c>
      <c r="D791" s="607">
        <v>1</v>
      </c>
    </row>
    <row r="792" spans="1:4" x14ac:dyDescent="0.25">
      <c r="A792" s="1151" t="s">
        <v>1381</v>
      </c>
      <c r="B792" s="602">
        <v>1804</v>
      </c>
      <c r="C792" s="603" t="s">
        <v>1007</v>
      </c>
      <c r="D792" s="604">
        <v>1</v>
      </c>
    </row>
    <row r="793" spans="1:4" x14ac:dyDescent="0.25">
      <c r="A793" s="1162"/>
      <c r="B793" s="612">
        <v>1809</v>
      </c>
      <c r="C793" s="613" t="s">
        <v>1382</v>
      </c>
      <c r="D793" s="614">
        <v>1</v>
      </c>
    </row>
    <row r="794" spans="1:4" x14ac:dyDescent="0.25">
      <c r="A794" s="1162"/>
      <c r="B794" s="612">
        <v>1819</v>
      </c>
      <c r="C794" s="613" t="s">
        <v>1383</v>
      </c>
      <c r="D794" s="614">
        <v>1</v>
      </c>
    </row>
    <row r="795" spans="1:4" x14ac:dyDescent="0.25">
      <c r="A795" s="1162"/>
      <c r="B795" s="612">
        <v>1813</v>
      </c>
      <c r="C795" s="613" t="s">
        <v>923</v>
      </c>
      <c r="D795" s="614">
        <v>1</v>
      </c>
    </row>
    <row r="796" spans="1:4" x14ac:dyDescent="0.25">
      <c r="A796" s="1162"/>
      <c r="B796" s="612">
        <v>1814</v>
      </c>
      <c r="C796" s="613" t="s">
        <v>1384</v>
      </c>
      <c r="D796" s="614">
        <v>1</v>
      </c>
    </row>
    <row r="797" spans="1:4" x14ac:dyDescent="0.25">
      <c r="A797" s="1162"/>
      <c r="B797" s="612">
        <v>1806</v>
      </c>
      <c r="C797" s="613" t="s">
        <v>1385</v>
      </c>
      <c r="D797" s="614">
        <v>1</v>
      </c>
    </row>
    <row r="798" spans="1:4" x14ac:dyDescent="0.25">
      <c r="A798" s="1162"/>
      <c r="B798" s="612">
        <v>1815</v>
      </c>
      <c r="C798" s="613" t="s">
        <v>1386</v>
      </c>
      <c r="D798" s="614">
        <v>1</v>
      </c>
    </row>
    <row r="799" spans="1:4" x14ac:dyDescent="0.25">
      <c r="A799" s="1162"/>
      <c r="B799" s="612">
        <v>1823</v>
      </c>
      <c r="C799" s="613" t="s">
        <v>1387</v>
      </c>
      <c r="D799" s="614">
        <v>1</v>
      </c>
    </row>
    <row r="800" spans="1:4" x14ac:dyDescent="0.25">
      <c r="A800" s="1162"/>
      <c r="B800" s="612">
        <v>1822</v>
      </c>
      <c r="C800" s="613" t="s">
        <v>1388</v>
      </c>
      <c r="D800" s="614">
        <v>1</v>
      </c>
    </row>
    <row r="801" spans="1:4" x14ac:dyDescent="0.25">
      <c r="A801" s="1162"/>
      <c r="B801" s="612">
        <v>1816</v>
      </c>
      <c r="C801" s="613" t="s">
        <v>1389</v>
      </c>
      <c r="D801" s="614">
        <v>1</v>
      </c>
    </row>
    <row r="802" spans="1:4" x14ac:dyDescent="0.25">
      <c r="A802" s="1162"/>
      <c r="B802" s="612">
        <v>1811</v>
      </c>
      <c r="C802" s="613" t="s">
        <v>1390</v>
      </c>
      <c r="D802" s="614">
        <v>1</v>
      </c>
    </row>
    <row r="803" spans="1:4" x14ac:dyDescent="0.25">
      <c r="A803" s="1162"/>
      <c r="B803" s="612">
        <v>1812</v>
      </c>
      <c r="C803" s="613" t="s">
        <v>1391</v>
      </c>
      <c r="D803" s="614">
        <v>1</v>
      </c>
    </row>
    <row r="804" spans="1:4" x14ac:dyDescent="0.25">
      <c r="A804" s="1162"/>
      <c r="B804" s="612">
        <v>1801</v>
      </c>
      <c r="C804" s="613" t="s">
        <v>1392</v>
      </c>
      <c r="D804" s="614">
        <v>1</v>
      </c>
    </row>
    <row r="805" spans="1:4" x14ac:dyDescent="0.25">
      <c r="A805" s="1162"/>
      <c r="B805" s="612">
        <v>1802</v>
      </c>
      <c r="C805" s="613" t="s">
        <v>1393</v>
      </c>
      <c r="D805" s="614">
        <v>1</v>
      </c>
    </row>
    <row r="806" spans="1:4" x14ac:dyDescent="0.25">
      <c r="A806" s="1162"/>
      <c r="B806" s="612">
        <v>1818</v>
      </c>
      <c r="C806" s="613" t="s">
        <v>1394</v>
      </c>
      <c r="D806" s="614">
        <v>1</v>
      </c>
    </row>
    <row r="807" spans="1:4" x14ac:dyDescent="0.25">
      <c r="A807" s="1162"/>
      <c r="B807" s="612">
        <v>1820</v>
      </c>
      <c r="C807" s="613" t="s">
        <v>1395</v>
      </c>
      <c r="D807" s="614">
        <v>1</v>
      </c>
    </row>
    <row r="808" spans="1:4" x14ac:dyDescent="0.25">
      <c r="A808" s="1162"/>
      <c r="B808" s="612">
        <v>1800</v>
      </c>
      <c r="C808" s="613" t="s">
        <v>916</v>
      </c>
      <c r="D808" s="614">
        <v>1</v>
      </c>
    </row>
    <row r="809" spans="1:4" x14ac:dyDescent="0.25">
      <c r="A809" s="1162"/>
      <c r="B809" s="612">
        <v>1826</v>
      </c>
      <c r="C809" s="613" t="s">
        <v>1396</v>
      </c>
      <c r="D809" s="614">
        <v>1</v>
      </c>
    </row>
    <row r="810" spans="1:4" x14ac:dyDescent="0.25">
      <c r="A810" s="1162"/>
      <c r="B810" s="612">
        <v>1805</v>
      </c>
      <c r="C810" s="613" t="s">
        <v>1397</v>
      </c>
      <c r="D810" s="614">
        <v>1</v>
      </c>
    </row>
    <row r="811" spans="1:4" x14ac:dyDescent="0.25">
      <c r="A811" s="1162"/>
      <c r="B811" s="612">
        <v>1808</v>
      </c>
      <c r="C811" s="613" t="s">
        <v>1398</v>
      </c>
      <c r="D811" s="614">
        <v>1</v>
      </c>
    </row>
    <row r="812" spans="1:4" x14ac:dyDescent="0.25">
      <c r="A812" s="1162"/>
      <c r="B812" s="612">
        <v>1803</v>
      </c>
      <c r="C812" s="613" t="s">
        <v>1399</v>
      </c>
      <c r="D812" s="614">
        <v>1</v>
      </c>
    </row>
    <row r="813" spans="1:4" x14ac:dyDescent="0.25">
      <c r="A813" s="1162"/>
      <c r="B813" s="612">
        <v>1810</v>
      </c>
      <c r="C813" s="613" t="s">
        <v>1400</v>
      </c>
      <c r="D813" s="614">
        <v>1</v>
      </c>
    </row>
    <row r="814" spans="1:4" ht="13.5" thickBot="1" x14ac:dyDescent="0.3">
      <c r="A814" s="1163"/>
      <c r="B814" s="605">
        <v>1825</v>
      </c>
      <c r="C814" s="606" t="s">
        <v>1401</v>
      </c>
      <c r="D814" s="607">
        <v>1</v>
      </c>
    </row>
    <row r="815" spans="1:4" x14ac:dyDescent="0.25">
      <c r="A815" s="1151" t="s">
        <v>1402</v>
      </c>
      <c r="B815" s="602">
        <v>1932</v>
      </c>
      <c r="C815" s="603" t="s">
        <v>1403</v>
      </c>
      <c r="D815" s="604">
        <v>1</v>
      </c>
    </row>
    <row r="816" spans="1:4" x14ac:dyDescent="0.25">
      <c r="A816" s="1162"/>
      <c r="B816" s="612">
        <v>1905</v>
      </c>
      <c r="C816" s="613" t="s">
        <v>1404</v>
      </c>
      <c r="D816" s="614">
        <v>1</v>
      </c>
    </row>
    <row r="817" spans="1:4" x14ac:dyDescent="0.25">
      <c r="A817" s="1162"/>
      <c r="B817" s="612">
        <v>1931</v>
      </c>
      <c r="C817" s="613" t="s">
        <v>1405</v>
      </c>
      <c r="D817" s="614">
        <v>1</v>
      </c>
    </row>
    <row r="818" spans="1:4" x14ac:dyDescent="0.25">
      <c r="A818" s="1162"/>
      <c r="B818" s="612">
        <v>1939</v>
      </c>
      <c r="C818" s="613" t="s">
        <v>1406</v>
      </c>
      <c r="D818" s="614">
        <v>1</v>
      </c>
    </row>
    <row r="819" spans="1:4" x14ac:dyDescent="0.25">
      <c r="A819" s="1162"/>
      <c r="B819" s="612">
        <v>1906</v>
      </c>
      <c r="C819" s="613" t="s">
        <v>1407</v>
      </c>
      <c r="D819" s="614">
        <v>1</v>
      </c>
    </row>
    <row r="820" spans="1:4" x14ac:dyDescent="0.25">
      <c r="A820" s="1162"/>
      <c r="B820" s="612">
        <v>1936</v>
      </c>
      <c r="C820" s="613" t="s">
        <v>1408</v>
      </c>
      <c r="D820" s="614">
        <v>1</v>
      </c>
    </row>
    <row r="821" spans="1:4" x14ac:dyDescent="0.25">
      <c r="A821" s="1162"/>
      <c r="B821" s="612">
        <v>1929</v>
      </c>
      <c r="C821" s="613" t="s">
        <v>1409</v>
      </c>
      <c r="D821" s="614">
        <v>1</v>
      </c>
    </row>
    <row r="822" spans="1:4" x14ac:dyDescent="0.25">
      <c r="A822" s="1162"/>
      <c r="B822" s="612">
        <v>1915</v>
      </c>
      <c r="C822" s="613" t="s">
        <v>1314</v>
      </c>
      <c r="D822" s="614">
        <v>1</v>
      </c>
    </row>
    <row r="823" spans="1:4" x14ac:dyDescent="0.25">
      <c r="A823" s="1162"/>
      <c r="B823" s="612">
        <v>1938</v>
      </c>
      <c r="C823" s="613" t="s">
        <v>1410</v>
      </c>
      <c r="D823" s="614">
        <v>1</v>
      </c>
    </row>
    <row r="824" spans="1:4" x14ac:dyDescent="0.25">
      <c r="A824" s="1162"/>
      <c r="B824" s="612">
        <v>1922</v>
      </c>
      <c r="C824" s="613" t="s">
        <v>1411</v>
      </c>
      <c r="D824" s="614">
        <v>1</v>
      </c>
    </row>
    <row r="825" spans="1:4" x14ac:dyDescent="0.25">
      <c r="A825" s="1162"/>
      <c r="B825" s="612">
        <v>1912</v>
      </c>
      <c r="C825" s="613" t="s">
        <v>1412</v>
      </c>
      <c r="D825" s="614">
        <v>1</v>
      </c>
    </row>
    <row r="826" spans="1:4" x14ac:dyDescent="0.25">
      <c r="A826" s="1162"/>
      <c r="B826" s="612">
        <v>1916</v>
      </c>
      <c r="C826" s="613" t="s">
        <v>1413</v>
      </c>
      <c r="D826" s="614">
        <v>1</v>
      </c>
    </row>
    <row r="827" spans="1:4" x14ac:dyDescent="0.25">
      <c r="A827" s="1162"/>
      <c r="B827" s="612">
        <v>1935</v>
      </c>
      <c r="C827" s="613" t="s">
        <v>1414</v>
      </c>
      <c r="D827" s="614">
        <v>1</v>
      </c>
    </row>
    <row r="828" spans="1:4" x14ac:dyDescent="0.25">
      <c r="A828" s="1162"/>
      <c r="B828" s="612">
        <v>1918</v>
      </c>
      <c r="C828" s="613" t="s">
        <v>923</v>
      </c>
      <c r="D828" s="614">
        <v>1</v>
      </c>
    </row>
    <row r="829" spans="1:4" x14ac:dyDescent="0.25">
      <c r="A829" s="1162"/>
      <c r="B829" s="612">
        <v>1925</v>
      </c>
      <c r="C829" s="613" t="s">
        <v>1415</v>
      </c>
      <c r="D829" s="614">
        <v>1</v>
      </c>
    </row>
    <row r="830" spans="1:4" x14ac:dyDescent="0.25">
      <c r="A830" s="1162"/>
      <c r="B830" s="612">
        <v>1933</v>
      </c>
      <c r="C830" s="613" t="s">
        <v>1416</v>
      </c>
      <c r="D830" s="614">
        <v>1</v>
      </c>
    </row>
    <row r="831" spans="1:4" x14ac:dyDescent="0.25">
      <c r="A831" s="1162"/>
      <c r="B831" s="612">
        <v>1908</v>
      </c>
      <c r="C831" s="613" t="s">
        <v>1417</v>
      </c>
      <c r="D831" s="614">
        <v>1</v>
      </c>
    </row>
    <row r="832" spans="1:4" x14ac:dyDescent="0.25">
      <c r="A832" s="1162"/>
      <c r="B832" s="612">
        <v>1902</v>
      </c>
      <c r="C832" s="613" t="s">
        <v>1418</v>
      </c>
      <c r="D832" s="614">
        <v>1</v>
      </c>
    </row>
    <row r="833" spans="1:4" x14ac:dyDescent="0.25">
      <c r="A833" s="1162"/>
      <c r="B833" s="612">
        <v>1919</v>
      </c>
      <c r="C833" s="613" t="s">
        <v>1419</v>
      </c>
      <c r="D833" s="614">
        <v>1</v>
      </c>
    </row>
    <row r="834" spans="1:4" x14ac:dyDescent="0.25">
      <c r="A834" s="1162"/>
      <c r="B834" s="612">
        <v>1904</v>
      </c>
      <c r="C834" s="613" t="s">
        <v>1420</v>
      </c>
      <c r="D834" s="614">
        <v>1</v>
      </c>
    </row>
    <row r="835" spans="1:4" x14ac:dyDescent="0.25">
      <c r="A835" s="1162"/>
      <c r="B835" s="612">
        <v>1920</v>
      </c>
      <c r="C835" s="613" t="s">
        <v>1421</v>
      </c>
      <c r="D835" s="614">
        <v>1</v>
      </c>
    </row>
    <row r="836" spans="1:4" x14ac:dyDescent="0.25">
      <c r="A836" s="1162"/>
      <c r="B836" s="612">
        <v>1907</v>
      </c>
      <c r="C836" s="613" t="s">
        <v>1422</v>
      </c>
      <c r="D836" s="614">
        <v>1</v>
      </c>
    </row>
    <row r="837" spans="1:4" x14ac:dyDescent="0.25">
      <c r="A837" s="1162"/>
      <c r="B837" s="612">
        <v>1901</v>
      </c>
      <c r="C837" s="613" t="s">
        <v>1423</v>
      </c>
      <c r="D837" s="614">
        <v>1</v>
      </c>
    </row>
    <row r="838" spans="1:4" x14ac:dyDescent="0.25">
      <c r="A838" s="1162"/>
      <c r="B838" s="612">
        <v>1911</v>
      </c>
      <c r="C838" s="613" t="s">
        <v>811</v>
      </c>
      <c r="D838" s="614">
        <v>1</v>
      </c>
    </row>
    <row r="839" spans="1:4" x14ac:dyDescent="0.25">
      <c r="A839" s="1162"/>
      <c r="B839" s="612">
        <v>1910</v>
      </c>
      <c r="C839" s="613" t="s">
        <v>1424</v>
      </c>
      <c r="D839" s="614">
        <v>1</v>
      </c>
    </row>
    <row r="840" spans="1:4" x14ac:dyDescent="0.25">
      <c r="A840" s="1162"/>
      <c r="B840" s="612">
        <v>1937</v>
      </c>
      <c r="C840" s="613" t="s">
        <v>1425</v>
      </c>
      <c r="D840" s="614">
        <v>1</v>
      </c>
    </row>
    <row r="841" spans="1:4" x14ac:dyDescent="0.25">
      <c r="A841" s="1162"/>
      <c r="B841" s="612">
        <v>1909</v>
      </c>
      <c r="C841" s="613" t="s">
        <v>1426</v>
      </c>
      <c r="D841" s="614">
        <v>1</v>
      </c>
    </row>
    <row r="842" spans="1:4" x14ac:dyDescent="0.25">
      <c r="A842" s="1162"/>
      <c r="B842" s="612">
        <v>1930</v>
      </c>
      <c r="C842" s="613" t="s">
        <v>1427</v>
      </c>
      <c r="D842" s="614">
        <v>1</v>
      </c>
    </row>
    <row r="843" spans="1:4" x14ac:dyDescent="0.25">
      <c r="A843" s="1162"/>
      <c r="B843" s="612">
        <v>1940</v>
      </c>
      <c r="C843" s="613" t="s">
        <v>1428</v>
      </c>
      <c r="D843" s="614">
        <v>1</v>
      </c>
    </row>
    <row r="844" spans="1:4" ht="13.5" thickBot="1" x14ac:dyDescent="0.3">
      <c r="A844" s="1163"/>
      <c r="B844" s="605">
        <v>1900</v>
      </c>
      <c r="C844" s="606" t="s">
        <v>1429</v>
      </c>
      <c r="D844" s="607">
        <v>1</v>
      </c>
    </row>
    <row r="845" spans="1:4" x14ac:dyDescent="0.25">
      <c r="A845" s="1151" t="s">
        <v>1430</v>
      </c>
      <c r="B845" s="602">
        <v>1708</v>
      </c>
      <c r="C845" s="603" t="s">
        <v>1431</v>
      </c>
      <c r="D845" s="604">
        <v>1</v>
      </c>
    </row>
    <row r="846" spans="1:4" x14ac:dyDescent="0.25">
      <c r="A846" s="1162"/>
      <c r="B846" s="612">
        <v>1736</v>
      </c>
      <c r="C846" s="613" t="s">
        <v>1432</v>
      </c>
      <c r="D846" s="614">
        <v>1</v>
      </c>
    </row>
    <row r="847" spans="1:4" x14ac:dyDescent="0.25">
      <c r="A847" s="1162"/>
      <c r="B847" s="612">
        <v>1703</v>
      </c>
      <c r="C847" s="613" t="s">
        <v>1433</v>
      </c>
      <c r="D847" s="614">
        <v>1</v>
      </c>
    </row>
    <row r="848" spans="1:4" x14ac:dyDescent="0.25">
      <c r="A848" s="1162"/>
      <c r="B848" s="612">
        <v>1702</v>
      </c>
      <c r="C848" s="613" t="s">
        <v>1434</v>
      </c>
      <c r="D848" s="614">
        <v>1</v>
      </c>
    </row>
    <row r="849" spans="1:4" x14ac:dyDescent="0.25">
      <c r="A849" s="1162"/>
      <c r="B849" s="612">
        <v>1720</v>
      </c>
      <c r="C849" s="613" t="s">
        <v>869</v>
      </c>
      <c r="D849" s="614">
        <v>1</v>
      </c>
    </row>
    <row r="850" spans="1:4" x14ac:dyDescent="0.25">
      <c r="A850" s="1162"/>
      <c r="B850" s="612">
        <v>1741</v>
      </c>
      <c r="C850" s="613" t="s">
        <v>1435</v>
      </c>
      <c r="D850" s="614">
        <v>1</v>
      </c>
    </row>
    <row r="851" spans="1:4" x14ac:dyDescent="0.25">
      <c r="A851" s="1162"/>
      <c r="B851" s="612">
        <v>1704</v>
      </c>
      <c r="C851" s="613" t="s">
        <v>1436</v>
      </c>
      <c r="D851" s="614">
        <v>1</v>
      </c>
    </row>
    <row r="852" spans="1:4" x14ac:dyDescent="0.25">
      <c r="A852" s="1162"/>
      <c r="B852" s="612">
        <v>1734</v>
      </c>
      <c r="C852" s="613" t="s">
        <v>827</v>
      </c>
      <c r="D852" s="614">
        <v>1</v>
      </c>
    </row>
    <row r="853" spans="1:4" x14ac:dyDescent="0.25">
      <c r="A853" s="1162"/>
      <c r="B853" s="612">
        <v>1726</v>
      </c>
      <c r="C853" s="613" t="s">
        <v>1437</v>
      </c>
      <c r="D853" s="614">
        <v>1</v>
      </c>
    </row>
    <row r="854" spans="1:4" x14ac:dyDescent="0.25">
      <c r="A854" s="1162"/>
      <c r="B854" s="612">
        <v>1723</v>
      </c>
      <c r="C854" s="613" t="s">
        <v>1438</v>
      </c>
      <c r="D854" s="614">
        <v>1</v>
      </c>
    </row>
    <row r="855" spans="1:4" x14ac:dyDescent="0.25">
      <c r="A855" s="1162"/>
      <c r="B855" s="612">
        <v>1721</v>
      </c>
      <c r="C855" s="613" t="s">
        <v>1439</v>
      </c>
      <c r="D855" s="614">
        <v>1</v>
      </c>
    </row>
    <row r="856" spans="1:4" x14ac:dyDescent="0.25">
      <c r="A856" s="1162"/>
      <c r="B856" s="612">
        <v>1715</v>
      </c>
      <c r="C856" s="613" t="s">
        <v>1440</v>
      </c>
      <c r="D856" s="614">
        <v>1</v>
      </c>
    </row>
    <row r="857" spans="1:4" x14ac:dyDescent="0.25">
      <c r="A857" s="1162"/>
      <c r="B857" s="612">
        <v>1727</v>
      </c>
      <c r="C857" s="613" t="s">
        <v>1441</v>
      </c>
      <c r="D857" s="614">
        <v>1</v>
      </c>
    </row>
    <row r="858" spans="1:4" x14ac:dyDescent="0.25">
      <c r="A858" s="1162"/>
      <c r="B858" s="612">
        <v>1742</v>
      </c>
      <c r="C858" s="613" t="s">
        <v>1442</v>
      </c>
      <c r="D858" s="614">
        <v>1</v>
      </c>
    </row>
    <row r="859" spans="1:4" x14ac:dyDescent="0.25">
      <c r="A859" s="1162"/>
      <c r="B859" s="612">
        <v>1711</v>
      </c>
      <c r="C859" s="613" t="s">
        <v>1443</v>
      </c>
      <c r="D859" s="614">
        <v>1</v>
      </c>
    </row>
    <row r="860" spans="1:4" x14ac:dyDescent="0.25">
      <c r="A860" s="1162"/>
      <c r="B860" s="612">
        <v>1724</v>
      </c>
      <c r="C860" s="613" t="s">
        <v>1444</v>
      </c>
      <c r="D860" s="614">
        <v>1</v>
      </c>
    </row>
    <row r="861" spans="1:4" x14ac:dyDescent="0.25">
      <c r="A861" s="1162"/>
      <c r="B861" s="612">
        <v>1713</v>
      </c>
      <c r="C861" s="613" t="s">
        <v>1308</v>
      </c>
      <c r="D861" s="614">
        <v>1</v>
      </c>
    </row>
    <row r="862" spans="1:4" x14ac:dyDescent="0.25">
      <c r="A862" s="1162"/>
      <c r="B862" s="612">
        <v>1728</v>
      </c>
      <c r="C862" s="613" t="s">
        <v>1445</v>
      </c>
      <c r="D862" s="614">
        <v>1</v>
      </c>
    </row>
    <row r="863" spans="1:4" x14ac:dyDescent="0.25">
      <c r="A863" s="1162"/>
      <c r="B863" s="612">
        <v>1709</v>
      </c>
      <c r="C863" s="613" t="s">
        <v>1446</v>
      </c>
      <c r="D863" s="614">
        <v>1</v>
      </c>
    </row>
    <row r="864" spans="1:4" x14ac:dyDescent="0.25">
      <c r="A864" s="1162"/>
      <c r="B864" s="612">
        <v>1718</v>
      </c>
      <c r="C864" s="613" t="s">
        <v>1447</v>
      </c>
      <c r="D864" s="614">
        <v>1</v>
      </c>
    </row>
    <row r="865" spans="1:4" x14ac:dyDescent="0.25">
      <c r="A865" s="1162"/>
      <c r="B865" s="612">
        <v>1719</v>
      </c>
      <c r="C865" s="613" t="s">
        <v>640</v>
      </c>
      <c r="D865" s="614">
        <v>1</v>
      </c>
    </row>
    <row r="866" spans="1:4" x14ac:dyDescent="0.25">
      <c r="A866" s="1162"/>
      <c r="B866" s="612">
        <v>1737</v>
      </c>
      <c r="C866" s="613" t="s">
        <v>1448</v>
      </c>
      <c r="D866" s="614">
        <v>1</v>
      </c>
    </row>
    <row r="867" spans="1:4" x14ac:dyDescent="0.25">
      <c r="A867" s="1162"/>
      <c r="B867" s="612">
        <v>1705</v>
      </c>
      <c r="C867" s="613" t="s">
        <v>1449</v>
      </c>
      <c r="D867" s="614">
        <v>1</v>
      </c>
    </row>
    <row r="868" spans="1:4" x14ac:dyDescent="0.25">
      <c r="A868" s="1162"/>
      <c r="B868" s="612">
        <v>1700</v>
      </c>
      <c r="C868" s="613" t="s">
        <v>1450</v>
      </c>
      <c r="D868" s="614">
        <v>1</v>
      </c>
    </row>
    <row r="869" spans="1:4" x14ac:dyDescent="0.25">
      <c r="A869" s="1162"/>
      <c r="B869" s="612">
        <v>1731</v>
      </c>
      <c r="C869" s="613" t="s">
        <v>634</v>
      </c>
      <c r="D869" s="614">
        <v>1</v>
      </c>
    </row>
    <row r="870" spans="1:4" x14ac:dyDescent="0.25">
      <c r="A870" s="1162"/>
      <c r="B870" s="612">
        <v>1733</v>
      </c>
      <c r="C870" s="613" t="s">
        <v>1451</v>
      </c>
      <c r="D870" s="614">
        <v>1</v>
      </c>
    </row>
    <row r="871" spans="1:4" x14ac:dyDescent="0.25">
      <c r="A871" s="1162"/>
      <c r="B871" s="612">
        <v>1738</v>
      </c>
      <c r="C871" s="613" t="s">
        <v>1452</v>
      </c>
      <c r="D871" s="614">
        <v>1</v>
      </c>
    </row>
    <row r="872" spans="1:4" x14ac:dyDescent="0.25">
      <c r="A872" s="1162"/>
      <c r="B872" s="612">
        <v>1725</v>
      </c>
      <c r="C872" s="613" t="s">
        <v>919</v>
      </c>
      <c r="D872" s="614">
        <v>1</v>
      </c>
    </row>
    <row r="873" spans="1:4" x14ac:dyDescent="0.25">
      <c r="A873" s="1162"/>
      <c r="B873" s="612">
        <v>1744</v>
      </c>
      <c r="C873" s="613" t="s">
        <v>1453</v>
      </c>
      <c r="D873" s="614">
        <v>1</v>
      </c>
    </row>
    <row r="874" spans="1:4" x14ac:dyDescent="0.25">
      <c r="A874" s="1162"/>
      <c r="B874" s="612">
        <v>1740</v>
      </c>
      <c r="C874" s="613" t="s">
        <v>707</v>
      </c>
      <c r="D874" s="614">
        <v>1</v>
      </c>
    </row>
    <row r="875" spans="1:4" x14ac:dyDescent="0.25">
      <c r="A875" s="1162"/>
      <c r="B875" s="612">
        <v>1722</v>
      </c>
      <c r="C875" s="613" t="s">
        <v>1454</v>
      </c>
      <c r="D875" s="614">
        <v>1</v>
      </c>
    </row>
    <row r="876" spans="1:4" x14ac:dyDescent="0.25">
      <c r="A876" s="1162"/>
      <c r="B876" s="612">
        <v>1739</v>
      </c>
      <c r="C876" s="613" t="s">
        <v>1455</v>
      </c>
      <c r="D876" s="614">
        <v>1</v>
      </c>
    </row>
    <row r="877" spans="1:4" x14ac:dyDescent="0.25">
      <c r="A877" s="1162"/>
      <c r="B877" s="612">
        <v>1717</v>
      </c>
      <c r="C877" s="613" t="s">
        <v>688</v>
      </c>
      <c r="D877" s="614">
        <v>1</v>
      </c>
    </row>
    <row r="878" spans="1:4" x14ac:dyDescent="0.25">
      <c r="A878" s="1162"/>
      <c r="B878" s="612">
        <v>1716</v>
      </c>
      <c r="C878" s="613" t="s">
        <v>1456</v>
      </c>
      <c r="D878" s="614">
        <v>1</v>
      </c>
    </row>
    <row r="879" spans="1:4" x14ac:dyDescent="0.25">
      <c r="A879" s="1162"/>
      <c r="B879" s="612">
        <v>1743</v>
      </c>
      <c r="C879" s="613" t="s">
        <v>929</v>
      </c>
      <c r="D879" s="614">
        <v>1</v>
      </c>
    </row>
    <row r="880" spans="1:4" x14ac:dyDescent="0.25">
      <c r="A880" s="1162"/>
      <c r="B880" s="612">
        <v>1730</v>
      </c>
      <c r="C880" s="613" t="s">
        <v>1457</v>
      </c>
      <c r="D880" s="614">
        <v>1</v>
      </c>
    </row>
    <row r="881" spans="1:4" x14ac:dyDescent="0.25">
      <c r="A881" s="1162"/>
      <c r="B881" s="612">
        <v>1714</v>
      </c>
      <c r="C881" s="613" t="s">
        <v>1458</v>
      </c>
      <c r="D881" s="614">
        <v>1</v>
      </c>
    </row>
    <row r="882" spans="1:4" ht="13.5" thickBot="1" x14ac:dyDescent="0.3">
      <c r="A882" s="1163"/>
      <c r="B882" s="605">
        <v>1735</v>
      </c>
      <c r="C882" s="606" t="s">
        <v>1459</v>
      </c>
      <c r="D882" s="607">
        <v>1</v>
      </c>
    </row>
    <row r="883" spans="1:4" x14ac:dyDescent="0.25">
      <c r="A883" s="1151" t="s">
        <v>1460</v>
      </c>
      <c r="B883" s="602">
        <v>5001</v>
      </c>
      <c r="C883" s="603" t="s">
        <v>1461</v>
      </c>
      <c r="D883" s="604">
        <v>1</v>
      </c>
    </row>
    <row r="884" spans="1:4" x14ac:dyDescent="0.25">
      <c r="A884" s="1162"/>
      <c r="B884" s="612">
        <v>5015</v>
      </c>
      <c r="C884" s="613" t="s">
        <v>1462</v>
      </c>
      <c r="D884" s="614">
        <v>1</v>
      </c>
    </row>
    <row r="885" spans="1:4" x14ac:dyDescent="0.25">
      <c r="A885" s="1162"/>
      <c r="B885" s="612">
        <v>5030</v>
      </c>
      <c r="C885" s="613" t="s">
        <v>1463</v>
      </c>
      <c r="D885" s="614">
        <v>1</v>
      </c>
    </row>
    <row r="886" spans="1:4" x14ac:dyDescent="0.25">
      <c r="A886" s="1162"/>
      <c r="B886" s="612">
        <v>5026</v>
      </c>
      <c r="C886" s="613" t="s">
        <v>1465</v>
      </c>
      <c r="D886" s="614">
        <v>1</v>
      </c>
    </row>
    <row r="887" spans="1:4" x14ac:dyDescent="0.25">
      <c r="A887" s="1162"/>
      <c r="B887" s="612">
        <v>5016</v>
      </c>
      <c r="C887" s="613" t="s">
        <v>1464</v>
      </c>
      <c r="D887" s="614">
        <v>1</v>
      </c>
    </row>
    <row r="888" spans="1:4" x14ac:dyDescent="0.25">
      <c r="A888" s="1162"/>
      <c r="B888" s="612">
        <v>5020</v>
      </c>
      <c r="C888" s="613" t="s">
        <v>1466</v>
      </c>
      <c r="D888" s="614">
        <v>1</v>
      </c>
    </row>
    <row r="889" spans="1:4" x14ac:dyDescent="0.25">
      <c r="A889" s="1162"/>
      <c r="B889" s="612">
        <v>5025</v>
      </c>
      <c r="C889" s="613" t="s">
        <v>1467</v>
      </c>
      <c r="D889" s="614">
        <v>1</v>
      </c>
    </row>
    <row r="890" spans="1:4" x14ac:dyDescent="0.25">
      <c r="A890" s="1162"/>
      <c r="B890" s="612">
        <v>5011</v>
      </c>
      <c r="C890" s="613" t="s">
        <v>1468</v>
      </c>
      <c r="D890" s="614">
        <v>1</v>
      </c>
    </row>
    <row r="891" spans="1:4" x14ac:dyDescent="0.25">
      <c r="A891" s="1162"/>
      <c r="B891" s="612">
        <v>5023</v>
      </c>
      <c r="C891" s="613" t="s">
        <v>1469</v>
      </c>
      <c r="D891" s="614">
        <v>1</v>
      </c>
    </row>
    <row r="892" spans="1:4" x14ac:dyDescent="0.25">
      <c r="A892" s="1162"/>
      <c r="B892" s="612">
        <v>5006</v>
      </c>
      <c r="C892" s="613" t="s">
        <v>1470</v>
      </c>
      <c r="D892" s="614">
        <v>1</v>
      </c>
    </row>
    <row r="893" spans="1:4" x14ac:dyDescent="0.25">
      <c r="A893" s="1162"/>
      <c r="B893" s="612">
        <v>5018</v>
      </c>
      <c r="C893" s="613" t="s">
        <v>1471</v>
      </c>
      <c r="D893" s="614">
        <v>1</v>
      </c>
    </row>
    <row r="894" spans="1:4" x14ac:dyDescent="0.25">
      <c r="A894" s="1162"/>
      <c r="B894" s="612">
        <v>5014</v>
      </c>
      <c r="C894" s="613" t="s">
        <v>1472</v>
      </c>
      <c r="D894" s="614">
        <v>1</v>
      </c>
    </row>
    <row r="895" spans="1:4" x14ac:dyDescent="0.25">
      <c r="A895" s="1162"/>
      <c r="B895" s="612">
        <v>5002</v>
      </c>
      <c r="C895" s="613" t="s">
        <v>1473</v>
      </c>
      <c r="D895" s="614">
        <v>1</v>
      </c>
    </row>
    <row r="896" spans="1:4" x14ac:dyDescent="0.25">
      <c r="A896" s="1162"/>
      <c r="B896" s="612">
        <v>5027</v>
      </c>
      <c r="C896" s="613" t="s">
        <v>1474</v>
      </c>
      <c r="D896" s="614">
        <v>1</v>
      </c>
    </row>
    <row r="897" spans="1:4" x14ac:dyDescent="0.25">
      <c r="A897" s="1162"/>
      <c r="B897" s="612">
        <v>5000</v>
      </c>
      <c r="C897" s="613" t="s">
        <v>979</v>
      </c>
      <c r="D897" s="614">
        <v>1</v>
      </c>
    </row>
    <row r="898" spans="1:4" x14ac:dyDescent="0.25">
      <c r="A898" s="1162"/>
      <c r="B898" s="612">
        <v>5012</v>
      </c>
      <c r="C898" s="613" t="s">
        <v>1475</v>
      </c>
      <c r="D898" s="614">
        <v>1</v>
      </c>
    </row>
    <row r="899" spans="1:4" x14ac:dyDescent="0.25">
      <c r="A899" s="1162"/>
      <c r="B899" s="612">
        <v>5009</v>
      </c>
      <c r="C899" s="613" t="s">
        <v>1476</v>
      </c>
      <c r="D899" s="614">
        <v>1</v>
      </c>
    </row>
    <row r="900" spans="1:4" x14ac:dyDescent="0.25">
      <c r="A900" s="1162"/>
      <c r="B900" s="612">
        <v>5031</v>
      </c>
      <c r="C900" s="613" t="s">
        <v>1477</v>
      </c>
      <c r="D900" s="614">
        <v>1</v>
      </c>
    </row>
    <row r="901" spans="1:4" x14ac:dyDescent="0.25">
      <c r="A901" s="1162"/>
      <c r="B901" s="612">
        <v>5029</v>
      </c>
      <c r="C901" s="613" t="s">
        <v>1478</v>
      </c>
      <c r="D901" s="614">
        <v>1</v>
      </c>
    </row>
    <row r="902" spans="1:4" x14ac:dyDescent="0.25">
      <c r="A902" s="1162"/>
      <c r="B902" s="612">
        <v>5005</v>
      </c>
      <c r="C902" s="613" t="s">
        <v>1479</v>
      </c>
      <c r="D902" s="614">
        <v>1</v>
      </c>
    </row>
    <row r="903" spans="1:4" x14ac:dyDescent="0.25">
      <c r="A903" s="1162"/>
      <c r="B903" s="612">
        <v>5007</v>
      </c>
      <c r="C903" s="613" t="s">
        <v>1480</v>
      </c>
      <c r="D903" s="614">
        <v>1</v>
      </c>
    </row>
    <row r="904" spans="1:4" x14ac:dyDescent="0.25">
      <c r="A904" s="1162"/>
      <c r="B904" s="612">
        <v>5032</v>
      </c>
      <c r="C904" s="613" t="s">
        <v>1481</v>
      </c>
      <c r="D904" s="614">
        <v>1</v>
      </c>
    </row>
    <row r="905" spans="1:4" x14ac:dyDescent="0.25">
      <c r="A905" s="1162"/>
      <c r="B905" s="612">
        <v>5034</v>
      </c>
      <c r="C905" s="613" t="s">
        <v>1482</v>
      </c>
      <c r="D905" s="614">
        <v>1</v>
      </c>
    </row>
    <row r="906" spans="1:4" x14ac:dyDescent="0.25">
      <c r="A906" s="1162"/>
      <c r="B906" s="612">
        <v>5024</v>
      </c>
      <c r="C906" s="613" t="s">
        <v>1483</v>
      </c>
      <c r="D906" s="614">
        <v>1</v>
      </c>
    </row>
    <row r="907" spans="1:4" x14ac:dyDescent="0.25">
      <c r="A907" s="1162"/>
      <c r="B907" s="612">
        <v>5010</v>
      </c>
      <c r="C907" s="613" t="s">
        <v>1484</v>
      </c>
      <c r="D907" s="614">
        <v>1</v>
      </c>
    </row>
    <row r="908" spans="1:4" x14ac:dyDescent="0.25">
      <c r="A908" s="1162"/>
      <c r="B908" s="612">
        <v>5035</v>
      </c>
      <c r="C908" s="613" t="s">
        <v>1485</v>
      </c>
      <c r="D908" s="614">
        <v>1</v>
      </c>
    </row>
    <row r="909" spans="1:4" x14ac:dyDescent="0.25">
      <c r="A909" s="1162"/>
      <c r="B909" s="612">
        <v>5033</v>
      </c>
      <c r="C909" s="613" t="s">
        <v>1488</v>
      </c>
      <c r="D909" s="614">
        <v>1</v>
      </c>
    </row>
    <row r="910" spans="1:4" x14ac:dyDescent="0.25">
      <c r="A910" s="1162"/>
      <c r="B910" s="612">
        <v>5028</v>
      </c>
      <c r="C910" s="613" t="s">
        <v>1486</v>
      </c>
      <c r="D910" s="614">
        <v>1</v>
      </c>
    </row>
    <row r="911" spans="1:4" x14ac:dyDescent="0.25">
      <c r="A911" s="1162"/>
      <c r="B911" s="612">
        <v>5017</v>
      </c>
      <c r="C911" s="613" t="s">
        <v>1487</v>
      </c>
      <c r="D911" s="614">
        <v>1</v>
      </c>
    </row>
    <row r="912" spans="1:4" x14ac:dyDescent="0.25">
      <c r="A912" s="1162"/>
      <c r="B912" s="612">
        <v>5008</v>
      </c>
      <c r="C912" s="613" t="s">
        <v>1266</v>
      </c>
      <c r="D912" s="614">
        <v>1</v>
      </c>
    </row>
    <row r="913" spans="1:4" x14ac:dyDescent="0.25">
      <c r="A913" s="1162"/>
      <c r="B913" s="612">
        <v>5022</v>
      </c>
      <c r="C913" s="613" t="s">
        <v>1489</v>
      </c>
      <c r="D913" s="614">
        <v>1</v>
      </c>
    </row>
    <row r="914" spans="1:4" ht="13.5" thickBot="1" x14ac:dyDescent="0.3">
      <c r="A914" s="1163"/>
      <c r="B914" s="605">
        <v>5019</v>
      </c>
      <c r="C914" s="606" t="s">
        <v>1490</v>
      </c>
      <c r="D914" s="607">
        <v>1</v>
      </c>
    </row>
    <row r="915" spans="1:4" x14ac:dyDescent="0.25">
      <c r="A915" s="1151" t="s">
        <v>1491</v>
      </c>
      <c r="B915" s="602">
        <v>2202</v>
      </c>
      <c r="C915" s="603" t="s">
        <v>1021</v>
      </c>
      <c r="D915" s="604">
        <v>1</v>
      </c>
    </row>
    <row r="916" spans="1:4" x14ac:dyDescent="0.25">
      <c r="A916" s="1162"/>
      <c r="B916" s="612">
        <v>2215</v>
      </c>
      <c r="C916" s="613" t="s">
        <v>1492</v>
      </c>
      <c r="D916" s="614">
        <v>1</v>
      </c>
    </row>
    <row r="917" spans="1:4" x14ac:dyDescent="0.25">
      <c r="A917" s="1162"/>
      <c r="B917" s="612">
        <v>2205</v>
      </c>
      <c r="C917" s="613" t="s">
        <v>1493</v>
      </c>
      <c r="D917" s="614">
        <v>1</v>
      </c>
    </row>
    <row r="918" spans="1:4" x14ac:dyDescent="0.25">
      <c r="A918" s="1162"/>
      <c r="B918" s="612">
        <v>2241</v>
      </c>
      <c r="C918" s="613" t="s">
        <v>1494</v>
      </c>
      <c r="D918" s="614">
        <v>1</v>
      </c>
    </row>
    <row r="919" spans="1:4" x14ac:dyDescent="0.25">
      <c r="A919" s="1162"/>
      <c r="B919" s="612">
        <v>2244</v>
      </c>
      <c r="C919" s="613" t="s">
        <v>1495</v>
      </c>
      <c r="D919" s="614">
        <v>1</v>
      </c>
    </row>
    <row r="920" spans="1:4" x14ac:dyDescent="0.25">
      <c r="A920" s="1162"/>
      <c r="B920" s="612">
        <v>2232</v>
      </c>
      <c r="C920" s="613" t="s">
        <v>1496</v>
      </c>
      <c r="D920" s="614">
        <v>1</v>
      </c>
    </row>
    <row r="921" spans="1:4" x14ac:dyDescent="0.25">
      <c r="A921" s="1162"/>
      <c r="B921" s="612">
        <v>2216</v>
      </c>
      <c r="C921" s="613" t="s">
        <v>1497</v>
      </c>
      <c r="D921" s="614">
        <v>1</v>
      </c>
    </row>
    <row r="922" spans="1:4" x14ac:dyDescent="0.25">
      <c r="A922" s="1162"/>
      <c r="B922" s="612">
        <v>2211</v>
      </c>
      <c r="C922" s="613" t="s">
        <v>1498</v>
      </c>
      <c r="D922" s="614">
        <v>1</v>
      </c>
    </row>
    <row r="923" spans="1:4" x14ac:dyDescent="0.25">
      <c r="A923" s="1162"/>
      <c r="B923" s="612">
        <v>2210</v>
      </c>
      <c r="C923" s="613" t="s">
        <v>1499</v>
      </c>
      <c r="D923" s="614">
        <v>1</v>
      </c>
    </row>
    <row r="924" spans="1:4" x14ac:dyDescent="0.25">
      <c r="A924" s="1162"/>
      <c r="B924" s="612">
        <v>2209</v>
      </c>
      <c r="C924" s="613" t="s">
        <v>1500</v>
      </c>
      <c r="D924" s="614">
        <v>1</v>
      </c>
    </row>
    <row r="925" spans="1:4" x14ac:dyDescent="0.25">
      <c r="A925" s="1162"/>
      <c r="B925" s="612">
        <v>2219</v>
      </c>
      <c r="C925" s="613" t="s">
        <v>1501</v>
      </c>
      <c r="D925" s="614">
        <v>1</v>
      </c>
    </row>
    <row r="926" spans="1:4" x14ac:dyDescent="0.25">
      <c r="A926" s="1162"/>
      <c r="B926" s="612">
        <v>2234</v>
      </c>
      <c r="C926" s="613" t="s">
        <v>1052</v>
      </c>
      <c r="D926" s="614">
        <v>1</v>
      </c>
    </row>
    <row r="927" spans="1:4" x14ac:dyDescent="0.25">
      <c r="A927" s="1162"/>
      <c r="B927" s="612">
        <v>2222</v>
      </c>
      <c r="C927" s="613" t="s">
        <v>1502</v>
      </c>
      <c r="D927" s="614">
        <v>1</v>
      </c>
    </row>
    <row r="928" spans="1:4" x14ac:dyDescent="0.25">
      <c r="A928" s="1162"/>
      <c r="B928" s="612">
        <v>2213</v>
      </c>
      <c r="C928" s="613" t="s">
        <v>1503</v>
      </c>
      <c r="D928" s="614">
        <v>1</v>
      </c>
    </row>
    <row r="929" spans="1:4" x14ac:dyDescent="0.25">
      <c r="A929" s="1162"/>
      <c r="B929" s="612">
        <v>2203</v>
      </c>
      <c r="C929" s="613" t="s">
        <v>805</v>
      </c>
      <c r="D929" s="614">
        <v>1</v>
      </c>
    </row>
    <row r="930" spans="1:4" x14ac:dyDescent="0.25">
      <c r="A930" s="1162"/>
      <c r="B930" s="612">
        <v>2230</v>
      </c>
      <c r="C930" s="613" t="s">
        <v>1504</v>
      </c>
      <c r="D930" s="614">
        <v>1</v>
      </c>
    </row>
    <row r="931" spans="1:4" x14ac:dyDescent="0.25">
      <c r="A931" s="1162"/>
      <c r="B931" s="612">
        <v>2214</v>
      </c>
      <c r="C931" s="613" t="s">
        <v>1505</v>
      </c>
      <c r="D931" s="614">
        <v>1</v>
      </c>
    </row>
    <row r="932" spans="1:4" x14ac:dyDescent="0.25">
      <c r="A932" s="1162"/>
      <c r="B932" s="612">
        <v>2201</v>
      </c>
      <c r="C932" s="613" t="s">
        <v>1506</v>
      </c>
      <c r="D932" s="614">
        <v>1</v>
      </c>
    </row>
    <row r="933" spans="1:4" x14ac:dyDescent="0.25">
      <c r="A933" s="1162"/>
      <c r="B933" s="612">
        <v>2225</v>
      </c>
      <c r="C933" s="613" t="s">
        <v>1507</v>
      </c>
      <c r="D933" s="614">
        <v>1</v>
      </c>
    </row>
    <row r="934" spans="1:4" x14ac:dyDescent="0.25">
      <c r="A934" s="1162"/>
      <c r="B934" s="612">
        <v>2248</v>
      </c>
      <c r="C934" s="613" t="s">
        <v>1508</v>
      </c>
      <c r="D934" s="614">
        <v>1</v>
      </c>
    </row>
    <row r="935" spans="1:4" x14ac:dyDescent="0.25">
      <c r="A935" s="1162"/>
      <c r="B935" s="612">
        <v>2227</v>
      </c>
      <c r="C935" s="613" t="s">
        <v>1509</v>
      </c>
      <c r="D935" s="614">
        <v>1</v>
      </c>
    </row>
    <row r="936" spans="1:4" x14ac:dyDescent="0.25">
      <c r="A936" s="1162"/>
      <c r="B936" s="612">
        <v>2228</v>
      </c>
      <c r="C936" s="613" t="s">
        <v>1510</v>
      </c>
      <c r="D936" s="614">
        <v>1</v>
      </c>
    </row>
    <row r="937" spans="1:4" x14ac:dyDescent="0.25">
      <c r="A937" s="1162"/>
      <c r="B937" s="612">
        <v>2226</v>
      </c>
      <c r="C937" s="613" t="s">
        <v>1511</v>
      </c>
      <c r="D937" s="614">
        <v>1</v>
      </c>
    </row>
    <row r="938" spans="1:4" x14ac:dyDescent="0.25">
      <c r="A938" s="1162"/>
      <c r="B938" s="612">
        <v>2249</v>
      </c>
      <c r="C938" s="613" t="s">
        <v>1512</v>
      </c>
      <c r="D938" s="614">
        <v>1</v>
      </c>
    </row>
    <row r="939" spans="1:4" x14ac:dyDescent="0.25">
      <c r="A939" s="1162"/>
      <c r="B939" s="612">
        <v>2245</v>
      </c>
      <c r="C939" s="613" t="s">
        <v>1513</v>
      </c>
      <c r="D939" s="614">
        <v>1</v>
      </c>
    </row>
    <row r="940" spans="1:4" x14ac:dyDescent="0.25">
      <c r="A940" s="1162"/>
      <c r="B940" s="612">
        <v>2221</v>
      </c>
      <c r="C940" s="613" t="s">
        <v>1514</v>
      </c>
      <c r="D940" s="614">
        <v>1</v>
      </c>
    </row>
    <row r="941" spans="1:4" x14ac:dyDescent="0.25">
      <c r="A941" s="1162"/>
      <c r="B941" s="612">
        <v>2239</v>
      </c>
      <c r="C941" s="613" t="s">
        <v>1515</v>
      </c>
      <c r="D941" s="614">
        <v>1</v>
      </c>
    </row>
    <row r="942" spans="1:4" x14ac:dyDescent="0.25">
      <c r="A942" s="1162"/>
      <c r="B942" s="612">
        <v>2243</v>
      </c>
      <c r="C942" s="613" t="s">
        <v>1516</v>
      </c>
      <c r="D942" s="614">
        <v>1</v>
      </c>
    </row>
    <row r="943" spans="1:4" x14ac:dyDescent="0.25">
      <c r="A943" s="1162"/>
      <c r="B943" s="612">
        <v>2200</v>
      </c>
      <c r="C943" s="613" t="s">
        <v>1056</v>
      </c>
      <c r="D943" s="614">
        <v>1</v>
      </c>
    </row>
    <row r="944" spans="1:4" x14ac:dyDescent="0.25">
      <c r="A944" s="1162"/>
      <c r="B944" s="612">
        <v>2247</v>
      </c>
      <c r="C944" s="613" t="s">
        <v>1097</v>
      </c>
      <c r="D944" s="614">
        <v>1</v>
      </c>
    </row>
    <row r="945" spans="1:4" x14ac:dyDescent="0.25">
      <c r="A945" s="1162"/>
      <c r="B945" s="612">
        <v>2208</v>
      </c>
      <c r="C945" s="613" t="s">
        <v>1517</v>
      </c>
      <c r="D945" s="614">
        <v>1</v>
      </c>
    </row>
    <row r="946" spans="1:4" x14ac:dyDescent="0.25">
      <c r="A946" s="1162"/>
      <c r="B946" s="612">
        <v>2231</v>
      </c>
      <c r="C946" s="613" t="s">
        <v>1518</v>
      </c>
      <c r="D946" s="614">
        <v>1</v>
      </c>
    </row>
    <row r="947" spans="1:4" x14ac:dyDescent="0.25">
      <c r="A947" s="1162"/>
      <c r="B947" s="612">
        <v>2242</v>
      </c>
      <c r="C947" s="613" t="s">
        <v>737</v>
      </c>
      <c r="D947" s="614">
        <v>1</v>
      </c>
    </row>
    <row r="948" spans="1:4" x14ac:dyDescent="0.25">
      <c r="A948" s="1162"/>
      <c r="B948" s="612">
        <v>2233</v>
      </c>
      <c r="C948" s="613" t="s">
        <v>1519</v>
      </c>
      <c r="D948" s="614">
        <v>1</v>
      </c>
    </row>
    <row r="949" spans="1:4" x14ac:dyDescent="0.25">
      <c r="A949" s="1162"/>
      <c r="B949" s="612">
        <v>2224</v>
      </c>
      <c r="C949" s="613" t="s">
        <v>1520</v>
      </c>
      <c r="D949" s="614">
        <v>1</v>
      </c>
    </row>
    <row r="950" spans="1:4" x14ac:dyDescent="0.25">
      <c r="A950" s="1162"/>
      <c r="B950" s="612">
        <v>2238</v>
      </c>
      <c r="C950" s="613" t="s">
        <v>1521</v>
      </c>
      <c r="D950" s="614">
        <v>1</v>
      </c>
    </row>
    <row r="951" spans="1:4" x14ac:dyDescent="0.25">
      <c r="A951" s="1162"/>
      <c r="B951" s="612">
        <v>2218</v>
      </c>
      <c r="C951" s="613" t="s">
        <v>775</v>
      </c>
      <c r="D951" s="614">
        <v>1</v>
      </c>
    </row>
    <row r="952" spans="1:4" x14ac:dyDescent="0.25">
      <c r="A952" s="1162"/>
      <c r="B952" s="612">
        <v>2206</v>
      </c>
      <c r="C952" s="613" t="s">
        <v>1522</v>
      </c>
      <c r="D952" s="614">
        <v>1</v>
      </c>
    </row>
    <row r="953" spans="1:4" x14ac:dyDescent="0.25">
      <c r="A953" s="1162"/>
      <c r="B953" s="612">
        <v>2223</v>
      </c>
      <c r="C953" s="613" t="s">
        <v>1523</v>
      </c>
      <c r="D953" s="614">
        <v>1</v>
      </c>
    </row>
    <row r="954" spans="1:4" x14ac:dyDescent="0.25">
      <c r="A954" s="1162"/>
      <c r="B954" s="612">
        <v>2246</v>
      </c>
      <c r="C954" s="613" t="s">
        <v>1524</v>
      </c>
      <c r="D954" s="614">
        <v>1</v>
      </c>
    </row>
    <row r="955" spans="1:4" x14ac:dyDescent="0.25">
      <c r="A955" s="1162"/>
      <c r="B955" s="612">
        <v>2204</v>
      </c>
      <c r="C955" s="613" t="s">
        <v>1525</v>
      </c>
      <c r="D955" s="614">
        <v>1</v>
      </c>
    </row>
    <row r="956" spans="1:4" x14ac:dyDescent="0.25">
      <c r="A956" s="1162"/>
      <c r="B956" s="612">
        <v>2236</v>
      </c>
      <c r="C956" s="613" t="s">
        <v>1526</v>
      </c>
      <c r="D956" s="614">
        <v>1</v>
      </c>
    </row>
    <row r="957" spans="1:4" x14ac:dyDescent="0.25">
      <c r="A957" s="1162"/>
      <c r="B957" s="612">
        <v>2240</v>
      </c>
      <c r="C957" s="613" t="s">
        <v>1527</v>
      </c>
      <c r="D957" s="614">
        <v>1</v>
      </c>
    </row>
    <row r="958" spans="1:4" ht="13.5" thickBot="1" x14ac:dyDescent="0.3">
      <c r="A958" s="1163"/>
      <c r="B958" s="605">
        <v>2207</v>
      </c>
      <c r="C958" s="606" t="s">
        <v>1528</v>
      </c>
      <c r="D958" s="607">
        <v>1</v>
      </c>
    </row>
    <row r="959" spans="1:4" x14ac:dyDescent="0.25">
      <c r="A959" s="1151" t="s">
        <v>1529</v>
      </c>
      <c r="B959" s="602">
        <v>2118</v>
      </c>
      <c r="C959" s="603" t="s">
        <v>1530</v>
      </c>
      <c r="D959" s="604">
        <v>1</v>
      </c>
    </row>
    <row r="960" spans="1:4" x14ac:dyDescent="0.25">
      <c r="A960" s="1162"/>
      <c r="B960" s="612">
        <v>2125</v>
      </c>
      <c r="C960" s="613" t="s">
        <v>1531</v>
      </c>
      <c r="D960" s="614">
        <v>1</v>
      </c>
    </row>
    <row r="961" spans="1:4" x14ac:dyDescent="0.25">
      <c r="A961" s="1162"/>
      <c r="B961" s="612">
        <v>2110</v>
      </c>
      <c r="C961" s="613" t="s">
        <v>1532</v>
      </c>
      <c r="D961" s="614">
        <v>1</v>
      </c>
    </row>
    <row r="962" spans="1:4" x14ac:dyDescent="0.25">
      <c r="A962" s="1162"/>
      <c r="B962" s="612">
        <v>2108</v>
      </c>
      <c r="C962" s="613" t="s">
        <v>1533</v>
      </c>
      <c r="D962" s="614">
        <v>1</v>
      </c>
    </row>
    <row r="963" spans="1:4" x14ac:dyDescent="0.25">
      <c r="A963" s="1162"/>
      <c r="B963" s="612">
        <v>2130</v>
      </c>
      <c r="C963" s="613" t="s">
        <v>1534</v>
      </c>
      <c r="D963" s="614">
        <v>1</v>
      </c>
    </row>
    <row r="964" spans="1:4" x14ac:dyDescent="0.25">
      <c r="A964" s="1162"/>
      <c r="B964" s="612">
        <v>2116</v>
      </c>
      <c r="C964" s="613" t="s">
        <v>1535</v>
      </c>
      <c r="D964" s="614">
        <v>1</v>
      </c>
    </row>
    <row r="965" spans="1:4" x14ac:dyDescent="0.25">
      <c r="A965" s="1162"/>
      <c r="B965" s="612">
        <v>2109</v>
      </c>
      <c r="C965" s="613" t="s">
        <v>1536</v>
      </c>
      <c r="D965" s="614">
        <v>1</v>
      </c>
    </row>
    <row r="966" spans="1:4" x14ac:dyDescent="0.25">
      <c r="A966" s="1162"/>
      <c r="B966" s="612">
        <v>2119</v>
      </c>
      <c r="C966" s="613" t="s">
        <v>1537</v>
      </c>
      <c r="D966" s="614">
        <v>1</v>
      </c>
    </row>
    <row r="967" spans="1:4" x14ac:dyDescent="0.25">
      <c r="A967" s="1162"/>
      <c r="B967" s="612">
        <v>2128</v>
      </c>
      <c r="C967" s="613" t="s">
        <v>1538</v>
      </c>
      <c r="D967" s="614">
        <v>1</v>
      </c>
    </row>
    <row r="968" spans="1:4" x14ac:dyDescent="0.25">
      <c r="A968" s="1162"/>
      <c r="B968" s="612">
        <v>2114</v>
      </c>
      <c r="C968" s="613" t="s">
        <v>1539</v>
      </c>
      <c r="D968" s="614">
        <v>1</v>
      </c>
    </row>
    <row r="969" spans="1:4" x14ac:dyDescent="0.25">
      <c r="A969" s="1162"/>
      <c r="B969" s="612">
        <v>2126</v>
      </c>
      <c r="C969" s="613" t="s">
        <v>1540</v>
      </c>
      <c r="D969" s="614">
        <v>1</v>
      </c>
    </row>
    <row r="970" spans="1:4" x14ac:dyDescent="0.25">
      <c r="A970" s="1162"/>
      <c r="B970" s="612">
        <v>2123</v>
      </c>
      <c r="C970" s="613" t="s">
        <v>1541</v>
      </c>
      <c r="D970" s="614">
        <v>1</v>
      </c>
    </row>
    <row r="971" spans="1:4" x14ac:dyDescent="0.25">
      <c r="A971" s="1162"/>
      <c r="B971" s="612">
        <v>2106</v>
      </c>
      <c r="C971" s="613" t="s">
        <v>1542</v>
      </c>
      <c r="D971" s="614">
        <v>1</v>
      </c>
    </row>
    <row r="972" spans="1:4" x14ac:dyDescent="0.25">
      <c r="A972" s="1162"/>
      <c r="B972" s="612">
        <v>2107</v>
      </c>
      <c r="C972" s="613" t="s">
        <v>1543</v>
      </c>
      <c r="D972" s="614">
        <v>1</v>
      </c>
    </row>
    <row r="973" spans="1:4" x14ac:dyDescent="0.25">
      <c r="A973" s="1162"/>
      <c r="B973" s="612">
        <v>2117</v>
      </c>
      <c r="C973" s="613" t="s">
        <v>1544</v>
      </c>
      <c r="D973" s="614">
        <v>1</v>
      </c>
    </row>
    <row r="974" spans="1:4" x14ac:dyDescent="0.25">
      <c r="A974" s="1162"/>
      <c r="B974" s="612">
        <v>2105</v>
      </c>
      <c r="C974" s="613" t="s">
        <v>1545</v>
      </c>
      <c r="D974" s="614">
        <v>1</v>
      </c>
    </row>
    <row r="975" spans="1:4" x14ac:dyDescent="0.25">
      <c r="A975" s="1162"/>
      <c r="B975" s="612">
        <v>2102</v>
      </c>
      <c r="C975" s="613" t="s">
        <v>1546</v>
      </c>
      <c r="D975" s="614">
        <v>1</v>
      </c>
    </row>
    <row r="976" spans="1:4" x14ac:dyDescent="0.25">
      <c r="A976" s="1162"/>
      <c r="B976" s="612">
        <v>2112</v>
      </c>
      <c r="C976" s="613" t="s">
        <v>1547</v>
      </c>
      <c r="D976" s="614">
        <v>1</v>
      </c>
    </row>
    <row r="977" spans="1:4" x14ac:dyDescent="0.25">
      <c r="A977" s="1162"/>
      <c r="B977" s="612">
        <v>2127</v>
      </c>
      <c r="C977" s="613" t="s">
        <v>1548</v>
      </c>
      <c r="D977" s="614">
        <v>1</v>
      </c>
    </row>
    <row r="978" spans="1:4" x14ac:dyDescent="0.25">
      <c r="A978" s="1162"/>
      <c r="B978" s="612">
        <v>2129</v>
      </c>
      <c r="C978" s="613" t="s">
        <v>1549</v>
      </c>
      <c r="D978" s="614">
        <v>1</v>
      </c>
    </row>
    <row r="979" spans="1:4" x14ac:dyDescent="0.25">
      <c r="A979" s="1162"/>
      <c r="B979" s="612">
        <v>2100</v>
      </c>
      <c r="C979" s="613" t="s">
        <v>1550</v>
      </c>
      <c r="D979" s="614">
        <v>1</v>
      </c>
    </row>
    <row r="980" spans="1:4" x14ac:dyDescent="0.25">
      <c r="A980" s="1162"/>
      <c r="B980" s="612">
        <v>2120</v>
      </c>
      <c r="C980" s="613" t="s">
        <v>1551</v>
      </c>
      <c r="D980" s="614">
        <v>1</v>
      </c>
    </row>
    <row r="981" spans="1:4" x14ac:dyDescent="0.25">
      <c r="A981" s="1162"/>
      <c r="B981" s="612">
        <v>2103</v>
      </c>
      <c r="C981" s="613" t="s">
        <v>1552</v>
      </c>
      <c r="D981" s="614">
        <v>1</v>
      </c>
    </row>
    <row r="982" spans="1:4" x14ac:dyDescent="0.25">
      <c r="A982" s="1162"/>
      <c r="B982" s="612">
        <v>2111</v>
      </c>
      <c r="C982" s="613" t="s">
        <v>1553</v>
      </c>
      <c r="D982" s="614">
        <v>1</v>
      </c>
    </row>
    <row r="983" spans="1:4" x14ac:dyDescent="0.25">
      <c r="A983" s="1162"/>
      <c r="B983" s="612">
        <v>2101</v>
      </c>
      <c r="C983" s="613" t="s">
        <v>1554</v>
      </c>
      <c r="D983" s="614">
        <v>1</v>
      </c>
    </row>
    <row r="984" spans="1:4" x14ac:dyDescent="0.25">
      <c r="A984" s="1162"/>
      <c r="B984" s="612">
        <v>2113</v>
      </c>
      <c r="C984" s="613" t="s">
        <v>1555</v>
      </c>
      <c r="D984" s="614">
        <v>1</v>
      </c>
    </row>
    <row r="985" spans="1:4" x14ac:dyDescent="0.25">
      <c r="A985" s="1162"/>
      <c r="B985" s="612">
        <v>2122</v>
      </c>
      <c r="C985" s="613" t="s">
        <v>1556</v>
      </c>
      <c r="D985" s="614">
        <v>1</v>
      </c>
    </row>
    <row r="986" spans="1:4" x14ac:dyDescent="0.25">
      <c r="A986" s="1162"/>
      <c r="B986" s="612">
        <v>2124</v>
      </c>
      <c r="C986" s="613" t="s">
        <v>1557</v>
      </c>
      <c r="D986" s="614">
        <v>1</v>
      </c>
    </row>
    <row r="987" spans="1:4" x14ac:dyDescent="0.25">
      <c r="A987" s="1162"/>
      <c r="B987" s="612">
        <v>2104</v>
      </c>
      <c r="C987" s="613" t="s">
        <v>1558</v>
      </c>
      <c r="D987" s="614">
        <v>1</v>
      </c>
    </row>
    <row r="988" spans="1:4" ht="14.25" customHeight="1" thickBot="1" x14ac:dyDescent="0.3">
      <c r="A988" s="1163"/>
      <c r="B988" s="605">
        <v>2115</v>
      </c>
      <c r="C988" s="606" t="s">
        <v>1559</v>
      </c>
      <c r="D988" s="607">
        <v>1</v>
      </c>
    </row>
    <row r="989" spans="1:4" x14ac:dyDescent="0.25">
      <c r="A989" s="1151" t="s">
        <v>1560</v>
      </c>
      <c r="B989" s="602">
        <v>2317</v>
      </c>
      <c r="C989" s="603" t="s">
        <v>1561</v>
      </c>
      <c r="D989" s="604">
        <v>1</v>
      </c>
    </row>
    <row r="990" spans="1:4" x14ac:dyDescent="0.25">
      <c r="A990" s="1162"/>
      <c r="B990" s="612">
        <v>2321</v>
      </c>
      <c r="C990" s="613" t="s">
        <v>1562</v>
      </c>
      <c r="D990" s="614">
        <v>1</v>
      </c>
    </row>
    <row r="991" spans="1:4" x14ac:dyDescent="0.25">
      <c r="A991" s="1162"/>
      <c r="B991" s="612">
        <v>2307</v>
      </c>
      <c r="C991" s="613" t="s">
        <v>1563</v>
      </c>
      <c r="D991" s="614">
        <v>1</v>
      </c>
    </row>
    <row r="992" spans="1:4" x14ac:dyDescent="0.25">
      <c r="A992" s="1162"/>
      <c r="B992" s="612">
        <v>2330</v>
      </c>
      <c r="C992" s="613" t="s">
        <v>1564</v>
      </c>
      <c r="D992" s="614">
        <v>1</v>
      </c>
    </row>
    <row r="993" spans="1:4" x14ac:dyDescent="0.25">
      <c r="A993" s="1162"/>
      <c r="B993" s="612">
        <v>2338</v>
      </c>
      <c r="C993" s="613" t="s">
        <v>717</v>
      </c>
      <c r="D993" s="614">
        <v>1</v>
      </c>
    </row>
    <row r="994" spans="1:4" x14ac:dyDescent="0.25">
      <c r="A994" s="1162"/>
      <c r="B994" s="612">
        <v>2316</v>
      </c>
      <c r="C994" s="613" t="s">
        <v>1565</v>
      </c>
      <c r="D994" s="614">
        <v>1</v>
      </c>
    </row>
    <row r="995" spans="1:4" x14ac:dyDescent="0.25">
      <c r="A995" s="1162"/>
      <c r="B995" s="612">
        <v>2311</v>
      </c>
      <c r="C995" s="613" t="s">
        <v>1566</v>
      </c>
      <c r="D995" s="614">
        <v>1</v>
      </c>
    </row>
    <row r="996" spans="1:4" x14ac:dyDescent="0.25">
      <c r="A996" s="1162"/>
      <c r="B996" s="612">
        <v>2325</v>
      </c>
      <c r="C996" s="613" t="s">
        <v>638</v>
      </c>
      <c r="D996" s="614">
        <v>1</v>
      </c>
    </row>
    <row r="997" spans="1:4" x14ac:dyDescent="0.25">
      <c r="A997" s="1162"/>
      <c r="B997" s="612">
        <v>2340</v>
      </c>
      <c r="C997" s="613" t="s">
        <v>1567</v>
      </c>
      <c r="D997" s="614">
        <v>1</v>
      </c>
    </row>
    <row r="998" spans="1:4" x14ac:dyDescent="0.25">
      <c r="A998" s="1162"/>
      <c r="B998" s="612">
        <v>2305</v>
      </c>
      <c r="C998" s="613" t="s">
        <v>1275</v>
      </c>
      <c r="D998" s="614">
        <v>1</v>
      </c>
    </row>
    <row r="999" spans="1:4" x14ac:dyDescent="0.25">
      <c r="A999" s="1162"/>
      <c r="B999" s="612">
        <v>2300</v>
      </c>
      <c r="C999" s="613" t="s">
        <v>1568</v>
      </c>
      <c r="D999" s="614">
        <v>1</v>
      </c>
    </row>
    <row r="1000" spans="1:4" x14ac:dyDescent="0.25">
      <c r="A1000" s="1162"/>
      <c r="B1000" s="612">
        <v>2319</v>
      </c>
      <c r="C1000" s="613" t="s">
        <v>1569</v>
      </c>
      <c r="D1000" s="614">
        <v>1</v>
      </c>
    </row>
    <row r="1001" spans="1:4" x14ac:dyDescent="0.25">
      <c r="A1001" s="1162"/>
      <c r="B1001" s="612">
        <v>2303</v>
      </c>
      <c r="C1001" s="613" t="s">
        <v>1107</v>
      </c>
      <c r="D1001" s="614">
        <v>1</v>
      </c>
    </row>
    <row r="1002" spans="1:4" x14ac:dyDescent="0.25">
      <c r="A1002" s="1162"/>
      <c r="B1002" s="612">
        <v>2337</v>
      </c>
      <c r="C1002" s="613" t="s">
        <v>778</v>
      </c>
      <c r="D1002" s="614">
        <v>1</v>
      </c>
    </row>
    <row r="1003" spans="1:4" x14ac:dyDescent="0.25">
      <c r="A1003" s="1162"/>
      <c r="B1003" s="612">
        <v>2333</v>
      </c>
      <c r="C1003" s="613" t="s">
        <v>1570</v>
      </c>
      <c r="D1003" s="614">
        <v>1</v>
      </c>
    </row>
    <row r="1004" spans="1:4" x14ac:dyDescent="0.25">
      <c r="A1004" s="1162"/>
      <c r="B1004" s="612">
        <v>2304</v>
      </c>
      <c r="C1004" s="613" t="s">
        <v>1378</v>
      </c>
      <c r="D1004" s="614">
        <v>1</v>
      </c>
    </row>
    <row r="1005" spans="1:4" x14ac:dyDescent="0.25">
      <c r="A1005" s="1162"/>
      <c r="B1005" s="612">
        <v>2326</v>
      </c>
      <c r="C1005" s="613" t="s">
        <v>1511</v>
      </c>
      <c r="D1005" s="614">
        <v>1</v>
      </c>
    </row>
    <row r="1006" spans="1:4" x14ac:dyDescent="0.25">
      <c r="A1006" s="1162"/>
      <c r="B1006" s="612">
        <v>2306</v>
      </c>
      <c r="C1006" s="613" t="s">
        <v>1571</v>
      </c>
      <c r="D1006" s="614">
        <v>1</v>
      </c>
    </row>
    <row r="1007" spans="1:4" x14ac:dyDescent="0.25">
      <c r="A1007" s="1162"/>
      <c r="B1007" s="612">
        <v>2323</v>
      </c>
      <c r="C1007" s="613" t="s">
        <v>939</v>
      </c>
      <c r="D1007" s="614">
        <v>1</v>
      </c>
    </row>
    <row r="1008" spans="1:4" x14ac:dyDescent="0.25">
      <c r="A1008" s="1162"/>
      <c r="B1008" s="612">
        <v>2314</v>
      </c>
      <c r="C1008" s="613" t="s">
        <v>1572</v>
      </c>
      <c r="D1008" s="614">
        <v>1</v>
      </c>
    </row>
    <row r="1009" spans="1:4" x14ac:dyDescent="0.25">
      <c r="A1009" s="1162"/>
      <c r="B1009" s="612">
        <v>2310</v>
      </c>
      <c r="C1009" s="613" t="s">
        <v>1573</v>
      </c>
      <c r="D1009" s="614">
        <v>1</v>
      </c>
    </row>
    <row r="1010" spans="1:4" x14ac:dyDescent="0.25">
      <c r="A1010" s="1162"/>
      <c r="B1010" s="612">
        <v>2331</v>
      </c>
      <c r="C1010" s="613" t="s">
        <v>1574</v>
      </c>
      <c r="D1010" s="614">
        <v>1</v>
      </c>
    </row>
    <row r="1011" spans="1:4" x14ac:dyDescent="0.25">
      <c r="A1011" s="1162"/>
      <c r="B1011" s="612">
        <v>2334</v>
      </c>
      <c r="C1011" s="613" t="s">
        <v>1575</v>
      </c>
      <c r="D1011" s="614">
        <v>1</v>
      </c>
    </row>
    <row r="1012" spans="1:4" x14ac:dyDescent="0.25">
      <c r="A1012" s="1162"/>
      <c r="B1012" s="612">
        <v>2339</v>
      </c>
      <c r="C1012" s="613" t="s">
        <v>1576</v>
      </c>
      <c r="D1012" s="614">
        <v>1</v>
      </c>
    </row>
    <row r="1013" spans="1:4" x14ac:dyDescent="0.25">
      <c r="A1013" s="1162"/>
      <c r="B1013" s="612">
        <v>2332</v>
      </c>
      <c r="C1013" s="613" t="s">
        <v>1577</v>
      </c>
      <c r="D1013" s="614">
        <v>1</v>
      </c>
    </row>
    <row r="1014" spans="1:4" x14ac:dyDescent="0.25">
      <c r="A1014" s="1162"/>
      <c r="B1014" s="612">
        <v>2308</v>
      </c>
      <c r="C1014" s="613" t="s">
        <v>1578</v>
      </c>
      <c r="D1014" s="614">
        <v>1</v>
      </c>
    </row>
    <row r="1015" spans="1:4" x14ac:dyDescent="0.25">
      <c r="A1015" s="1162"/>
      <c r="B1015" s="612">
        <v>2324</v>
      </c>
      <c r="C1015" s="613" t="s">
        <v>1579</v>
      </c>
      <c r="D1015" s="614">
        <v>1</v>
      </c>
    </row>
    <row r="1016" spans="1:4" x14ac:dyDescent="0.25">
      <c r="A1016" s="1162"/>
      <c r="B1016" s="612">
        <v>2329</v>
      </c>
      <c r="C1016" s="613" t="s">
        <v>1580</v>
      </c>
      <c r="D1016" s="614">
        <v>1</v>
      </c>
    </row>
    <row r="1017" spans="1:4" x14ac:dyDescent="0.25">
      <c r="A1017" s="1162"/>
      <c r="B1017" s="612">
        <v>2328</v>
      </c>
      <c r="C1017" s="613" t="s">
        <v>1581</v>
      </c>
      <c r="D1017" s="614">
        <v>1</v>
      </c>
    </row>
    <row r="1018" spans="1:4" x14ac:dyDescent="0.25">
      <c r="A1018" s="1162"/>
      <c r="B1018" s="612">
        <v>2336</v>
      </c>
      <c r="C1018" s="613" t="s">
        <v>1582</v>
      </c>
      <c r="D1018" s="614">
        <v>1</v>
      </c>
    </row>
    <row r="1019" spans="1:4" x14ac:dyDescent="0.25">
      <c r="A1019" s="1162"/>
      <c r="B1019" s="612">
        <v>2327</v>
      </c>
      <c r="C1019" s="613" t="s">
        <v>1583</v>
      </c>
      <c r="D1019" s="614">
        <v>1</v>
      </c>
    </row>
    <row r="1020" spans="1:4" ht="13.5" thickBot="1" x14ac:dyDescent="0.3">
      <c r="A1020" s="1163"/>
      <c r="B1020" s="605">
        <v>2315</v>
      </c>
      <c r="C1020" s="606" t="s">
        <v>1584</v>
      </c>
      <c r="D1020" s="607">
        <v>1</v>
      </c>
    </row>
    <row r="1021" spans="1:4" x14ac:dyDescent="0.25">
      <c r="A1021" s="1151" t="s">
        <v>1585</v>
      </c>
      <c r="B1021" s="602">
        <v>2418</v>
      </c>
      <c r="C1021" s="603" t="s">
        <v>1586</v>
      </c>
      <c r="D1021" s="604">
        <v>1</v>
      </c>
    </row>
    <row r="1022" spans="1:4" ht="13.5" customHeight="1" x14ac:dyDescent="0.25">
      <c r="A1022" s="1162"/>
      <c r="B1022" s="612">
        <v>2403</v>
      </c>
      <c r="C1022" s="613" t="s">
        <v>1587</v>
      </c>
      <c r="D1022" s="614">
        <v>1</v>
      </c>
    </row>
    <row r="1023" spans="1:4" ht="13.5" customHeight="1" x14ac:dyDescent="0.25">
      <c r="A1023" s="1162"/>
      <c r="B1023" s="612">
        <v>2408</v>
      </c>
      <c r="C1023" s="613" t="s">
        <v>1588</v>
      </c>
      <c r="D1023" s="614">
        <v>1</v>
      </c>
    </row>
    <row r="1024" spans="1:4" x14ac:dyDescent="0.25">
      <c r="A1024" s="1162"/>
      <c r="B1024" s="612">
        <v>2417</v>
      </c>
      <c r="C1024" s="613" t="s">
        <v>1589</v>
      </c>
      <c r="D1024" s="614">
        <v>1</v>
      </c>
    </row>
    <row r="1025" spans="1:4" x14ac:dyDescent="0.25">
      <c r="A1025" s="1162"/>
      <c r="B1025" s="612">
        <v>2410</v>
      </c>
      <c r="C1025" s="613" t="s">
        <v>1590</v>
      </c>
      <c r="D1025" s="614">
        <v>1</v>
      </c>
    </row>
    <row r="1026" spans="1:4" x14ac:dyDescent="0.25">
      <c r="A1026" s="1162"/>
      <c r="B1026" s="612">
        <v>2422</v>
      </c>
      <c r="C1026" s="613" t="s">
        <v>1050</v>
      </c>
      <c r="D1026" s="614">
        <v>1</v>
      </c>
    </row>
    <row r="1027" spans="1:4" x14ac:dyDescent="0.25">
      <c r="A1027" s="1162"/>
      <c r="B1027" s="612">
        <v>2413</v>
      </c>
      <c r="C1027" s="613" t="s">
        <v>1591</v>
      </c>
      <c r="D1027" s="614">
        <v>1</v>
      </c>
    </row>
    <row r="1028" spans="1:4" x14ac:dyDescent="0.25">
      <c r="A1028" s="1162"/>
      <c r="B1028" s="612">
        <v>2420</v>
      </c>
      <c r="C1028" s="613" t="s">
        <v>1592</v>
      </c>
      <c r="D1028" s="614">
        <v>1</v>
      </c>
    </row>
    <row r="1029" spans="1:4" x14ac:dyDescent="0.25">
      <c r="A1029" s="1162"/>
      <c r="B1029" s="612">
        <v>2411</v>
      </c>
      <c r="C1029" s="613" t="s">
        <v>1593</v>
      </c>
      <c r="D1029" s="614">
        <v>1</v>
      </c>
    </row>
    <row r="1030" spans="1:4" x14ac:dyDescent="0.25">
      <c r="A1030" s="1162"/>
      <c r="B1030" s="612">
        <v>2416</v>
      </c>
      <c r="C1030" s="613" t="s">
        <v>1594</v>
      </c>
      <c r="D1030" s="614">
        <v>1</v>
      </c>
    </row>
    <row r="1031" spans="1:4" x14ac:dyDescent="0.25">
      <c r="A1031" s="1162"/>
      <c r="B1031" s="612">
        <v>2423</v>
      </c>
      <c r="C1031" s="613" t="s">
        <v>1173</v>
      </c>
      <c r="D1031" s="614">
        <v>1</v>
      </c>
    </row>
    <row r="1032" spans="1:4" x14ac:dyDescent="0.25">
      <c r="A1032" s="1162"/>
      <c r="B1032" s="612">
        <v>2407</v>
      </c>
      <c r="C1032" s="613" t="s">
        <v>1456</v>
      </c>
      <c r="D1032" s="614">
        <v>1</v>
      </c>
    </row>
    <row r="1033" spans="1:4" x14ac:dyDescent="0.25">
      <c r="A1033" s="1162"/>
      <c r="B1033" s="612">
        <v>2404</v>
      </c>
      <c r="C1033" s="613" t="s">
        <v>1595</v>
      </c>
      <c r="D1033" s="614">
        <v>1</v>
      </c>
    </row>
    <row r="1034" spans="1:4" x14ac:dyDescent="0.25">
      <c r="A1034" s="1162"/>
      <c r="B1034" s="612">
        <v>2401</v>
      </c>
      <c r="C1034" s="613" t="s">
        <v>1596</v>
      </c>
      <c r="D1034" s="614">
        <v>1</v>
      </c>
    </row>
    <row r="1035" spans="1:4" x14ac:dyDescent="0.25">
      <c r="A1035" s="1162"/>
      <c r="B1035" s="612">
        <v>2415</v>
      </c>
      <c r="C1035" s="613" t="s">
        <v>1597</v>
      </c>
      <c r="D1035" s="614">
        <v>1</v>
      </c>
    </row>
    <row r="1036" spans="1:4" x14ac:dyDescent="0.25">
      <c r="A1036" s="1162"/>
      <c r="B1036" s="612">
        <v>2400</v>
      </c>
      <c r="C1036" s="613" t="s">
        <v>1127</v>
      </c>
      <c r="D1036" s="614">
        <v>1</v>
      </c>
    </row>
    <row r="1037" spans="1:4" x14ac:dyDescent="0.25">
      <c r="A1037" s="1162"/>
      <c r="B1037" s="612">
        <v>2402</v>
      </c>
      <c r="C1037" s="613" t="s">
        <v>1107</v>
      </c>
      <c r="D1037" s="614">
        <v>1</v>
      </c>
    </row>
    <row r="1038" spans="1:4" x14ac:dyDescent="0.25">
      <c r="A1038" s="1162"/>
      <c r="B1038" s="612">
        <v>2419</v>
      </c>
      <c r="C1038" s="613" t="s">
        <v>1598</v>
      </c>
      <c r="D1038" s="614">
        <v>1</v>
      </c>
    </row>
    <row r="1039" spans="1:4" x14ac:dyDescent="0.25">
      <c r="A1039" s="1162"/>
      <c r="B1039" s="612">
        <v>2409</v>
      </c>
      <c r="C1039" s="613" t="s">
        <v>1003</v>
      </c>
      <c r="D1039" s="614">
        <v>1</v>
      </c>
    </row>
    <row r="1040" spans="1:4" x14ac:dyDescent="0.25">
      <c r="A1040" s="1162"/>
      <c r="B1040" s="612">
        <v>2421</v>
      </c>
      <c r="C1040" s="613" t="s">
        <v>1341</v>
      </c>
      <c r="D1040" s="614">
        <v>1</v>
      </c>
    </row>
    <row r="1041" spans="1:4" x14ac:dyDescent="0.25">
      <c r="A1041" s="1162"/>
      <c r="B1041" s="612">
        <v>2405</v>
      </c>
      <c r="C1041" s="613" t="s">
        <v>1599</v>
      </c>
      <c r="D1041" s="614">
        <v>1</v>
      </c>
    </row>
    <row r="1042" spans="1:4" ht="13.5" thickBot="1" x14ac:dyDescent="0.3">
      <c r="A1042" s="1163"/>
      <c r="B1042" s="605">
        <v>2406</v>
      </c>
      <c r="C1042" s="606" t="s">
        <v>1600</v>
      </c>
      <c r="D1042" s="607">
        <v>1</v>
      </c>
    </row>
    <row r="1043" spans="1:4" x14ac:dyDescent="0.25">
      <c r="A1043" s="1151" t="s">
        <v>1601</v>
      </c>
      <c r="B1043" s="602">
        <v>5352</v>
      </c>
      <c r="C1043" s="603" t="s">
        <v>1602</v>
      </c>
      <c r="D1043" s="604">
        <v>1</v>
      </c>
    </row>
    <row r="1044" spans="1:4" x14ac:dyDescent="0.25">
      <c r="A1044" s="1162"/>
      <c r="B1044" s="612">
        <v>5355</v>
      </c>
      <c r="C1044" s="613" t="s">
        <v>1603</v>
      </c>
      <c r="D1044" s="614">
        <v>1</v>
      </c>
    </row>
    <row r="1045" spans="1:4" x14ac:dyDescent="0.25">
      <c r="A1045" s="1162"/>
      <c r="B1045" s="612">
        <v>5358</v>
      </c>
      <c r="C1045" s="613" t="s">
        <v>1604</v>
      </c>
      <c r="D1045" s="614">
        <v>1</v>
      </c>
    </row>
    <row r="1046" spans="1:4" x14ac:dyDescent="0.25">
      <c r="A1046" s="1162"/>
      <c r="B1046" s="612">
        <v>5370</v>
      </c>
      <c r="C1046" s="613" t="s">
        <v>1605</v>
      </c>
      <c r="D1046" s="614">
        <v>1</v>
      </c>
    </row>
    <row r="1047" spans="1:4" x14ac:dyDescent="0.25">
      <c r="A1047" s="1162"/>
      <c r="B1047" s="612">
        <v>5376</v>
      </c>
      <c r="C1047" s="613" t="s">
        <v>1606</v>
      </c>
      <c r="D1047" s="614">
        <v>1</v>
      </c>
    </row>
    <row r="1048" spans="1:4" x14ac:dyDescent="0.25">
      <c r="A1048" s="1162"/>
      <c r="B1048" s="612">
        <v>5363</v>
      </c>
      <c r="C1048" s="613" t="s">
        <v>1607</v>
      </c>
      <c r="D1048" s="614">
        <v>1</v>
      </c>
    </row>
    <row r="1049" spans="1:4" x14ac:dyDescent="0.25">
      <c r="A1049" s="1162"/>
      <c r="B1049" s="612">
        <v>5368</v>
      </c>
      <c r="C1049" s="613" t="s">
        <v>1608</v>
      </c>
      <c r="D1049" s="614">
        <v>1</v>
      </c>
    </row>
    <row r="1050" spans="1:4" x14ac:dyDescent="0.25">
      <c r="A1050" s="1162"/>
      <c r="B1050" s="612">
        <v>5381</v>
      </c>
      <c r="C1050" s="613" t="s">
        <v>1609</v>
      </c>
      <c r="D1050" s="614">
        <v>1</v>
      </c>
    </row>
    <row r="1051" spans="1:4" x14ac:dyDescent="0.25">
      <c r="A1051" s="1162"/>
      <c r="B1051" s="612">
        <v>5354</v>
      </c>
      <c r="C1051" s="613" t="s">
        <v>1610</v>
      </c>
      <c r="D1051" s="614">
        <v>1</v>
      </c>
    </row>
    <row r="1052" spans="1:4" x14ac:dyDescent="0.25">
      <c r="A1052" s="1162"/>
      <c r="B1052" s="612">
        <v>5359</v>
      </c>
      <c r="C1052" s="613" t="s">
        <v>1611</v>
      </c>
      <c r="D1052" s="614">
        <v>1</v>
      </c>
    </row>
    <row r="1053" spans="1:4" x14ac:dyDescent="0.25">
      <c r="A1053" s="1162"/>
      <c r="B1053" s="612">
        <v>5353</v>
      </c>
      <c r="C1053" s="613" t="s">
        <v>1612</v>
      </c>
      <c r="D1053" s="614">
        <v>1</v>
      </c>
    </row>
    <row r="1054" spans="1:4" x14ac:dyDescent="0.25">
      <c r="A1054" s="1162"/>
      <c r="B1054" s="612">
        <v>5371</v>
      </c>
      <c r="C1054" s="613" t="s">
        <v>1613</v>
      </c>
      <c r="D1054" s="614">
        <v>1</v>
      </c>
    </row>
    <row r="1055" spans="1:4" x14ac:dyDescent="0.25">
      <c r="A1055" s="1162"/>
      <c r="B1055" s="612">
        <v>5377</v>
      </c>
      <c r="C1055" s="613" t="s">
        <v>1614</v>
      </c>
      <c r="D1055" s="614">
        <v>1</v>
      </c>
    </row>
    <row r="1056" spans="1:4" x14ac:dyDescent="0.25">
      <c r="A1056" s="1162"/>
      <c r="B1056" s="612">
        <v>5361</v>
      </c>
      <c r="C1056" s="613" t="s">
        <v>1615</v>
      </c>
      <c r="D1056" s="614">
        <v>1</v>
      </c>
    </row>
    <row r="1057" spans="1:4" x14ac:dyDescent="0.25">
      <c r="A1057" s="1162"/>
      <c r="B1057" s="612">
        <v>5372</v>
      </c>
      <c r="C1057" s="613" t="s">
        <v>1616</v>
      </c>
      <c r="D1057" s="614">
        <v>1</v>
      </c>
    </row>
    <row r="1058" spans="1:4" x14ac:dyDescent="0.25">
      <c r="A1058" s="1162"/>
      <c r="B1058" s="612">
        <v>5360</v>
      </c>
      <c r="C1058" s="613" t="s">
        <v>1617</v>
      </c>
      <c r="D1058" s="614">
        <v>1</v>
      </c>
    </row>
    <row r="1059" spans="1:4" x14ac:dyDescent="0.25">
      <c r="A1059" s="1162"/>
      <c r="B1059" s="612">
        <v>5380</v>
      </c>
      <c r="C1059" s="613" t="s">
        <v>1618</v>
      </c>
      <c r="D1059" s="614">
        <v>1</v>
      </c>
    </row>
    <row r="1060" spans="1:4" x14ac:dyDescent="0.25">
      <c r="A1060" s="1162"/>
      <c r="B1060" s="612">
        <v>5378</v>
      </c>
      <c r="C1060" s="613" t="s">
        <v>1619</v>
      </c>
      <c r="D1060" s="614">
        <v>1</v>
      </c>
    </row>
    <row r="1061" spans="1:4" x14ac:dyDescent="0.25">
      <c r="A1061" s="1162"/>
      <c r="B1061" s="612">
        <v>5374</v>
      </c>
      <c r="C1061" s="613" t="s">
        <v>1620</v>
      </c>
      <c r="D1061" s="614">
        <v>1</v>
      </c>
    </row>
    <row r="1062" spans="1:4" x14ac:dyDescent="0.25">
      <c r="A1062" s="1162"/>
      <c r="B1062" s="612">
        <v>5375</v>
      </c>
      <c r="C1062" s="613" t="s">
        <v>1621</v>
      </c>
      <c r="D1062" s="614">
        <v>1</v>
      </c>
    </row>
    <row r="1063" spans="1:4" x14ac:dyDescent="0.25">
      <c r="A1063" s="1162"/>
      <c r="B1063" s="612">
        <v>5357</v>
      </c>
      <c r="C1063" s="613" t="s">
        <v>1622</v>
      </c>
      <c r="D1063" s="614">
        <v>1</v>
      </c>
    </row>
    <row r="1064" spans="1:4" x14ac:dyDescent="0.25">
      <c r="A1064" s="1162"/>
      <c r="B1064" s="612">
        <v>5366</v>
      </c>
      <c r="C1064" s="613" t="s">
        <v>1623</v>
      </c>
      <c r="D1064" s="614">
        <v>1</v>
      </c>
    </row>
    <row r="1065" spans="1:4" x14ac:dyDescent="0.25">
      <c r="A1065" s="1162"/>
      <c r="B1065" s="612">
        <v>5356</v>
      </c>
      <c r="C1065" s="613" t="s">
        <v>1624</v>
      </c>
      <c r="D1065" s="614">
        <v>1</v>
      </c>
    </row>
    <row r="1066" spans="1:4" x14ac:dyDescent="0.25">
      <c r="A1066" s="1162"/>
      <c r="B1066" s="612">
        <v>5379</v>
      </c>
      <c r="C1066" s="613" t="s">
        <v>1625</v>
      </c>
      <c r="D1066" s="614">
        <v>1</v>
      </c>
    </row>
    <row r="1067" spans="1:4" x14ac:dyDescent="0.25">
      <c r="A1067" s="1162"/>
      <c r="B1067" s="612">
        <v>5367</v>
      </c>
      <c r="C1067" s="613" t="s">
        <v>1626</v>
      </c>
      <c r="D1067" s="614">
        <v>1</v>
      </c>
    </row>
    <row r="1068" spans="1:4" x14ac:dyDescent="0.25">
      <c r="A1068" s="1162"/>
      <c r="B1068" s="612">
        <v>5350</v>
      </c>
      <c r="C1068" s="613" t="s">
        <v>1627</v>
      </c>
      <c r="D1068" s="614">
        <v>1</v>
      </c>
    </row>
    <row r="1069" spans="1:4" x14ac:dyDescent="0.25">
      <c r="A1069" s="1162"/>
      <c r="B1069" s="612">
        <v>5364</v>
      </c>
      <c r="C1069" s="613" t="s">
        <v>1091</v>
      </c>
      <c r="D1069" s="614">
        <v>1</v>
      </c>
    </row>
    <row r="1070" spans="1:4" x14ac:dyDescent="0.25">
      <c r="A1070" s="1162"/>
      <c r="B1070" s="612">
        <v>5362</v>
      </c>
      <c r="C1070" s="613" t="s">
        <v>1628</v>
      </c>
      <c r="D1070" s="614">
        <v>1</v>
      </c>
    </row>
    <row r="1071" spans="1:4" x14ac:dyDescent="0.25">
      <c r="A1071" s="1162"/>
      <c r="B1071" s="612">
        <v>5373</v>
      </c>
      <c r="C1071" s="613" t="s">
        <v>1629</v>
      </c>
      <c r="D1071" s="614">
        <v>1</v>
      </c>
    </row>
    <row r="1072" spans="1:4" x14ac:dyDescent="0.25">
      <c r="A1072" s="1162"/>
      <c r="B1072" s="612">
        <v>5351</v>
      </c>
      <c r="C1072" s="613" t="s">
        <v>1630</v>
      </c>
      <c r="D1072" s="614">
        <v>1</v>
      </c>
    </row>
    <row r="1073" spans="1:4" ht="13.5" thickBot="1" x14ac:dyDescent="0.3">
      <c r="A1073" s="1163"/>
      <c r="B1073" s="605">
        <v>5365</v>
      </c>
      <c r="C1073" s="606" t="s">
        <v>1631</v>
      </c>
      <c r="D1073" s="607">
        <v>1</v>
      </c>
    </row>
    <row r="1074" spans="1:4" x14ac:dyDescent="0.25">
      <c r="A1074" s="1151" t="s">
        <v>1632</v>
      </c>
      <c r="B1074" s="602">
        <v>1422</v>
      </c>
      <c r="C1074" s="603" t="s">
        <v>1633</v>
      </c>
      <c r="D1074" s="604">
        <v>1</v>
      </c>
    </row>
    <row r="1075" spans="1:4" x14ac:dyDescent="0.25">
      <c r="A1075" s="1162"/>
      <c r="B1075" s="612">
        <v>1424</v>
      </c>
      <c r="C1075" s="613" t="s">
        <v>1634</v>
      </c>
      <c r="D1075" s="614">
        <v>1</v>
      </c>
    </row>
    <row r="1076" spans="1:4" x14ac:dyDescent="0.25">
      <c r="A1076" s="1162"/>
      <c r="B1076" s="612">
        <v>1428</v>
      </c>
      <c r="C1076" s="613" t="s">
        <v>1635</v>
      </c>
      <c r="D1076" s="614">
        <v>1</v>
      </c>
    </row>
    <row r="1077" spans="1:4" ht="12.75" customHeight="1" x14ac:dyDescent="0.25">
      <c r="A1077" s="1162"/>
      <c r="B1077" s="612">
        <v>1409</v>
      </c>
      <c r="C1077" s="613" t="s">
        <v>1636</v>
      </c>
      <c r="D1077" s="614">
        <v>1</v>
      </c>
    </row>
    <row r="1078" spans="1:4" ht="13.5" customHeight="1" x14ac:dyDescent="0.25">
      <c r="A1078" s="1162"/>
      <c r="B1078" s="612">
        <v>1400</v>
      </c>
      <c r="C1078" s="613" t="s">
        <v>2290</v>
      </c>
      <c r="D1078" s="614">
        <v>1</v>
      </c>
    </row>
    <row r="1079" spans="1:4" x14ac:dyDescent="0.25">
      <c r="A1079" s="1162"/>
      <c r="B1079" s="612">
        <v>1411</v>
      </c>
      <c r="C1079" s="613" t="s">
        <v>1637</v>
      </c>
      <c r="D1079" s="614">
        <v>1</v>
      </c>
    </row>
    <row r="1080" spans="1:4" x14ac:dyDescent="0.25">
      <c r="A1080" s="1162"/>
      <c r="B1080" s="612">
        <v>1418</v>
      </c>
      <c r="C1080" s="613" t="s">
        <v>1638</v>
      </c>
      <c r="D1080" s="614">
        <v>1</v>
      </c>
    </row>
    <row r="1081" spans="1:4" x14ac:dyDescent="0.25">
      <c r="A1081" s="1162"/>
      <c r="B1081" s="612">
        <v>1425</v>
      </c>
      <c r="C1081" s="613" t="s">
        <v>1639</v>
      </c>
      <c r="D1081" s="614">
        <v>1</v>
      </c>
    </row>
    <row r="1082" spans="1:4" x14ac:dyDescent="0.25">
      <c r="A1082" s="1162"/>
      <c r="B1082" s="612">
        <v>1436</v>
      </c>
      <c r="C1082" s="613" t="s">
        <v>870</v>
      </c>
      <c r="D1082" s="614">
        <v>1</v>
      </c>
    </row>
    <row r="1083" spans="1:4" x14ac:dyDescent="0.25">
      <c r="A1083" s="1162"/>
      <c r="B1083" s="612">
        <v>1431</v>
      </c>
      <c r="C1083" s="613" t="s">
        <v>1640</v>
      </c>
      <c r="D1083" s="614">
        <v>1</v>
      </c>
    </row>
    <row r="1084" spans="1:4" x14ac:dyDescent="0.25">
      <c r="A1084" s="1162"/>
      <c r="B1084" s="612">
        <v>1402</v>
      </c>
      <c r="C1084" s="613" t="s">
        <v>1641</v>
      </c>
      <c r="D1084" s="614">
        <v>1</v>
      </c>
    </row>
    <row r="1085" spans="1:4" x14ac:dyDescent="0.25">
      <c r="A1085" s="1162"/>
      <c r="B1085" s="612">
        <v>1403</v>
      </c>
      <c r="C1085" s="613" t="s">
        <v>1642</v>
      </c>
      <c r="D1085" s="614">
        <v>1</v>
      </c>
    </row>
    <row r="1086" spans="1:4" x14ac:dyDescent="0.25">
      <c r="A1086" s="1162"/>
      <c r="B1086" s="612">
        <v>1440</v>
      </c>
      <c r="C1086" s="613" t="s">
        <v>1643</v>
      </c>
      <c r="D1086" s="614">
        <v>1</v>
      </c>
    </row>
    <row r="1087" spans="1:4" x14ac:dyDescent="0.25">
      <c r="A1087" s="1162"/>
      <c r="B1087" s="612">
        <v>1419</v>
      </c>
      <c r="C1087" s="613" t="s">
        <v>1644</v>
      </c>
      <c r="D1087" s="614">
        <v>1</v>
      </c>
    </row>
    <row r="1088" spans="1:4" x14ac:dyDescent="0.25">
      <c r="A1088" s="1162"/>
      <c r="B1088" s="612">
        <v>1406</v>
      </c>
      <c r="C1088" s="613" t="s">
        <v>1007</v>
      </c>
      <c r="D1088" s="614">
        <v>1</v>
      </c>
    </row>
    <row r="1089" spans="1:4" x14ac:dyDescent="0.25">
      <c r="A1089" s="1162"/>
      <c r="B1089" s="612">
        <v>1420</v>
      </c>
      <c r="C1089" s="613" t="s">
        <v>1645</v>
      </c>
      <c r="D1089" s="614">
        <v>1</v>
      </c>
    </row>
    <row r="1090" spans="1:4" x14ac:dyDescent="0.25">
      <c r="A1090" s="1162"/>
      <c r="B1090" s="612">
        <v>1421</v>
      </c>
      <c r="C1090" s="613" t="s">
        <v>1646</v>
      </c>
      <c r="D1090" s="614">
        <v>1</v>
      </c>
    </row>
    <row r="1091" spans="1:4" x14ac:dyDescent="0.25">
      <c r="A1091" s="1162"/>
      <c r="B1091" s="612">
        <v>1441</v>
      </c>
      <c r="C1091" s="613" t="s">
        <v>1524</v>
      </c>
      <c r="D1091" s="614">
        <v>1</v>
      </c>
    </row>
    <row r="1092" spans="1:4" x14ac:dyDescent="0.25">
      <c r="A1092" s="1162"/>
      <c r="B1092" s="612">
        <v>1416</v>
      </c>
      <c r="C1092" s="613" t="s">
        <v>1647</v>
      </c>
      <c r="D1092" s="614">
        <v>1</v>
      </c>
    </row>
    <row r="1093" spans="1:4" x14ac:dyDescent="0.25">
      <c r="A1093" s="1162"/>
      <c r="B1093" s="612">
        <v>1433</v>
      </c>
      <c r="C1093" s="613" t="s">
        <v>1648</v>
      </c>
      <c r="D1093" s="614">
        <v>1</v>
      </c>
    </row>
    <row r="1094" spans="1:4" x14ac:dyDescent="0.25">
      <c r="A1094" s="1162"/>
      <c r="B1094" s="612">
        <v>1429</v>
      </c>
      <c r="C1094" s="613" t="s">
        <v>1649</v>
      </c>
      <c r="D1094" s="614">
        <v>1</v>
      </c>
    </row>
    <row r="1095" spans="1:4" x14ac:dyDescent="0.25">
      <c r="A1095" s="1162"/>
      <c r="B1095" s="612">
        <v>1413</v>
      </c>
      <c r="C1095" s="613" t="s">
        <v>1650</v>
      </c>
      <c r="D1095" s="614">
        <v>1</v>
      </c>
    </row>
    <row r="1096" spans="1:4" x14ac:dyDescent="0.25">
      <c r="A1096" s="1162"/>
      <c r="B1096" s="612">
        <v>1426</v>
      </c>
      <c r="C1096" s="613" t="s">
        <v>1651</v>
      </c>
      <c r="D1096" s="614">
        <v>1</v>
      </c>
    </row>
    <row r="1097" spans="1:4" x14ac:dyDescent="0.25">
      <c r="A1097" s="1162"/>
      <c r="B1097" s="612">
        <v>1415</v>
      </c>
      <c r="C1097" s="613" t="s">
        <v>1652</v>
      </c>
      <c r="D1097" s="614">
        <v>1</v>
      </c>
    </row>
    <row r="1098" spans="1:4" x14ac:dyDescent="0.25">
      <c r="A1098" s="1162"/>
      <c r="B1098" s="612">
        <v>1435</v>
      </c>
      <c r="C1098" s="613" t="s">
        <v>1653</v>
      </c>
      <c r="D1098" s="614">
        <v>1</v>
      </c>
    </row>
    <row r="1099" spans="1:4" x14ac:dyDescent="0.25">
      <c r="A1099" s="1162"/>
      <c r="B1099" s="612">
        <v>1430</v>
      </c>
      <c r="C1099" s="613" t="s">
        <v>1654</v>
      </c>
      <c r="D1099" s="614">
        <v>1</v>
      </c>
    </row>
    <row r="1100" spans="1:4" x14ac:dyDescent="0.25">
      <c r="A1100" s="1162"/>
      <c r="B1100" s="612">
        <v>1412</v>
      </c>
      <c r="C1100" s="613" t="s">
        <v>1655</v>
      </c>
      <c r="D1100" s="614">
        <v>1</v>
      </c>
    </row>
    <row r="1101" spans="1:4" x14ac:dyDescent="0.25">
      <c r="A1101" s="1162"/>
      <c r="B1101" s="612">
        <v>1414</v>
      </c>
      <c r="C1101" s="613" t="s">
        <v>1656</v>
      </c>
      <c r="D1101" s="614">
        <v>1</v>
      </c>
    </row>
    <row r="1102" spans="1:4" x14ac:dyDescent="0.25">
      <c r="A1102" s="1162"/>
      <c r="B1102" s="612">
        <v>1434</v>
      </c>
      <c r="C1102" s="613" t="s">
        <v>1090</v>
      </c>
      <c r="D1102" s="614">
        <v>1</v>
      </c>
    </row>
    <row r="1103" spans="1:4" x14ac:dyDescent="0.25">
      <c r="A1103" s="1162"/>
      <c r="B1103" s="612">
        <v>1407</v>
      </c>
      <c r="C1103" s="613" t="s">
        <v>1657</v>
      </c>
      <c r="D1103" s="614">
        <v>1</v>
      </c>
    </row>
    <row r="1104" spans="1:4" x14ac:dyDescent="0.25">
      <c r="A1104" s="1162"/>
      <c r="B1104" s="612">
        <v>1439</v>
      </c>
      <c r="C1104" s="613" t="s">
        <v>1658</v>
      </c>
      <c r="D1104" s="614">
        <v>1</v>
      </c>
    </row>
    <row r="1105" spans="1:4" x14ac:dyDescent="0.25">
      <c r="A1105" s="1162"/>
      <c r="B1105" s="612">
        <v>1438</v>
      </c>
      <c r="C1105" s="613" t="s">
        <v>1659</v>
      </c>
      <c r="D1105" s="614">
        <v>1</v>
      </c>
    </row>
    <row r="1106" spans="1:4" x14ac:dyDescent="0.25">
      <c r="A1106" s="1162"/>
      <c r="B1106" s="612">
        <v>1417</v>
      </c>
      <c r="C1106" s="613" t="s">
        <v>1660</v>
      </c>
      <c r="D1106" s="614">
        <v>1</v>
      </c>
    </row>
    <row r="1107" spans="1:4" x14ac:dyDescent="0.25">
      <c r="A1107" s="1162"/>
      <c r="B1107" s="612">
        <v>1408</v>
      </c>
      <c r="C1107" s="613" t="s">
        <v>1661</v>
      </c>
      <c r="D1107" s="614">
        <v>1</v>
      </c>
    </row>
    <row r="1108" spans="1:4" x14ac:dyDescent="0.25">
      <c r="A1108" s="1162"/>
      <c r="B1108" s="612">
        <v>1401</v>
      </c>
      <c r="C1108" s="613" t="s">
        <v>1662</v>
      </c>
      <c r="D1108" s="614">
        <v>1</v>
      </c>
    </row>
    <row r="1109" spans="1:4" x14ac:dyDescent="0.25">
      <c r="A1109" s="1162"/>
      <c r="B1109" s="612">
        <v>1432</v>
      </c>
      <c r="C1109" s="613" t="s">
        <v>1663</v>
      </c>
      <c r="D1109" s="614">
        <v>1</v>
      </c>
    </row>
    <row r="1110" spans="1:4" x14ac:dyDescent="0.25">
      <c r="A1110" s="1162"/>
      <c r="B1110" s="612">
        <v>1410</v>
      </c>
      <c r="C1110" s="613" t="s">
        <v>1664</v>
      </c>
      <c r="D1110" s="614">
        <v>1</v>
      </c>
    </row>
    <row r="1111" spans="1:4" x14ac:dyDescent="0.25">
      <c r="A1111" s="1162"/>
      <c r="B1111" s="612">
        <v>1437</v>
      </c>
      <c r="C1111" s="613" t="s">
        <v>1665</v>
      </c>
      <c r="D1111" s="614">
        <v>1</v>
      </c>
    </row>
    <row r="1112" spans="1:4" x14ac:dyDescent="0.25">
      <c r="A1112" s="1162"/>
      <c r="B1112" s="612">
        <v>1423</v>
      </c>
      <c r="C1112" s="613" t="s">
        <v>1666</v>
      </c>
      <c r="D1112" s="614">
        <v>1</v>
      </c>
    </row>
    <row r="1113" spans="1:4" ht="13.5" thickBot="1" x14ac:dyDescent="0.3">
      <c r="A1113" s="1163"/>
      <c r="B1113" s="605">
        <v>1427</v>
      </c>
      <c r="C1113" s="606" t="s">
        <v>1667</v>
      </c>
      <c r="D1113" s="607">
        <v>1</v>
      </c>
    </row>
    <row r="1114" spans="1:4" x14ac:dyDescent="0.25">
      <c r="A1114" s="1151" t="s">
        <v>1668</v>
      </c>
      <c r="B1114" s="602">
        <v>2621</v>
      </c>
      <c r="C1114" s="603" t="s">
        <v>1669</v>
      </c>
      <c r="D1114" s="604">
        <v>1</v>
      </c>
    </row>
    <row r="1115" spans="1:4" x14ac:dyDescent="0.25">
      <c r="A1115" s="1162"/>
      <c r="B1115" s="612">
        <v>2602</v>
      </c>
      <c r="C1115" s="613" t="s">
        <v>1670</v>
      </c>
      <c r="D1115" s="614">
        <v>1</v>
      </c>
    </row>
    <row r="1116" spans="1:4" x14ac:dyDescent="0.25">
      <c r="A1116" s="1162"/>
      <c r="B1116" s="612">
        <v>2620</v>
      </c>
      <c r="C1116" s="613" t="s">
        <v>1671</v>
      </c>
      <c r="D1116" s="614">
        <v>1</v>
      </c>
    </row>
    <row r="1117" spans="1:4" x14ac:dyDescent="0.25">
      <c r="A1117" s="1162"/>
      <c r="B1117" s="612">
        <v>2617</v>
      </c>
      <c r="C1117" s="613" t="s">
        <v>1672</v>
      </c>
      <c r="D1117" s="614">
        <v>1</v>
      </c>
    </row>
    <row r="1118" spans="1:4" x14ac:dyDescent="0.25">
      <c r="A1118" s="1162"/>
      <c r="B1118" s="612">
        <v>2619</v>
      </c>
      <c r="C1118" s="613" t="s">
        <v>1673</v>
      </c>
      <c r="D1118" s="614">
        <v>1</v>
      </c>
    </row>
    <row r="1119" spans="1:4" x14ac:dyDescent="0.25">
      <c r="A1119" s="1162"/>
      <c r="B1119" s="612">
        <v>2622</v>
      </c>
      <c r="C1119" s="613" t="s">
        <v>1674</v>
      </c>
      <c r="D1119" s="614">
        <v>1</v>
      </c>
    </row>
    <row r="1120" spans="1:4" x14ac:dyDescent="0.25">
      <c r="A1120" s="1162"/>
      <c r="B1120" s="612">
        <v>2609</v>
      </c>
      <c r="C1120" s="613" t="s">
        <v>794</v>
      </c>
      <c r="D1120" s="614">
        <v>1</v>
      </c>
    </row>
    <row r="1121" spans="1:4" x14ac:dyDescent="0.25">
      <c r="A1121" s="1162"/>
      <c r="B1121" s="612">
        <v>2624</v>
      </c>
      <c r="C1121" s="613" t="s">
        <v>1675</v>
      </c>
      <c r="D1121" s="614">
        <v>1</v>
      </c>
    </row>
    <row r="1122" spans="1:4" x14ac:dyDescent="0.25">
      <c r="A1122" s="1162"/>
      <c r="B1122" s="612">
        <v>2608</v>
      </c>
      <c r="C1122" s="613" t="s">
        <v>1676</v>
      </c>
      <c r="D1122" s="614">
        <v>1</v>
      </c>
    </row>
    <row r="1123" spans="1:4" x14ac:dyDescent="0.25">
      <c r="A1123" s="1162"/>
      <c r="B1123" s="612">
        <v>2616</v>
      </c>
      <c r="C1123" s="613" t="s">
        <v>1677</v>
      </c>
      <c r="D1123" s="614">
        <v>1</v>
      </c>
    </row>
    <row r="1124" spans="1:4" x14ac:dyDescent="0.25">
      <c r="A1124" s="1162"/>
      <c r="B1124" s="612">
        <v>2614</v>
      </c>
      <c r="C1124" s="613" t="s">
        <v>1678</v>
      </c>
      <c r="D1124" s="614">
        <v>1</v>
      </c>
    </row>
    <row r="1125" spans="1:4" x14ac:dyDescent="0.25">
      <c r="A1125" s="1162"/>
      <c r="B1125" s="612">
        <v>2634</v>
      </c>
      <c r="C1125" s="613" t="s">
        <v>1004</v>
      </c>
      <c r="D1125" s="614">
        <v>1</v>
      </c>
    </row>
    <row r="1126" spans="1:4" x14ac:dyDescent="0.25">
      <c r="A1126" s="1162"/>
      <c r="B1126" s="612">
        <v>2615</v>
      </c>
      <c r="C1126" s="613" t="s">
        <v>1679</v>
      </c>
      <c r="D1126" s="614">
        <v>1</v>
      </c>
    </row>
    <row r="1127" spans="1:4" x14ac:dyDescent="0.25">
      <c r="A1127" s="1162"/>
      <c r="B1127" s="612">
        <v>2611</v>
      </c>
      <c r="C1127" s="613" t="s">
        <v>1680</v>
      </c>
      <c r="D1127" s="614">
        <v>1</v>
      </c>
    </row>
    <row r="1128" spans="1:4" x14ac:dyDescent="0.25">
      <c r="A1128" s="1162"/>
      <c r="B1128" s="612">
        <v>2627</v>
      </c>
      <c r="C1128" s="613" t="s">
        <v>1681</v>
      </c>
      <c r="D1128" s="614">
        <v>1</v>
      </c>
    </row>
    <row r="1129" spans="1:4" x14ac:dyDescent="0.25">
      <c r="A1129" s="1162"/>
      <c r="B1129" s="612">
        <v>2603</v>
      </c>
      <c r="C1129" s="613" t="s">
        <v>1682</v>
      </c>
      <c r="D1129" s="614">
        <v>1</v>
      </c>
    </row>
    <row r="1130" spans="1:4" x14ac:dyDescent="0.25">
      <c r="A1130" s="1162"/>
      <c r="B1130" s="612">
        <v>2635</v>
      </c>
      <c r="C1130" s="613" t="s">
        <v>1683</v>
      </c>
      <c r="D1130" s="614">
        <v>1</v>
      </c>
    </row>
    <row r="1131" spans="1:4" x14ac:dyDescent="0.25">
      <c r="A1131" s="1162"/>
      <c r="B1131" s="612">
        <v>2607</v>
      </c>
      <c r="C1131" s="613" t="s">
        <v>1684</v>
      </c>
      <c r="D1131" s="614">
        <v>1</v>
      </c>
    </row>
    <row r="1132" spans="1:4" x14ac:dyDescent="0.25">
      <c r="A1132" s="1162"/>
      <c r="B1132" s="612">
        <v>2633</v>
      </c>
      <c r="C1132" s="613" t="s">
        <v>1685</v>
      </c>
      <c r="D1132" s="614">
        <v>1</v>
      </c>
    </row>
    <row r="1133" spans="1:4" x14ac:dyDescent="0.25">
      <c r="A1133" s="1162"/>
      <c r="B1133" s="612">
        <v>2626</v>
      </c>
      <c r="C1133" s="613" t="s">
        <v>1686</v>
      </c>
      <c r="D1133" s="614">
        <v>1</v>
      </c>
    </row>
    <row r="1134" spans="1:4" x14ac:dyDescent="0.25">
      <c r="A1134" s="1162"/>
      <c r="B1134" s="612">
        <v>2636</v>
      </c>
      <c r="C1134" s="613" t="s">
        <v>1097</v>
      </c>
      <c r="D1134" s="614">
        <v>1</v>
      </c>
    </row>
    <row r="1135" spans="1:4" x14ac:dyDescent="0.25">
      <c r="A1135" s="1162"/>
      <c r="B1135" s="612">
        <v>2604</v>
      </c>
      <c r="C1135" s="613" t="s">
        <v>1687</v>
      </c>
      <c r="D1135" s="614">
        <v>1</v>
      </c>
    </row>
    <row r="1136" spans="1:4" x14ac:dyDescent="0.25">
      <c r="A1136" s="1162"/>
      <c r="B1136" s="612">
        <v>2605</v>
      </c>
      <c r="C1136" s="613" t="s">
        <v>1688</v>
      </c>
      <c r="D1136" s="614">
        <v>1</v>
      </c>
    </row>
    <row r="1137" spans="1:4" x14ac:dyDescent="0.25">
      <c r="A1137" s="1162"/>
      <c r="B1137" s="612">
        <v>2610</v>
      </c>
      <c r="C1137" s="613" t="s">
        <v>1027</v>
      </c>
      <c r="D1137" s="614">
        <v>1</v>
      </c>
    </row>
    <row r="1138" spans="1:4" x14ac:dyDescent="0.25">
      <c r="A1138" s="1162"/>
      <c r="B1138" s="612">
        <v>2625</v>
      </c>
      <c r="C1138" s="613" t="s">
        <v>1689</v>
      </c>
      <c r="D1138" s="614">
        <v>1</v>
      </c>
    </row>
    <row r="1139" spans="1:4" x14ac:dyDescent="0.25">
      <c r="A1139" s="1162"/>
      <c r="B1139" s="612">
        <v>2618</v>
      </c>
      <c r="C1139" s="613" t="s">
        <v>1690</v>
      </c>
      <c r="D1139" s="614">
        <v>1</v>
      </c>
    </row>
    <row r="1140" spans="1:4" x14ac:dyDescent="0.25">
      <c r="A1140" s="1162"/>
      <c r="B1140" s="612">
        <v>2623</v>
      </c>
      <c r="C1140" s="613" t="s">
        <v>1691</v>
      </c>
      <c r="D1140" s="614">
        <v>1</v>
      </c>
    </row>
    <row r="1141" spans="1:4" x14ac:dyDescent="0.25">
      <c r="A1141" s="1162"/>
      <c r="B1141" s="612">
        <v>2612</v>
      </c>
      <c r="C1141" s="613" t="s">
        <v>1692</v>
      </c>
      <c r="D1141" s="614">
        <v>1</v>
      </c>
    </row>
    <row r="1142" spans="1:4" x14ac:dyDescent="0.25">
      <c r="A1142" s="1162"/>
      <c r="B1142" s="612">
        <v>2613</v>
      </c>
      <c r="C1142" s="613" t="s">
        <v>1693</v>
      </c>
      <c r="D1142" s="614">
        <v>1</v>
      </c>
    </row>
    <row r="1143" spans="1:4" x14ac:dyDescent="0.25">
      <c r="A1143" s="1162"/>
      <c r="B1143" s="612">
        <v>2628</v>
      </c>
      <c r="C1143" s="613" t="s">
        <v>1694</v>
      </c>
      <c r="D1143" s="614">
        <v>1</v>
      </c>
    </row>
    <row r="1144" spans="1:4" x14ac:dyDescent="0.25">
      <c r="A1144" s="1162"/>
      <c r="B1144" s="612">
        <v>2629</v>
      </c>
      <c r="C1144" s="613" t="s">
        <v>1695</v>
      </c>
      <c r="D1144" s="614">
        <v>1</v>
      </c>
    </row>
    <row r="1145" spans="1:4" ht="13.5" thickBot="1" x14ac:dyDescent="0.3">
      <c r="A1145" s="1163"/>
      <c r="B1145" s="605">
        <v>2632</v>
      </c>
      <c r="C1145" s="606" t="s">
        <v>1696</v>
      </c>
      <c r="D1145" s="607">
        <v>1</v>
      </c>
    </row>
    <row r="1146" spans="1:4" x14ac:dyDescent="0.25">
      <c r="A1146" s="1151" t="s">
        <v>1697</v>
      </c>
      <c r="B1146" s="602">
        <v>3130</v>
      </c>
      <c r="C1146" s="603" t="s">
        <v>1698</v>
      </c>
      <c r="D1146" s="604">
        <v>1</v>
      </c>
    </row>
    <row r="1147" spans="1:4" x14ac:dyDescent="0.25">
      <c r="A1147" s="1162"/>
      <c r="B1147" s="612">
        <v>3129</v>
      </c>
      <c r="C1147" s="613" t="s">
        <v>1699</v>
      </c>
      <c r="D1147" s="614">
        <v>1</v>
      </c>
    </row>
    <row r="1148" spans="1:4" x14ac:dyDescent="0.25">
      <c r="A1148" s="1162"/>
      <c r="B1148" s="612">
        <v>3132</v>
      </c>
      <c r="C1148" s="613" t="s">
        <v>1700</v>
      </c>
      <c r="D1148" s="614">
        <v>1</v>
      </c>
    </row>
    <row r="1149" spans="1:4" x14ac:dyDescent="0.25">
      <c r="A1149" s="1162"/>
      <c r="B1149" s="612">
        <v>3108</v>
      </c>
      <c r="C1149" s="613" t="s">
        <v>1588</v>
      </c>
      <c r="D1149" s="614">
        <v>1</v>
      </c>
    </row>
    <row r="1150" spans="1:4" x14ac:dyDescent="0.25">
      <c r="A1150" s="1162"/>
      <c r="B1150" s="612">
        <v>3122</v>
      </c>
      <c r="C1150" s="613" t="s">
        <v>1701</v>
      </c>
      <c r="D1150" s="614">
        <v>1</v>
      </c>
    </row>
    <row r="1151" spans="1:4" x14ac:dyDescent="0.25">
      <c r="A1151" s="1162"/>
      <c r="B1151" s="612">
        <v>3126</v>
      </c>
      <c r="C1151" s="613" t="s">
        <v>1702</v>
      </c>
      <c r="D1151" s="614">
        <v>1</v>
      </c>
    </row>
    <row r="1152" spans="1:4" x14ac:dyDescent="0.25">
      <c r="A1152" s="1162"/>
      <c r="B1152" s="612">
        <v>3120</v>
      </c>
      <c r="C1152" s="613" t="s">
        <v>1703</v>
      </c>
      <c r="D1152" s="614">
        <v>1</v>
      </c>
    </row>
    <row r="1153" spans="1:4" x14ac:dyDescent="0.25">
      <c r="A1153" s="1162"/>
      <c r="B1153" s="612">
        <v>3112</v>
      </c>
      <c r="C1153" s="613" t="s">
        <v>1704</v>
      </c>
      <c r="D1153" s="614">
        <v>1</v>
      </c>
    </row>
    <row r="1154" spans="1:4" x14ac:dyDescent="0.25">
      <c r="A1154" s="1162"/>
      <c r="B1154" s="612">
        <v>3111</v>
      </c>
      <c r="C1154" s="613" t="s">
        <v>1705</v>
      </c>
      <c r="D1154" s="614">
        <v>1</v>
      </c>
    </row>
    <row r="1155" spans="1:4" x14ac:dyDescent="0.25">
      <c r="A1155" s="1162"/>
      <c r="B1155" s="612">
        <v>3131</v>
      </c>
      <c r="C1155" s="613" t="s">
        <v>1050</v>
      </c>
      <c r="D1155" s="614">
        <v>1</v>
      </c>
    </row>
    <row r="1156" spans="1:4" x14ac:dyDescent="0.25">
      <c r="A1156" s="1162"/>
      <c r="B1156" s="612">
        <v>3113</v>
      </c>
      <c r="C1156" s="613" t="s">
        <v>1706</v>
      </c>
      <c r="D1156" s="614">
        <v>1</v>
      </c>
    </row>
    <row r="1157" spans="1:4" x14ac:dyDescent="0.25">
      <c r="A1157" s="1162"/>
      <c r="B1157" s="612">
        <v>3117</v>
      </c>
      <c r="C1157" s="613" t="s">
        <v>1707</v>
      </c>
      <c r="D1157" s="614">
        <v>1</v>
      </c>
    </row>
    <row r="1158" spans="1:4" x14ac:dyDescent="0.25">
      <c r="A1158" s="1162"/>
      <c r="B1158" s="612">
        <v>3104</v>
      </c>
      <c r="C1158" s="613" t="s">
        <v>1708</v>
      </c>
      <c r="D1158" s="614">
        <v>1</v>
      </c>
    </row>
    <row r="1159" spans="1:4" x14ac:dyDescent="0.25">
      <c r="A1159" s="1162"/>
      <c r="B1159" s="612">
        <v>3106</v>
      </c>
      <c r="C1159" s="613" t="s">
        <v>1709</v>
      </c>
      <c r="D1159" s="614">
        <v>1</v>
      </c>
    </row>
    <row r="1160" spans="1:4" x14ac:dyDescent="0.25">
      <c r="A1160" s="1162"/>
      <c r="B1160" s="612">
        <v>3109</v>
      </c>
      <c r="C1160" s="613" t="s">
        <v>1710</v>
      </c>
      <c r="D1160" s="614">
        <v>1</v>
      </c>
    </row>
    <row r="1161" spans="1:4" x14ac:dyDescent="0.25">
      <c r="A1161" s="1162"/>
      <c r="B1161" s="612">
        <v>3107</v>
      </c>
      <c r="C1161" s="613" t="s">
        <v>1711</v>
      </c>
      <c r="D1161" s="614">
        <v>1</v>
      </c>
    </row>
    <row r="1162" spans="1:4" x14ac:dyDescent="0.25">
      <c r="A1162" s="1162"/>
      <c r="B1162" s="612">
        <v>3124</v>
      </c>
      <c r="C1162" s="613" t="s">
        <v>1712</v>
      </c>
      <c r="D1162" s="614">
        <v>1</v>
      </c>
    </row>
    <row r="1163" spans="1:4" x14ac:dyDescent="0.25">
      <c r="A1163" s="1162"/>
      <c r="B1163" s="612">
        <v>3103</v>
      </c>
      <c r="C1163" s="613" t="s">
        <v>1713</v>
      </c>
      <c r="D1163" s="614">
        <v>1</v>
      </c>
    </row>
    <row r="1164" spans="1:4" x14ac:dyDescent="0.25">
      <c r="A1164" s="1162"/>
      <c r="B1164" s="612">
        <v>3134</v>
      </c>
      <c r="C1164" s="613" t="s">
        <v>1714</v>
      </c>
      <c r="D1164" s="614">
        <v>1</v>
      </c>
    </row>
    <row r="1165" spans="1:4" x14ac:dyDescent="0.25">
      <c r="A1165" s="1162"/>
      <c r="B1165" s="612">
        <v>3128</v>
      </c>
      <c r="C1165" s="613" t="s">
        <v>706</v>
      </c>
      <c r="D1165" s="614">
        <v>1</v>
      </c>
    </row>
    <row r="1166" spans="1:4" x14ac:dyDescent="0.25">
      <c r="A1166" s="1162"/>
      <c r="B1166" s="612">
        <v>3119</v>
      </c>
      <c r="C1166" s="613" t="s">
        <v>1715</v>
      </c>
      <c r="D1166" s="614">
        <v>1</v>
      </c>
    </row>
    <row r="1167" spans="1:4" x14ac:dyDescent="0.25">
      <c r="A1167" s="1162"/>
      <c r="B1167" s="612">
        <v>3110</v>
      </c>
      <c r="C1167" s="613" t="s">
        <v>1716</v>
      </c>
      <c r="D1167" s="614">
        <v>1</v>
      </c>
    </row>
    <row r="1168" spans="1:4" x14ac:dyDescent="0.25">
      <c r="A1168" s="1162"/>
      <c r="B1168" s="612">
        <v>3125</v>
      </c>
      <c r="C1168" s="613" t="s">
        <v>1717</v>
      </c>
      <c r="D1168" s="614">
        <v>1</v>
      </c>
    </row>
    <row r="1169" spans="1:4" x14ac:dyDescent="0.25">
      <c r="A1169" s="1162"/>
      <c r="B1169" s="612">
        <v>3105</v>
      </c>
      <c r="C1169" s="613" t="s">
        <v>736</v>
      </c>
      <c r="D1169" s="614">
        <v>1</v>
      </c>
    </row>
    <row r="1170" spans="1:4" x14ac:dyDescent="0.25">
      <c r="A1170" s="1162"/>
      <c r="B1170" s="612">
        <v>3116</v>
      </c>
      <c r="C1170" s="613" t="s">
        <v>1718</v>
      </c>
      <c r="D1170" s="614">
        <v>1</v>
      </c>
    </row>
    <row r="1171" spans="1:4" x14ac:dyDescent="0.25">
      <c r="A1171" s="1162"/>
      <c r="B1171" s="612">
        <v>3101</v>
      </c>
      <c r="C1171" s="613" t="s">
        <v>1719</v>
      </c>
      <c r="D1171" s="614">
        <v>1</v>
      </c>
    </row>
    <row r="1172" spans="1:4" x14ac:dyDescent="0.25">
      <c r="A1172" s="1162"/>
      <c r="B1172" s="612">
        <v>3127</v>
      </c>
      <c r="C1172" s="613" t="s">
        <v>1720</v>
      </c>
      <c r="D1172" s="614">
        <v>1</v>
      </c>
    </row>
    <row r="1173" spans="1:4" x14ac:dyDescent="0.25">
      <c r="A1173" s="1162"/>
      <c r="B1173" s="612">
        <v>3121</v>
      </c>
      <c r="C1173" s="613" t="s">
        <v>1721</v>
      </c>
      <c r="D1173" s="614">
        <v>1</v>
      </c>
    </row>
    <row r="1174" spans="1:4" x14ac:dyDescent="0.25">
      <c r="A1174" s="1162"/>
      <c r="B1174" s="612">
        <v>3114</v>
      </c>
      <c r="C1174" s="613" t="s">
        <v>1722</v>
      </c>
      <c r="D1174" s="614">
        <v>1</v>
      </c>
    </row>
    <row r="1175" spans="1:4" x14ac:dyDescent="0.25">
      <c r="A1175" s="1162"/>
      <c r="B1175" s="612">
        <v>3123</v>
      </c>
      <c r="C1175" s="613" t="s">
        <v>1723</v>
      </c>
      <c r="D1175" s="614">
        <v>1</v>
      </c>
    </row>
    <row r="1176" spans="1:4" x14ac:dyDescent="0.25">
      <c r="A1176" s="1162"/>
      <c r="B1176" s="612">
        <v>3102</v>
      </c>
      <c r="C1176" s="613" t="s">
        <v>1724</v>
      </c>
      <c r="D1176" s="614">
        <v>1</v>
      </c>
    </row>
    <row r="1177" spans="1:4" x14ac:dyDescent="0.25">
      <c r="A1177" s="1162"/>
      <c r="B1177" s="612">
        <v>3115</v>
      </c>
      <c r="C1177" s="613" t="s">
        <v>1725</v>
      </c>
      <c r="D1177" s="614">
        <v>1</v>
      </c>
    </row>
    <row r="1178" spans="1:4" x14ac:dyDescent="0.25">
      <c r="A1178" s="1162"/>
      <c r="B1178" s="612">
        <v>3118</v>
      </c>
      <c r="C1178" s="613" t="s">
        <v>1726</v>
      </c>
      <c r="D1178" s="614">
        <v>1</v>
      </c>
    </row>
    <row r="1179" spans="1:4" ht="13.5" thickBot="1" x14ac:dyDescent="0.3">
      <c r="A1179" s="1163"/>
      <c r="B1179" s="605">
        <v>3133</v>
      </c>
      <c r="C1179" s="606" t="s">
        <v>1727</v>
      </c>
      <c r="D1179" s="607">
        <v>1</v>
      </c>
    </row>
    <row r="1180" spans="1:4" x14ac:dyDescent="0.25">
      <c r="A1180" s="1151" t="s">
        <v>1728</v>
      </c>
      <c r="B1180" s="602">
        <v>5224</v>
      </c>
      <c r="C1180" s="603" t="s">
        <v>1729</v>
      </c>
      <c r="D1180" s="604">
        <v>1</v>
      </c>
    </row>
    <row r="1181" spans="1:4" x14ac:dyDescent="0.25">
      <c r="A1181" s="1162"/>
      <c r="B1181" s="612">
        <v>5208</v>
      </c>
      <c r="C1181" s="613" t="s">
        <v>1730</v>
      </c>
      <c r="D1181" s="614">
        <v>1</v>
      </c>
    </row>
    <row r="1182" spans="1:4" x14ac:dyDescent="0.25">
      <c r="A1182" s="1162"/>
      <c r="B1182" s="612">
        <v>5201</v>
      </c>
      <c r="C1182" s="613" t="s">
        <v>660</v>
      </c>
      <c r="D1182" s="614">
        <v>1</v>
      </c>
    </row>
    <row r="1183" spans="1:4" x14ac:dyDescent="0.25">
      <c r="A1183" s="1162"/>
      <c r="B1183" s="612">
        <v>5241</v>
      </c>
      <c r="C1183" s="613" t="s">
        <v>1731</v>
      </c>
      <c r="D1183" s="614">
        <v>1</v>
      </c>
    </row>
    <row r="1184" spans="1:4" x14ac:dyDescent="0.25">
      <c r="A1184" s="1162"/>
      <c r="B1184" s="612">
        <v>5242</v>
      </c>
      <c r="C1184" s="613" t="s">
        <v>1732</v>
      </c>
      <c r="D1184" s="614">
        <v>1</v>
      </c>
    </row>
    <row r="1185" spans="1:4" x14ac:dyDescent="0.25">
      <c r="A1185" s="1162"/>
      <c r="B1185" s="612">
        <v>5243</v>
      </c>
      <c r="C1185" s="613" t="s">
        <v>1733</v>
      </c>
      <c r="D1185" s="614">
        <v>1</v>
      </c>
    </row>
    <row r="1186" spans="1:4" x14ac:dyDescent="0.25">
      <c r="A1186" s="1162"/>
      <c r="B1186" s="612">
        <v>5205</v>
      </c>
      <c r="C1186" s="613" t="s">
        <v>1734</v>
      </c>
      <c r="D1186" s="614">
        <v>1</v>
      </c>
    </row>
    <row r="1187" spans="1:4" x14ac:dyDescent="0.25">
      <c r="A1187" s="1162"/>
      <c r="B1187" s="612">
        <v>5231</v>
      </c>
      <c r="C1187" s="613" t="s">
        <v>1735</v>
      </c>
      <c r="D1187" s="614">
        <v>1</v>
      </c>
    </row>
    <row r="1188" spans="1:4" x14ac:dyDescent="0.25">
      <c r="A1188" s="1162"/>
      <c r="B1188" s="612">
        <v>5225</v>
      </c>
      <c r="C1188" s="613" t="s">
        <v>1736</v>
      </c>
      <c r="D1188" s="614">
        <v>1</v>
      </c>
    </row>
    <row r="1189" spans="1:4" x14ac:dyDescent="0.25">
      <c r="A1189" s="1162"/>
      <c r="B1189" s="612">
        <v>5229</v>
      </c>
      <c r="C1189" s="613" t="s">
        <v>1737</v>
      </c>
      <c r="D1189" s="614">
        <v>1</v>
      </c>
    </row>
    <row r="1190" spans="1:4" x14ac:dyDescent="0.25">
      <c r="A1190" s="1162"/>
      <c r="B1190" s="612">
        <v>5227</v>
      </c>
      <c r="C1190" s="613" t="s">
        <v>1738</v>
      </c>
      <c r="D1190" s="614">
        <v>1</v>
      </c>
    </row>
    <row r="1191" spans="1:4" x14ac:dyDescent="0.25">
      <c r="A1191" s="1162"/>
      <c r="B1191" s="612">
        <v>5235</v>
      </c>
      <c r="C1191" s="613" t="s">
        <v>1739</v>
      </c>
      <c r="D1191" s="614">
        <v>1</v>
      </c>
    </row>
    <row r="1192" spans="1:4" x14ac:dyDescent="0.25">
      <c r="A1192" s="1162"/>
      <c r="B1192" s="612">
        <v>5232</v>
      </c>
      <c r="C1192" s="613" t="s">
        <v>1740</v>
      </c>
      <c r="D1192" s="614">
        <v>1</v>
      </c>
    </row>
    <row r="1193" spans="1:4" x14ac:dyDescent="0.25">
      <c r="A1193" s="1162"/>
      <c r="B1193" s="612">
        <v>5207</v>
      </c>
      <c r="C1193" s="613" t="s">
        <v>1275</v>
      </c>
      <c r="D1193" s="614">
        <v>1</v>
      </c>
    </row>
    <row r="1194" spans="1:4" x14ac:dyDescent="0.25">
      <c r="A1194" s="1162"/>
      <c r="B1194" s="612">
        <v>5247</v>
      </c>
      <c r="C1194" s="613" t="s">
        <v>1741</v>
      </c>
      <c r="D1194" s="614">
        <v>1</v>
      </c>
    </row>
    <row r="1195" spans="1:4" x14ac:dyDescent="0.25">
      <c r="A1195" s="1162"/>
      <c r="B1195" s="612">
        <v>5244</v>
      </c>
      <c r="C1195" s="613" t="s">
        <v>1742</v>
      </c>
      <c r="D1195" s="614">
        <v>1</v>
      </c>
    </row>
    <row r="1196" spans="1:4" x14ac:dyDescent="0.25">
      <c r="A1196" s="1162"/>
      <c r="B1196" s="612">
        <v>5218</v>
      </c>
      <c r="C1196" s="613" t="s">
        <v>1743</v>
      </c>
      <c r="D1196" s="614">
        <v>1</v>
      </c>
    </row>
    <row r="1197" spans="1:4" x14ac:dyDescent="0.25">
      <c r="A1197" s="1162"/>
      <c r="B1197" s="612">
        <v>5217</v>
      </c>
      <c r="C1197" s="613" t="s">
        <v>1637</v>
      </c>
      <c r="D1197" s="614">
        <v>1</v>
      </c>
    </row>
    <row r="1198" spans="1:4" x14ac:dyDescent="0.25">
      <c r="A1198" s="1162"/>
      <c r="B1198" s="612">
        <v>5203</v>
      </c>
      <c r="C1198" s="613" t="s">
        <v>1662</v>
      </c>
      <c r="D1198" s="614">
        <v>1</v>
      </c>
    </row>
    <row r="1199" spans="1:4" x14ac:dyDescent="0.25">
      <c r="A1199" s="1162"/>
      <c r="B1199" s="612">
        <v>5211</v>
      </c>
      <c r="C1199" s="613" t="s">
        <v>1266</v>
      </c>
      <c r="D1199" s="614">
        <v>1</v>
      </c>
    </row>
    <row r="1200" spans="1:4" x14ac:dyDescent="0.25">
      <c r="A1200" s="1162"/>
      <c r="B1200" s="612">
        <v>5209</v>
      </c>
      <c r="C1200" s="613" t="s">
        <v>1744</v>
      </c>
      <c r="D1200" s="614">
        <v>1</v>
      </c>
    </row>
    <row r="1201" spans="1:4" x14ac:dyDescent="0.25">
      <c r="A1201" s="1162"/>
      <c r="B1201" s="612">
        <v>5206</v>
      </c>
      <c r="C1201" s="613" t="s">
        <v>1745</v>
      </c>
      <c r="D1201" s="614">
        <v>1</v>
      </c>
    </row>
    <row r="1202" spans="1:4" x14ac:dyDescent="0.25">
      <c r="A1202" s="1162"/>
      <c r="B1202" s="612">
        <v>5213</v>
      </c>
      <c r="C1202" s="613" t="s">
        <v>1100</v>
      </c>
      <c r="D1202" s="614">
        <v>1</v>
      </c>
    </row>
    <row r="1203" spans="1:4" x14ac:dyDescent="0.25">
      <c r="A1203" s="1162"/>
      <c r="B1203" s="612">
        <v>5238</v>
      </c>
      <c r="C1203" s="613" t="s">
        <v>1746</v>
      </c>
      <c r="D1203" s="614">
        <v>1</v>
      </c>
    </row>
    <row r="1204" spans="1:4" x14ac:dyDescent="0.25">
      <c r="A1204" s="1162"/>
      <c r="B1204" s="612">
        <v>5234</v>
      </c>
      <c r="C1204" s="613" t="s">
        <v>1747</v>
      </c>
      <c r="D1204" s="614">
        <v>1</v>
      </c>
    </row>
    <row r="1205" spans="1:4" x14ac:dyDescent="0.25">
      <c r="A1205" s="1162"/>
      <c r="B1205" s="612">
        <v>5220</v>
      </c>
      <c r="C1205" s="613" t="s">
        <v>1748</v>
      </c>
      <c r="D1205" s="614">
        <v>1</v>
      </c>
    </row>
    <row r="1206" spans="1:4" x14ac:dyDescent="0.25">
      <c r="A1206" s="1162"/>
      <c r="B1206" s="612">
        <v>5237</v>
      </c>
      <c r="C1206" s="613" t="s">
        <v>1749</v>
      </c>
      <c r="D1206" s="614">
        <v>1</v>
      </c>
    </row>
    <row r="1207" spans="1:4" x14ac:dyDescent="0.25">
      <c r="A1207" s="1162"/>
      <c r="B1207" s="612">
        <v>5214</v>
      </c>
      <c r="C1207" s="613" t="s">
        <v>1750</v>
      </c>
      <c r="D1207" s="614">
        <v>1</v>
      </c>
    </row>
    <row r="1208" spans="1:4" x14ac:dyDescent="0.25">
      <c r="A1208" s="1162"/>
      <c r="B1208" s="612">
        <v>5212</v>
      </c>
      <c r="C1208" s="613" t="s">
        <v>1751</v>
      </c>
      <c r="D1208" s="614">
        <v>1</v>
      </c>
    </row>
    <row r="1209" spans="1:4" x14ac:dyDescent="0.25">
      <c r="A1209" s="1162"/>
      <c r="B1209" s="612">
        <v>5230</v>
      </c>
      <c r="C1209" s="613" t="s">
        <v>1752</v>
      </c>
      <c r="D1209" s="614">
        <v>1</v>
      </c>
    </row>
    <row r="1210" spans="1:4" x14ac:dyDescent="0.25">
      <c r="A1210" s="1162"/>
      <c r="B1210" s="612">
        <v>5200</v>
      </c>
      <c r="C1210" s="613" t="s">
        <v>1753</v>
      </c>
      <c r="D1210" s="614">
        <v>1</v>
      </c>
    </row>
    <row r="1211" spans="1:4" x14ac:dyDescent="0.25">
      <c r="A1211" s="1162"/>
      <c r="B1211" s="612">
        <v>5236</v>
      </c>
      <c r="C1211" s="613" t="s">
        <v>1754</v>
      </c>
      <c r="D1211" s="614">
        <v>1</v>
      </c>
    </row>
    <row r="1212" spans="1:4" x14ac:dyDescent="0.25">
      <c r="A1212" s="1162"/>
      <c r="B1212" s="612">
        <v>5202</v>
      </c>
      <c r="C1212" s="613" t="s">
        <v>1755</v>
      </c>
      <c r="D1212" s="614">
        <v>1</v>
      </c>
    </row>
    <row r="1213" spans="1:4" x14ac:dyDescent="0.25">
      <c r="A1213" s="1162"/>
      <c r="B1213" s="612">
        <v>5233</v>
      </c>
      <c r="C1213" s="613" t="s">
        <v>1756</v>
      </c>
      <c r="D1213" s="614">
        <v>1</v>
      </c>
    </row>
    <row r="1214" spans="1:4" x14ac:dyDescent="0.25">
      <c r="A1214" s="1162"/>
      <c r="B1214" s="612">
        <v>5204</v>
      </c>
      <c r="C1214" s="613" t="s">
        <v>1757</v>
      </c>
      <c r="D1214" s="614">
        <v>1</v>
      </c>
    </row>
    <row r="1215" spans="1:4" x14ac:dyDescent="0.25">
      <c r="A1215" s="1162"/>
      <c r="B1215" s="612">
        <v>5240</v>
      </c>
      <c r="C1215" s="613" t="s">
        <v>633</v>
      </c>
      <c r="D1215" s="614">
        <v>1</v>
      </c>
    </row>
    <row r="1216" spans="1:4" x14ac:dyDescent="0.25">
      <c r="A1216" s="1162"/>
      <c r="B1216" s="612">
        <v>5221</v>
      </c>
      <c r="C1216" s="613" t="s">
        <v>1758</v>
      </c>
      <c r="D1216" s="614">
        <v>1</v>
      </c>
    </row>
    <row r="1217" spans="1:4" x14ac:dyDescent="0.25">
      <c r="A1217" s="1162"/>
      <c r="B1217" s="612">
        <v>5219</v>
      </c>
      <c r="C1217" s="613" t="s">
        <v>1759</v>
      </c>
      <c r="D1217" s="614">
        <v>1</v>
      </c>
    </row>
    <row r="1218" spans="1:4" x14ac:dyDescent="0.25">
      <c r="A1218" s="1162"/>
      <c r="B1218" s="612">
        <v>5222</v>
      </c>
      <c r="C1218" s="613" t="s">
        <v>1760</v>
      </c>
      <c r="D1218" s="614">
        <v>1</v>
      </c>
    </row>
    <row r="1219" spans="1:4" x14ac:dyDescent="0.25">
      <c r="A1219" s="1162"/>
      <c r="B1219" s="612">
        <v>5215</v>
      </c>
      <c r="C1219" s="613" t="s">
        <v>1761</v>
      </c>
      <c r="D1219" s="614">
        <v>1</v>
      </c>
    </row>
    <row r="1220" spans="1:4" ht="13.5" thickBot="1" x14ac:dyDescent="0.3">
      <c r="A1220" s="1163"/>
      <c r="B1220" s="605">
        <v>5239</v>
      </c>
      <c r="C1220" s="606" t="s">
        <v>1762</v>
      </c>
      <c r="D1220" s="607">
        <v>1</v>
      </c>
    </row>
    <row r="1221" spans="1:4" x14ac:dyDescent="0.25">
      <c r="A1221" s="1151" t="s">
        <v>1763</v>
      </c>
      <c r="B1221" s="602">
        <v>1504</v>
      </c>
      <c r="C1221" s="603" t="s">
        <v>1764</v>
      </c>
      <c r="D1221" s="604">
        <v>1</v>
      </c>
    </row>
    <row r="1222" spans="1:4" x14ac:dyDescent="0.25">
      <c r="A1222" s="1162"/>
      <c r="B1222" s="612">
        <v>1517</v>
      </c>
      <c r="C1222" s="613" t="s">
        <v>1765</v>
      </c>
      <c r="D1222" s="614">
        <v>1</v>
      </c>
    </row>
    <row r="1223" spans="1:4" x14ac:dyDescent="0.25">
      <c r="A1223" s="1162"/>
      <c r="B1223" s="612">
        <v>1509</v>
      </c>
      <c r="C1223" s="613" t="s">
        <v>1766</v>
      </c>
      <c r="D1223" s="614">
        <v>1</v>
      </c>
    </row>
    <row r="1224" spans="1:4" x14ac:dyDescent="0.25">
      <c r="A1224" s="1162"/>
      <c r="B1224" s="612">
        <v>1511</v>
      </c>
      <c r="C1224" s="613" t="s">
        <v>774</v>
      </c>
      <c r="D1224" s="614">
        <v>1</v>
      </c>
    </row>
    <row r="1225" spans="1:4" x14ac:dyDescent="0.25">
      <c r="A1225" s="1162"/>
      <c r="B1225" s="612">
        <v>1507</v>
      </c>
      <c r="C1225" s="613" t="s">
        <v>1767</v>
      </c>
      <c r="D1225" s="614">
        <v>1</v>
      </c>
    </row>
    <row r="1226" spans="1:4" x14ac:dyDescent="0.25">
      <c r="A1226" s="1162"/>
      <c r="B1226" s="612">
        <v>1503</v>
      </c>
      <c r="C1226" s="613" t="s">
        <v>1225</v>
      </c>
      <c r="D1226" s="614">
        <v>1</v>
      </c>
    </row>
    <row r="1227" spans="1:4" x14ac:dyDescent="0.25">
      <c r="A1227" s="1162"/>
      <c r="B1227" s="612">
        <v>1500</v>
      </c>
      <c r="C1227" s="613" t="s">
        <v>1768</v>
      </c>
      <c r="D1227" s="614">
        <v>1</v>
      </c>
    </row>
    <row r="1228" spans="1:4" x14ac:dyDescent="0.25">
      <c r="A1228" s="1162"/>
      <c r="B1228" s="612">
        <v>1501</v>
      </c>
      <c r="C1228" s="613" t="s">
        <v>1769</v>
      </c>
      <c r="D1228" s="614">
        <v>1</v>
      </c>
    </row>
    <row r="1229" spans="1:4" x14ac:dyDescent="0.25">
      <c r="A1229" s="1162"/>
      <c r="B1229" s="612">
        <v>1506</v>
      </c>
      <c r="C1229" s="613" t="s">
        <v>1770</v>
      </c>
      <c r="D1229" s="614">
        <v>1</v>
      </c>
    </row>
    <row r="1230" spans="1:4" x14ac:dyDescent="0.25">
      <c r="A1230" s="1162"/>
      <c r="B1230" s="612">
        <v>1515</v>
      </c>
      <c r="C1230" s="613" t="s">
        <v>1771</v>
      </c>
      <c r="D1230" s="614">
        <v>1</v>
      </c>
    </row>
    <row r="1231" spans="1:4" x14ac:dyDescent="0.25">
      <c r="A1231" s="1162"/>
      <c r="B1231" s="612">
        <v>1505</v>
      </c>
      <c r="C1231" s="613" t="s">
        <v>1772</v>
      </c>
      <c r="D1231" s="614">
        <v>1</v>
      </c>
    </row>
    <row r="1232" spans="1:4" x14ac:dyDescent="0.25">
      <c r="A1232" s="1162"/>
      <c r="B1232" s="612">
        <v>1510</v>
      </c>
      <c r="C1232" s="613" t="s">
        <v>1773</v>
      </c>
      <c r="D1232" s="614">
        <v>1</v>
      </c>
    </row>
    <row r="1233" spans="1:4" x14ac:dyDescent="0.25">
      <c r="A1233" s="1162"/>
      <c r="B1233" s="612">
        <v>1512</v>
      </c>
      <c r="C1233" s="613" t="s">
        <v>1774</v>
      </c>
      <c r="D1233" s="614">
        <v>1</v>
      </c>
    </row>
    <row r="1234" spans="1:4" x14ac:dyDescent="0.25">
      <c r="A1234" s="1162"/>
      <c r="B1234" s="612">
        <v>1508</v>
      </c>
      <c r="C1234" s="613" t="s">
        <v>738</v>
      </c>
      <c r="D1234" s="614">
        <v>1</v>
      </c>
    </row>
    <row r="1235" spans="1:4" x14ac:dyDescent="0.25">
      <c r="A1235" s="1162"/>
      <c r="B1235" s="612">
        <v>1502</v>
      </c>
      <c r="C1235" s="613" t="s">
        <v>1775</v>
      </c>
      <c r="D1235" s="614">
        <v>1</v>
      </c>
    </row>
    <row r="1236" spans="1:4" x14ac:dyDescent="0.25">
      <c r="A1236" s="1162"/>
      <c r="B1236" s="612">
        <v>1513</v>
      </c>
      <c r="C1236" s="613" t="s">
        <v>1776</v>
      </c>
      <c r="D1236" s="614">
        <v>1</v>
      </c>
    </row>
    <row r="1237" spans="1:4" x14ac:dyDescent="0.25">
      <c r="A1237" s="1162"/>
      <c r="B1237" s="612">
        <v>1514</v>
      </c>
      <c r="C1237" s="613" t="s">
        <v>1777</v>
      </c>
      <c r="D1237" s="614">
        <v>1</v>
      </c>
    </row>
    <row r="1238" spans="1:4" ht="13.5" thickBot="1" x14ac:dyDescent="0.3">
      <c r="A1238" s="1163"/>
      <c r="B1238" s="605">
        <v>1516</v>
      </c>
      <c r="C1238" s="606" t="s">
        <v>1778</v>
      </c>
      <c r="D1238" s="607">
        <v>1</v>
      </c>
    </row>
    <row r="1239" spans="1:4" x14ac:dyDescent="0.25">
      <c r="A1239" s="1151" t="s">
        <v>1779</v>
      </c>
      <c r="B1239" s="602">
        <v>2803</v>
      </c>
      <c r="C1239" s="603" t="s">
        <v>1546</v>
      </c>
      <c r="D1239" s="604">
        <v>1</v>
      </c>
    </row>
    <row r="1240" spans="1:4" x14ac:dyDescent="0.25">
      <c r="A1240" s="1162"/>
      <c r="B1240" s="612">
        <v>2817</v>
      </c>
      <c r="C1240" s="613" t="s">
        <v>1780</v>
      </c>
      <c r="D1240" s="614">
        <v>1</v>
      </c>
    </row>
    <row r="1241" spans="1:4" x14ac:dyDescent="0.25">
      <c r="A1241" s="1162"/>
      <c r="B1241" s="612">
        <v>2820</v>
      </c>
      <c r="C1241" s="613" t="s">
        <v>1781</v>
      </c>
      <c r="D1241" s="614">
        <v>1</v>
      </c>
    </row>
    <row r="1242" spans="1:4" x14ac:dyDescent="0.25">
      <c r="A1242" s="1162"/>
      <c r="B1242" s="612">
        <v>2805</v>
      </c>
      <c r="C1242" s="613" t="s">
        <v>1782</v>
      </c>
      <c r="D1242" s="614">
        <v>1</v>
      </c>
    </row>
    <row r="1243" spans="1:4" x14ac:dyDescent="0.25">
      <c r="A1243" s="1162"/>
      <c r="B1243" s="612">
        <v>2830</v>
      </c>
      <c r="C1243" s="613" t="s">
        <v>1783</v>
      </c>
      <c r="D1243" s="614">
        <v>1</v>
      </c>
    </row>
    <row r="1244" spans="1:4" x14ac:dyDescent="0.25">
      <c r="A1244" s="1162"/>
      <c r="B1244" s="612">
        <v>2822</v>
      </c>
      <c r="C1244" s="613" t="s">
        <v>1507</v>
      </c>
      <c r="D1244" s="614">
        <v>1</v>
      </c>
    </row>
    <row r="1245" spans="1:4" x14ac:dyDescent="0.25">
      <c r="A1245" s="1162"/>
      <c r="B1245" s="612">
        <v>2812</v>
      </c>
      <c r="C1245" s="613" t="s">
        <v>1027</v>
      </c>
      <c r="D1245" s="614">
        <v>1</v>
      </c>
    </row>
    <row r="1246" spans="1:4" x14ac:dyDescent="0.25">
      <c r="A1246" s="1162"/>
      <c r="B1246" s="612">
        <v>2808</v>
      </c>
      <c r="C1246" s="613" t="s">
        <v>1784</v>
      </c>
      <c r="D1246" s="614">
        <v>1</v>
      </c>
    </row>
    <row r="1247" spans="1:4" x14ac:dyDescent="0.25">
      <c r="A1247" s="1162"/>
      <c r="B1247" s="612">
        <v>2814</v>
      </c>
      <c r="C1247" s="613" t="s">
        <v>1785</v>
      </c>
      <c r="D1247" s="614">
        <v>1</v>
      </c>
    </row>
    <row r="1248" spans="1:4" x14ac:dyDescent="0.25">
      <c r="A1248" s="1162"/>
      <c r="B1248" s="612">
        <v>2828</v>
      </c>
      <c r="C1248" s="613" t="s">
        <v>1786</v>
      </c>
      <c r="D1248" s="614">
        <v>1</v>
      </c>
    </row>
    <row r="1249" spans="1:4" x14ac:dyDescent="0.25">
      <c r="A1249" s="1162"/>
      <c r="B1249" s="612">
        <v>2825</v>
      </c>
      <c r="C1249" s="613" t="s">
        <v>1787</v>
      </c>
      <c r="D1249" s="614">
        <v>1</v>
      </c>
    </row>
    <row r="1250" spans="1:4" x14ac:dyDescent="0.25">
      <c r="A1250" s="1162"/>
      <c r="B1250" s="612">
        <v>2818</v>
      </c>
      <c r="C1250" s="613" t="s">
        <v>1314</v>
      </c>
      <c r="D1250" s="614">
        <v>1</v>
      </c>
    </row>
    <row r="1251" spans="1:4" x14ac:dyDescent="0.25">
      <c r="A1251" s="1162"/>
      <c r="B1251" s="612">
        <v>2831</v>
      </c>
      <c r="C1251" s="613" t="s">
        <v>1788</v>
      </c>
      <c r="D1251" s="614">
        <v>1</v>
      </c>
    </row>
    <row r="1252" spans="1:4" x14ac:dyDescent="0.25">
      <c r="A1252" s="1162"/>
      <c r="B1252" s="612">
        <v>2811</v>
      </c>
      <c r="C1252" s="613" t="s">
        <v>1789</v>
      </c>
      <c r="D1252" s="614">
        <v>1</v>
      </c>
    </row>
    <row r="1253" spans="1:4" x14ac:dyDescent="0.25">
      <c r="A1253" s="1162"/>
      <c r="B1253" s="612">
        <v>2821</v>
      </c>
      <c r="C1253" s="613" t="s">
        <v>1790</v>
      </c>
      <c r="D1253" s="614">
        <v>1</v>
      </c>
    </row>
    <row r="1254" spans="1:4" x14ac:dyDescent="0.25">
      <c r="A1254" s="1162"/>
      <c r="B1254" s="612">
        <v>2827</v>
      </c>
      <c r="C1254" s="613" t="s">
        <v>1791</v>
      </c>
      <c r="D1254" s="614">
        <v>1</v>
      </c>
    </row>
    <row r="1255" spans="1:4" x14ac:dyDescent="0.25">
      <c r="A1255" s="1162"/>
      <c r="B1255" s="612">
        <v>2816</v>
      </c>
      <c r="C1255" s="613" t="s">
        <v>1792</v>
      </c>
      <c r="D1255" s="614">
        <v>1</v>
      </c>
    </row>
    <row r="1256" spans="1:4" x14ac:dyDescent="0.25">
      <c r="A1256" s="1162"/>
      <c r="B1256" s="612">
        <v>2826</v>
      </c>
      <c r="C1256" s="613" t="s">
        <v>1793</v>
      </c>
      <c r="D1256" s="614">
        <v>1</v>
      </c>
    </row>
    <row r="1257" spans="1:4" x14ac:dyDescent="0.25">
      <c r="A1257" s="1162"/>
      <c r="B1257" s="612">
        <v>2807</v>
      </c>
      <c r="C1257" s="613" t="s">
        <v>1794</v>
      </c>
      <c r="D1257" s="614">
        <v>1</v>
      </c>
    </row>
    <row r="1258" spans="1:4" x14ac:dyDescent="0.25">
      <c r="A1258" s="1162"/>
      <c r="B1258" s="612">
        <v>2810</v>
      </c>
      <c r="C1258" s="613" t="s">
        <v>1795</v>
      </c>
      <c r="D1258" s="614">
        <v>1</v>
      </c>
    </row>
    <row r="1259" spans="1:4" x14ac:dyDescent="0.25">
      <c r="A1259" s="1162"/>
      <c r="B1259" s="612">
        <v>2823</v>
      </c>
      <c r="C1259" s="613" t="s">
        <v>1796</v>
      </c>
      <c r="D1259" s="614">
        <v>1</v>
      </c>
    </row>
    <row r="1260" spans="1:4" x14ac:dyDescent="0.25">
      <c r="A1260" s="1162"/>
      <c r="B1260" s="612">
        <v>2824</v>
      </c>
      <c r="C1260" s="613" t="s">
        <v>789</v>
      </c>
      <c r="D1260" s="614">
        <v>1</v>
      </c>
    </row>
    <row r="1261" spans="1:4" x14ac:dyDescent="0.25">
      <c r="A1261" s="1162"/>
      <c r="B1261" s="612">
        <v>2815</v>
      </c>
      <c r="C1261" s="613" t="s">
        <v>1797</v>
      </c>
      <c r="D1261" s="614">
        <v>1</v>
      </c>
    </row>
    <row r="1262" spans="1:4" x14ac:dyDescent="0.25">
      <c r="A1262" s="1162"/>
      <c r="B1262" s="612">
        <v>2800</v>
      </c>
      <c r="C1262" s="613" t="s">
        <v>1798</v>
      </c>
      <c r="D1262" s="614">
        <v>1</v>
      </c>
    </row>
    <row r="1263" spans="1:4" x14ac:dyDescent="0.25">
      <c r="A1263" s="1162"/>
      <c r="B1263" s="612">
        <v>2819</v>
      </c>
      <c r="C1263" s="613" t="s">
        <v>1799</v>
      </c>
      <c r="D1263" s="614">
        <v>1</v>
      </c>
    </row>
    <row r="1264" spans="1:4" x14ac:dyDescent="0.25">
      <c r="A1264" s="1162"/>
      <c r="B1264" s="612">
        <v>2809</v>
      </c>
      <c r="C1264" s="613" t="s">
        <v>1800</v>
      </c>
      <c r="D1264" s="614">
        <v>1</v>
      </c>
    </row>
    <row r="1265" spans="1:4" x14ac:dyDescent="0.25">
      <c r="A1265" s="1162"/>
      <c r="B1265" s="612">
        <v>2801</v>
      </c>
      <c r="C1265" s="613" t="s">
        <v>1801</v>
      </c>
      <c r="D1265" s="614">
        <v>1</v>
      </c>
    </row>
    <row r="1266" spans="1:4" x14ac:dyDescent="0.25">
      <c r="A1266" s="1162"/>
      <c r="B1266" s="612">
        <v>2804</v>
      </c>
      <c r="C1266" s="613" t="s">
        <v>910</v>
      </c>
      <c r="D1266" s="614">
        <v>1</v>
      </c>
    </row>
    <row r="1267" spans="1:4" x14ac:dyDescent="0.25">
      <c r="A1267" s="1162"/>
      <c r="B1267" s="612">
        <v>2829</v>
      </c>
      <c r="C1267" s="613" t="s">
        <v>1495</v>
      </c>
      <c r="D1267" s="614">
        <v>1</v>
      </c>
    </row>
    <row r="1268" spans="1:4" x14ac:dyDescent="0.25">
      <c r="A1268" s="1162"/>
      <c r="B1268" s="612">
        <v>2813</v>
      </c>
      <c r="C1268" s="613" t="s">
        <v>1802</v>
      </c>
      <c r="D1268" s="614">
        <v>1</v>
      </c>
    </row>
    <row r="1269" spans="1:4" ht="13.5" thickBot="1" x14ac:dyDescent="0.3">
      <c r="A1269" s="1163"/>
      <c r="B1269" s="605">
        <v>2806</v>
      </c>
      <c r="C1269" s="606" t="s">
        <v>1803</v>
      </c>
      <c r="D1269" s="607">
        <v>1</v>
      </c>
    </row>
    <row r="1270" spans="1:4" ht="14.25" customHeight="1" x14ac:dyDescent="0.25">
      <c r="A1270" s="1151" t="s">
        <v>1804</v>
      </c>
      <c r="B1270" s="602">
        <v>2900</v>
      </c>
      <c r="C1270" s="603" t="s">
        <v>1805</v>
      </c>
      <c r="D1270" s="604">
        <v>1</v>
      </c>
    </row>
    <row r="1271" spans="1:4" ht="14.25" customHeight="1" x14ac:dyDescent="0.25">
      <c r="A1271" s="1162"/>
      <c r="B1271" s="612">
        <v>2935</v>
      </c>
      <c r="C1271" s="613" t="s">
        <v>1806</v>
      </c>
      <c r="D1271" s="614">
        <v>1</v>
      </c>
    </row>
    <row r="1272" spans="1:4" ht="14.25" customHeight="1" x14ac:dyDescent="0.25">
      <c r="A1272" s="1162"/>
      <c r="B1272" s="612">
        <v>2940</v>
      </c>
      <c r="C1272" s="613" t="s">
        <v>1807</v>
      </c>
      <c r="D1272" s="614">
        <v>1</v>
      </c>
    </row>
    <row r="1273" spans="1:4" ht="14.25" customHeight="1" x14ac:dyDescent="0.25">
      <c r="A1273" s="1162"/>
      <c r="B1273" s="612">
        <v>2902</v>
      </c>
      <c r="C1273" s="613" t="s">
        <v>1808</v>
      </c>
      <c r="D1273" s="614">
        <v>1</v>
      </c>
    </row>
    <row r="1274" spans="1:4" ht="14.25" customHeight="1" x14ac:dyDescent="0.25">
      <c r="A1274" s="1162"/>
      <c r="B1274" s="612">
        <v>2930</v>
      </c>
      <c r="C1274" s="613" t="s">
        <v>1809</v>
      </c>
      <c r="D1274" s="614">
        <v>1</v>
      </c>
    </row>
    <row r="1275" spans="1:4" ht="14.25" customHeight="1" x14ac:dyDescent="0.25">
      <c r="A1275" s="1162"/>
      <c r="B1275" s="612">
        <v>2932</v>
      </c>
      <c r="C1275" s="613" t="s">
        <v>1810</v>
      </c>
      <c r="D1275" s="614">
        <v>1</v>
      </c>
    </row>
    <row r="1276" spans="1:4" ht="14.25" customHeight="1" x14ac:dyDescent="0.25">
      <c r="A1276" s="1162"/>
      <c r="B1276" s="612">
        <v>2908</v>
      </c>
      <c r="C1276" s="613" t="s">
        <v>1811</v>
      </c>
      <c r="D1276" s="614">
        <v>1</v>
      </c>
    </row>
    <row r="1277" spans="1:4" ht="14.25" customHeight="1" x14ac:dyDescent="0.25">
      <c r="A1277" s="1162"/>
      <c r="B1277" s="612">
        <v>2915</v>
      </c>
      <c r="C1277" s="613" t="s">
        <v>1812</v>
      </c>
      <c r="D1277" s="614">
        <v>1</v>
      </c>
    </row>
    <row r="1278" spans="1:4" ht="14.25" customHeight="1" x14ac:dyDescent="0.25">
      <c r="A1278" s="1162"/>
      <c r="B1278" s="612">
        <v>2921</v>
      </c>
      <c r="C1278" s="613" t="s">
        <v>1813</v>
      </c>
      <c r="D1278" s="614">
        <v>1</v>
      </c>
    </row>
    <row r="1279" spans="1:4" ht="14.25" customHeight="1" x14ac:dyDescent="0.25">
      <c r="A1279" s="1162"/>
      <c r="B1279" s="612">
        <v>2913</v>
      </c>
      <c r="C1279" s="613" t="s">
        <v>1814</v>
      </c>
      <c r="D1279" s="614">
        <v>1</v>
      </c>
    </row>
    <row r="1280" spans="1:4" ht="15" customHeight="1" x14ac:dyDescent="0.25">
      <c r="A1280" s="1162"/>
      <c r="B1280" s="612">
        <v>2929</v>
      </c>
      <c r="C1280" s="613" t="s">
        <v>1815</v>
      </c>
      <c r="D1280" s="614">
        <v>1</v>
      </c>
    </row>
    <row r="1281" spans="1:4" ht="15" customHeight="1" x14ac:dyDescent="0.25">
      <c r="A1281" s="1162"/>
      <c r="B1281" s="612">
        <v>2904</v>
      </c>
      <c r="C1281" s="613" t="s">
        <v>713</v>
      </c>
      <c r="D1281" s="614">
        <v>1</v>
      </c>
    </row>
    <row r="1282" spans="1:4" ht="15" customHeight="1" x14ac:dyDescent="0.25">
      <c r="A1282" s="1162"/>
      <c r="B1282" s="612">
        <v>2938</v>
      </c>
      <c r="C1282" s="613" t="s">
        <v>1816</v>
      </c>
      <c r="D1282" s="614">
        <v>1</v>
      </c>
    </row>
    <row r="1283" spans="1:4" ht="15" customHeight="1" x14ac:dyDescent="0.25">
      <c r="A1283" s="1162"/>
      <c r="B1283" s="612">
        <v>2926</v>
      </c>
      <c r="C1283" s="613" t="s">
        <v>909</v>
      </c>
      <c r="D1283" s="614">
        <v>1</v>
      </c>
    </row>
    <row r="1284" spans="1:4" ht="15" customHeight="1" x14ac:dyDescent="0.25">
      <c r="A1284" s="1162"/>
      <c r="B1284" s="612">
        <v>2936</v>
      </c>
      <c r="C1284" s="613" t="s">
        <v>1817</v>
      </c>
      <c r="D1284" s="614">
        <v>1</v>
      </c>
    </row>
    <row r="1285" spans="1:4" ht="15" customHeight="1" x14ac:dyDescent="0.25">
      <c r="A1285" s="1162"/>
      <c r="B1285" s="612">
        <v>2922</v>
      </c>
      <c r="C1285" s="613" t="s">
        <v>1818</v>
      </c>
      <c r="D1285" s="614">
        <v>1</v>
      </c>
    </row>
    <row r="1286" spans="1:4" ht="15" customHeight="1" x14ac:dyDescent="0.25">
      <c r="A1286" s="1162"/>
      <c r="B1286" s="612">
        <v>2914</v>
      </c>
      <c r="C1286" s="613" t="s">
        <v>1819</v>
      </c>
      <c r="D1286" s="614">
        <v>1</v>
      </c>
    </row>
    <row r="1287" spans="1:4" ht="15" customHeight="1" x14ac:dyDescent="0.25">
      <c r="A1287" s="1162"/>
      <c r="B1287" s="612">
        <v>2925</v>
      </c>
      <c r="C1287" s="613" t="s">
        <v>1820</v>
      </c>
      <c r="D1287" s="614">
        <v>1</v>
      </c>
    </row>
    <row r="1288" spans="1:4" ht="15" customHeight="1" x14ac:dyDescent="0.25">
      <c r="A1288" s="1162"/>
      <c r="B1288" s="612">
        <v>2912</v>
      </c>
      <c r="C1288" s="613" t="s">
        <v>1821</v>
      </c>
      <c r="D1288" s="614">
        <v>1</v>
      </c>
    </row>
    <row r="1289" spans="1:4" ht="15" customHeight="1" x14ac:dyDescent="0.25">
      <c r="A1289" s="1162"/>
      <c r="B1289" s="612">
        <v>2923</v>
      </c>
      <c r="C1289" s="613" t="s">
        <v>1822</v>
      </c>
      <c r="D1289" s="614">
        <v>1</v>
      </c>
    </row>
    <row r="1290" spans="1:4" ht="13.5" customHeight="1" x14ac:dyDescent="0.25">
      <c r="A1290" s="1162"/>
      <c r="B1290" s="612">
        <v>2906</v>
      </c>
      <c r="C1290" s="613" t="s">
        <v>1823</v>
      </c>
      <c r="D1290" s="614">
        <v>1</v>
      </c>
    </row>
    <row r="1291" spans="1:4" ht="13.5" customHeight="1" x14ac:dyDescent="0.25">
      <c r="A1291" s="1162"/>
      <c r="B1291" s="612">
        <v>2905</v>
      </c>
      <c r="C1291" s="613" t="s">
        <v>1824</v>
      </c>
      <c r="D1291" s="614">
        <v>1</v>
      </c>
    </row>
    <row r="1292" spans="1:4" ht="13.5" customHeight="1" x14ac:dyDescent="0.25">
      <c r="A1292" s="1162"/>
      <c r="B1292" s="612">
        <v>2931</v>
      </c>
      <c r="C1292" s="613" t="s">
        <v>1825</v>
      </c>
      <c r="D1292" s="614">
        <v>1</v>
      </c>
    </row>
    <row r="1293" spans="1:4" ht="13.5" customHeight="1" x14ac:dyDescent="0.25">
      <c r="A1293" s="1162"/>
      <c r="B1293" s="612">
        <v>2928</v>
      </c>
      <c r="C1293" s="613" t="s">
        <v>1826</v>
      </c>
      <c r="D1293" s="614">
        <v>1</v>
      </c>
    </row>
    <row r="1294" spans="1:4" ht="13.5" customHeight="1" x14ac:dyDescent="0.25">
      <c r="A1294" s="1162"/>
      <c r="B1294" s="612">
        <v>2934</v>
      </c>
      <c r="C1294" s="613" t="s">
        <v>1827</v>
      </c>
      <c r="D1294" s="614">
        <v>1</v>
      </c>
    </row>
    <row r="1295" spans="1:4" ht="13.5" customHeight="1" x14ac:dyDescent="0.25">
      <c r="A1295" s="1162"/>
      <c r="B1295" s="612">
        <v>2937</v>
      </c>
      <c r="C1295" s="613" t="s">
        <v>1828</v>
      </c>
      <c r="D1295" s="614">
        <v>1</v>
      </c>
    </row>
    <row r="1296" spans="1:4" ht="13.5" customHeight="1" x14ac:dyDescent="0.25">
      <c r="A1296" s="1162"/>
      <c r="B1296" s="612">
        <v>2903</v>
      </c>
      <c r="C1296" s="613" t="s">
        <v>1829</v>
      </c>
      <c r="D1296" s="614">
        <v>1</v>
      </c>
    </row>
    <row r="1297" spans="1:4" ht="13.5" customHeight="1" x14ac:dyDescent="0.25">
      <c r="A1297" s="1162"/>
      <c r="B1297" s="612">
        <v>2919</v>
      </c>
      <c r="C1297" s="613" t="s">
        <v>1830</v>
      </c>
      <c r="D1297" s="614">
        <v>1</v>
      </c>
    </row>
    <row r="1298" spans="1:4" ht="13.5" customHeight="1" x14ac:dyDescent="0.25">
      <c r="A1298" s="1162"/>
      <c r="B1298" s="612">
        <v>2917</v>
      </c>
      <c r="C1298" s="613" t="s">
        <v>1831</v>
      </c>
      <c r="D1298" s="614">
        <v>1</v>
      </c>
    </row>
    <row r="1299" spans="1:4" ht="13.5" customHeight="1" x14ac:dyDescent="0.25">
      <c r="A1299" s="1162"/>
      <c r="B1299" s="612">
        <v>2907</v>
      </c>
      <c r="C1299" s="613" t="s">
        <v>1832</v>
      </c>
      <c r="D1299" s="614">
        <v>1</v>
      </c>
    </row>
    <row r="1300" spans="1:4" ht="13.5" customHeight="1" x14ac:dyDescent="0.25">
      <c r="A1300" s="1162"/>
      <c r="B1300" s="612">
        <v>2924</v>
      </c>
      <c r="C1300" s="613" t="s">
        <v>1833</v>
      </c>
      <c r="D1300" s="614">
        <v>1</v>
      </c>
    </row>
    <row r="1301" spans="1:4" ht="15" customHeight="1" x14ac:dyDescent="0.25">
      <c r="A1301" s="1162"/>
      <c r="B1301" s="612">
        <v>2941</v>
      </c>
      <c r="C1301" s="613" t="s">
        <v>1834</v>
      </c>
      <c r="D1301" s="614">
        <v>1</v>
      </c>
    </row>
    <row r="1302" spans="1:4" ht="15" customHeight="1" x14ac:dyDescent="0.25">
      <c r="A1302" s="1162"/>
      <c r="B1302" s="612">
        <v>2910</v>
      </c>
      <c r="C1302" s="613" t="s">
        <v>1835</v>
      </c>
      <c r="D1302" s="614">
        <v>1</v>
      </c>
    </row>
    <row r="1303" spans="1:4" ht="15" customHeight="1" x14ac:dyDescent="0.25">
      <c r="A1303" s="1162"/>
      <c r="B1303" s="612">
        <v>2920</v>
      </c>
      <c r="C1303" s="613" t="s">
        <v>1836</v>
      </c>
      <c r="D1303" s="614">
        <v>1</v>
      </c>
    </row>
    <row r="1304" spans="1:4" ht="15" customHeight="1" x14ac:dyDescent="0.25">
      <c r="A1304" s="1162"/>
      <c r="B1304" s="612">
        <v>2901</v>
      </c>
      <c r="C1304" s="613" t="s">
        <v>1837</v>
      </c>
      <c r="D1304" s="614">
        <v>1</v>
      </c>
    </row>
    <row r="1305" spans="1:4" ht="15" customHeight="1" thickBot="1" x14ac:dyDescent="0.3">
      <c r="A1305" s="1163"/>
      <c r="B1305" s="605">
        <v>2927</v>
      </c>
      <c r="C1305" s="606" t="s">
        <v>912</v>
      </c>
      <c r="D1305" s="607">
        <v>1</v>
      </c>
    </row>
    <row r="1306" spans="1:4" x14ac:dyDescent="0.25">
      <c r="A1306" s="1151" t="s">
        <v>1838</v>
      </c>
      <c r="B1306" s="602">
        <v>2522</v>
      </c>
      <c r="C1306" s="603" t="s">
        <v>1839</v>
      </c>
      <c r="D1306" s="604">
        <v>1</v>
      </c>
    </row>
    <row r="1307" spans="1:4" x14ac:dyDescent="0.25">
      <c r="A1307" s="1158"/>
      <c r="B1307" s="612">
        <v>2541</v>
      </c>
      <c r="C1307" s="613" t="s">
        <v>1840</v>
      </c>
      <c r="D1307" s="614">
        <v>1</v>
      </c>
    </row>
    <row r="1308" spans="1:4" x14ac:dyDescent="0.25">
      <c r="A1308" s="1158"/>
      <c r="B1308" s="612">
        <v>2544</v>
      </c>
      <c r="C1308" s="613" t="s">
        <v>1841</v>
      </c>
      <c r="D1308" s="614">
        <v>1</v>
      </c>
    </row>
    <row r="1309" spans="1:4" x14ac:dyDescent="0.25">
      <c r="A1309" s="1158"/>
      <c r="B1309" s="612">
        <v>2519</v>
      </c>
      <c r="C1309" s="613" t="s">
        <v>1842</v>
      </c>
      <c r="D1309" s="614">
        <v>1</v>
      </c>
    </row>
    <row r="1310" spans="1:4" x14ac:dyDescent="0.25">
      <c r="A1310" s="1158"/>
      <c r="B1310" s="612">
        <v>2517</v>
      </c>
      <c r="C1310" s="613" t="s">
        <v>1843</v>
      </c>
      <c r="D1310" s="614">
        <v>1</v>
      </c>
    </row>
    <row r="1311" spans="1:4" x14ac:dyDescent="0.25">
      <c r="A1311" s="1158"/>
      <c r="B1311" s="612">
        <v>2538</v>
      </c>
      <c r="C1311" s="613" t="s">
        <v>1844</v>
      </c>
      <c r="D1311" s="614">
        <v>1</v>
      </c>
    </row>
    <row r="1312" spans="1:4" x14ac:dyDescent="0.25">
      <c r="A1312" s="1158"/>
      <c r="B1312" s="612">
        <v>2525</v>
      </c>
      <c r="C1312" s="613" t="s">
        <v>1845</v>
      </c>
      <c r="D1312" s="614">
        <v>1</v>
      </c>
    </row>
    <row r="1313" spans="1:4" x14ac:dyDescent="0.25">
      <c r="A1313" s="1158"/>
      <c r="B1313" s="612">
        <v>2515</v>
      </c>
      <c r="C1313" s="613" t="s">
        <v>1655</v>
      </c>
      <c r="D1313" s="614">
        <v>1</v>
      </c>
    </row>
    <row r="1314" spans="1:4" x14ac:dyDescent="0.25">
      <c r="A1314" s="1158"/>
      <c r="B1314" s="612">
        <v>2523</v>
      </c>
      <c r="C1314" s="613" t="s">
        <v>1846</v>
      </c>
      <c r="D1314" s="614">
        <v>1</v>
      </c>
    </row>
    <row r="1315" spans="1:4" ht="15" customHeight="1" x14ac:dyDescent="0.25">
      <c r="A1315" s="1158"/>
      <c r="B1315" s="612">
        <v>2549</v>
      </c>
      <c r="C1315" s="613" t="s">
        <v>1847</v>
      </c>
      <c r="D1315" s="614">
        <v>1</v>
      </c>
    </row>
    <row r="1316" spans="1:4" x14ac:dyDescent="0.25">
      <c r="A1316" s="1158"/>
      <c r="B1316" s="612">
        <v>2503</v>
      </c>
      <c r="C1316" s="613" t="s">
        <v>1848</v>
      </c>
      <c r="D1316" s="614">
        <v>1</v>
      </c>
    </row>
    <row r="1317" spans="1:4" x14ac:dyDescent="0.25">
      <c r="A1317" s="1158"/>
      <c r="B1317" s="612">
        <v>2524</v>
      </c>
      <c r="C1317" s="613" t="s">
        <v>983</v>
      </c>
      <c r="D1317" s="614">
        <v>1</v>
      </c>
    </row>
    <row r="1318" spans="1:4" x14ac:dyDescent="0.25">
      <c r="A1318" s="1158"/>
      <c r="B1318" s="612">
        <v>2536</v>
      </c>
      <c r="C1318" s="613" t="s">
        <v>1849</v>
      </c>
      <c r="D1318" s="614">
        <v>1</v>
      </c>
    </row>
    <row r="1319" spans="1:4" x14ac:dyDescent="0.25">
      <c r="A1319" s="1158"/>
      <c r="B1319" s="612">
        <v>2533</v>
      </c>
      <c r="C1319" s="613" t="s">
        <v>1850</v>
      </c>
      <c r="D1319" s="614">
        <v>1</v>
      </c>
    </row>
    <row r="1320" spans="1:4" x14ac:dyDescent="0.25">
      <c r="A1320" s="1158"/>
      <c r="B1320" s="612">
        <v>2508</v>
      </c>
      <c r="C1320" s="613" t="s">
        <v>1851</v>
      </c>
      <c r="D1320" s="614">
        <v>1</v>
      </c>
    </row>
    <row r="1321" spans="1:4" x14ac:dyDescent="0.25">
      <c r="A1321" s="1158"/>
      <c r="B1321" s="612">
        <v>2531</v>
      </c>
      <c r="C1321" s="613" t="s">
        <v>1852</v>
      </c>
      <c r="D1321" s="614">
        <v>1</v>
      </c>
    </row>
    <row r="1322" spans="1:4" x14ac:dyDescent="0.25">
      <c r="A1322" s="1158"/>
      <c r="B1322" s="612">
        <v>2511</v>
      </c>
      <c r="C1322" s="613" t="s">
        <v>1853</v>
      </c>
      <c r="D1322" s="614">
        <v>1</v>
      </c>
    </row>
    <row r="1323" spans="1:4" x14ac:dyDescent="0.25">
      <c r="A1323" s="1158"/>
      <c r="B1323" s="612">
        <v>2542</v>
      </c>
      <c r="C1323" s="613" t="s">
        <v>1854</v>
      </c>
      <c r="D1323" s="614">
        <v>1</v>
      </c>
    </row>
    <row r="1324" spans="1:4" x14ac:dyDescent="0.25">
      <c r="A1324" s="1158"/>
      <c r="B1324" s="612">
        <v>2502</v>
      </c>
      <c r="C1324" s="613" t="s">
        <v>1855</v>
      </c>
      <c r="D1324" s="614">
        <v>1</v>
      </c>
    </row>
    <row r="1325" spans="1:4" x14ac:dyDescent="0.25">
      <c r="A1325" s="1158"/>
      <c r="B1325" s="612">
        <v>2521</v>
      </c>
      <c r="C1325" s="613" t="s">
        <v>1246</v>
      </c>
      <c r="D1325" s="614">
        <v>1</v>
      </c>
    </row>
    <row r="1326" spans="1:4" x14ac:dyDescent="0.25">
      <c r="A1326" s="1158"/>
      <c r="B1326" s="612">
        <v>2550</v>
      </c>
      <c r="C1326" s="613" t="s">
        <v>1856</v>
      </c>
      <c r="D1326" s="614">
        <v>1</v>
      </c>
    </row>
    <row r="1327" spans="1:4" x14ac:dyDescent="0.25">
      <c r="A1327" s="1158"/>
      <c r="B1327" s="612">
        <v>2526</v>
      </c>
      <c r="C1327" s="613" t="s">
        <v>1857</v>
      </c>
      <c r="D1327" s="614">
        <v>1</v>
      </c>
    </row>
    <row r="1328" spans="1:4" x14ac:dyDescent="0.25">
      <c r="A1328" s="1158"/>
      <c r="B1328" s="612">
        <v>2512</v>
      </c>
      <c r="C1328" s="613" t="s">
        <v>1858</v>
      </c>
      <c r="D1328" s="614">
        <v>1</v>
      </c>
    </row>
    <row r="1329" spans="1:4" x14ac:dyDescent="0.25">
      <c r="A1329" s="1158"/>
      <c r="B1329" s="612">
        <v>2547</v>
      </c>
      <c r="C1329" s="613" t="s">
        <v>1435</v>
      </c>
      <c r="D1329" s="614">
        <v>1</v>
      </c>
    </row>
    <row r="1330" spans="1:4" x14ac:dyDescent="0.25">
      <c r="A1330" s="1158"/>
      <c r="B1330" s="612">
        <v>2530</v>
      </c>
      <c r="C1330" s="613" t="s">
        <v>1859</v>
      </c>
      <c r="D1330" s="614">
        <v>1</v>
      </c>
    </row>
    <row r="1331" spans="1:4" x14ac:dyDescent="0.25">
      <c r="A1331" s="1158"/>
      <c r="B1331" s="612">
        <v>2529</v>
      </c>
      <c r="C1331" s="613" t="s">
        <v>1860</v>
      </c>
      <c r="D1331" s="614">
        <v>1</v>
      </c>
    </row>
    <row r="1332" spans="1:4" x14ac:dyDescent="0.25">
      <c r="A1332" s="1158"/>
      <c r="B1332" s="612">
        <v>2528</v>
      </c>
      <c r="C1332" s="613" t="s">
        <v>667</v>
      </c>
      <c r="D1332" s="614">
        <v>1</v>
      </c>
    </row>
    <row r="1333" spans="1:4" x14ac:dyDescent="0.25">
      <c r="A1333" s="1158"/>
      <c r="B1333" s="612">
        <v>2500</v>
      </c>
      <c r="C1333" s="613" t="s">
        <v>1021</v>
      </c>
      <c r="D1333" s="614">
        <v>1</v>
      </c>
    </row>
    <row r="1334" spans="1:4" x14ac:dyDescent="0.25">
      <c r="A1334" s="1158"/>
      <c r="B1334" s="612">
        <v>2513</v>
      </c>
      <c r="C1334" s="613" t="s">
        <v>1861</v>
      </c>
      <c r="D1334" s="614">
        <v>1</v>
      </c>
    </row>
    <row r="1335" spans="1:4" x14ac:dyDescent="0.25">
      <c r="A1335" s="1158"/>
      <c r="B1335" s="612">
        <v>2548</v>
      </c>
      <c r="C1335" s="613" t="s">
        <v>1862</v>
      </c>
      <c r="D1335" s="614">
        <v>1</v>
      </c>
    </row>
    <row r="1336" spans="1:4" x14ac:dyDescent="0.25">
      <c r="A1336" s="1158"/>
      <c r="B1336" s="612">
        <v>2518</v>
      </c>
      <c r="C1336" s="613" t="s">
        <v>1863</v>
      </c>
      <c r="D1336" s="614">
        <v>1</v>
      </c>
    </row>
    <row r="1337" spans="1:4" x14ac:dyDescent="0.25">
      <c r="A1337" s="1158"/>
      <c r="B1337" s="612">
        <v>2505</v>
      </c>
      <c r="C1337" s="613" t="s">
        <v>1864</v>
      </c>
      <c r="D1337" s="614">
        <v>1</v>
      </c>
    </row>
    <row r="1338" spans="1:4" x14ac:dyDescent="0.25">
      <c r="A1338" s="1158"/>
      <c r="B1338" s="612">
        <v>2534</v>
      </c>
      <c r="C1338" s="613" t="s">
        <v>1865</v>
      </c>
      <c r="D1338" s="614">
        <v>1</v>
      </c>
    </row>
    <row r="1339" spans="1:4" x14ac:dyDescent="0.25">
      <c r="A1339" s="1158"/>
      <c r="B1339" s="612">
        <v>2539</v>
      </c>
      <c r="C1339" s="613" t="s">
        <v>1866</v>
      </c>
      <c r="D1339" s="614">
        <v>1</v>
      </c>
    </row>
    <row r="1340" spans="1:4" x14ac:dyDescent="0.25">
      <c r="A1340" s="1158"/>
      <c r="B1340" s="612">
        <v>2532</v>
      </c>
      <c r="C1340" s="613" t="s">
        <v>1199</v>
      </c>
      <c r="D1340" s="614">
        <v>1</v>
      </c>
    </row>
    <row r="1341" spans="1:4" x14ac:dyDescent="0.25">
      <c r="A1341" s="1158"/>
      <c r="B1341" s="612">
        <v>2537</v>
      </c>
      <c r="C1341" s="613" t="s">
        <v>1867</v>
      </c>
      <c r="D1341" s="614">
        <v>1</v>
      </c>
    </row>
    <row r="1342" spans="1:4" x14ac:dyDescent="0.25">
      <c r="A1342" s="1158"/>
      <c r="B1342" s="612">
        <v>2543</v>
      </c>
      <c r="C1342" s="613" t="s">
        <v>1868</v>
      </c>
      <c r="D1342" s="614">
        <v>1</v>
      </c>
    </row>
    <row r="1343" spans="1:4" x14ac:dyDescent="0.25">
      <c r="A1343" s="1158"/>
      <c r="B1343" s="612">
        <v>2509</v>
      </c>
      <c r="C1343" s="613" t="s">
        <v>1869</v>
      </c>
      <c r="D1343" s="614">
        <v>1</v>
      </c>
    </row>
    <row r="1344" spans="1:4" x14ac:dyDescent="0.25">
      <c r="A1344" s="1158"/>
      <c r="B1344" s="612">
        <v>2540</v>
      </c>
      <c r="C1344" s="613" t="s">
        <v>1870</v>
      </c>
      <c r="D1344" s="614">
        <v>1</v>
      </c>
    </row>
    <row r="1345" spans="1:4" x14ac:dyDescent="0.25">
      <c r="A1345" s="1158"/>
      <c r="B1345" s="612">
        <v>2527</v>
      </c>
      <c r="C1345" s="613" t="s">
        <v>1445</v>
      </c>
      <c r="D1345" s="614">
        <v>1</v>
      </c>
    </row>
    <row r="1346" spans="1:4" x14ac:dyDescent="0.25">
      <c r="A1346" s="1158"/>
      <c r="B1346" s="612">
        <v>2551</v>
      </c>
      <c r="C1346" s="613" t="s">
        <v>1508</v>
      </c>
      <c r="D1346" s="614">
        <v>1</v>
      </c>
    </row>
    <row r="1347" spans="1:4" x14ac:dyDescent="0.25">
      <c r="A1347" s="1158"/>
      <c r="B1347" s="612">
        <v>2516</v>
      </c>
      <c r="C1347" s="613" t="s">
        <v>1456</v>
      </c>
      <c r="D1347" s="614">
        <v>1</v>
      </c>
    </row>
    <row r="1348" spans="1:4" x14ac:dyDescent="0.25">
      <c r="A1348" s="1158"/>
      <c r="B1348" s="612">
        <v>2510</v>
      </c>
      <c r="C1348" s="613" t="s">
        <v>1385</v>
      </c>
      <c r="D1348" s="614">
        <v>1</v>
      </c>
    </row>
    <row r="1349" spans="1:4" ht="13.5" thickBot="1" x14ac:dyDescent="0.3">
      <c r="A1349" s="1159"/>
      <c r="B1349" s="605">
        <v>2520</v>
      </c>
      <c r="C1349" s="606" t="s">
        <v>1530</v>
      </c>
      <c r="D1349" s="607">
        <v>1</v>
      </c>
    </row>
    <row r="1350" spans="1:4" x14ac:dyDescent="0.25">
      <c r="A1350" s="1151" t="s">
        <v>1871</v>
      </c>
      <c r="B1350" s="602">
        <v>3021</v>
      </c>
      <c r="C1350" s="603" t="s">
        <v>1872</v>
      </c>
      <c r="D1350" s="604">
        <v>1</v>
      </c>
    </row>
    <row r="1351" spans="1:4" x14ac:dyDescent="0.25">
      <c r="A1351" s="1158"/>
      <c r="B1351" s="612">
        <v>3003</v>
      </c>
      <c r="C1351" s="613" t="s">
        <v>1873</v>
      </c>
      <c r="D1351" s="614">
        <v>1</v>
      </c>
    </row>
    <row r="1352" spans="1:4" x14ac:dyDescent="0.25">
      <c r="A1352" s="1158"/>
      <c r="B1352" s="612">
        <v>3006</v>
      </c>
      <c r="C1352" s="613" t="s">
        <v>1874</v>
      </c>
      <c r="D1352" s="614">
        <v>1</v>
      </c>
    </row>
    <row r="1353" spans="1:4" x14ac:dyDescent="0.25">
      <c r="A1353" s="1158"/>
      <c r="B1353" s="612">
        <v>3013</v>
      </c>
      <c r="C1353" s="613" t="s">
        <v>1875</v>
      </c>
      <c r="D1353" s="614">
        <v>1</v>
      </c>
    </row>
    <row r="1354" spans="1:4" x14ac:dyDescent="0.25">
      <c r="A1354" s="1158"/>
      <c r="B1354" s="612">
        <v>3000</v>
      </c>
      <c r="C1354" s="613" t="s">
        <v>2291</v>
      </c>
      <c r="D1354" s="614">
        <v>1</v>
      </c>
    </row>
    <row r="1355" spans="1:4" x14ac:dyDescent="0.25">
      <c r="A1355" s="1158"/>
      <c r="B1355" s="612">
        <v>3004</v>
      </c>
      <c r="C1355" s="613" t="s">
        <v>1876</v>
      </c>
      <c r="D1355" s="614">
        <v>1</v>
      </c>
    </row>
    <row r="1356" spans="1:4" x14ac:dyDescent="0.25">
      <c r="A1356" s="1158"/>
      <c r="B1356" s="612">
        <v>3016</v>
      </c>
      <c r="C1356" s="613" t="s">
        <v>1877</v>
      </c>
      <c r="D1356" s="614">
        <v>1</v>
      </c>
    </row>
    <row r="1357" spans="1:4" x14ac:dyDescent="0.25">
      <c r="A1357" s="1158"/>
      <c r="B1357" s="612">
        <v>3018</v>
      </c>
      <c r="C1357" s="613" t="s">
        <v>1878</v>
      </c>
      <c r="D1357" s="614">
        <v>1</v>
      </c>
    </row>
    <row r="1358" spans="1:4" x14ac:dyDescent="0.25">
      <c r="A1358" s="1158"/>
      <c r="B1358" s="612">
        <v>3012</v>
      </c>
      <c r="C1358" s="613" t="s">
        <v>2292</v>
      </c>
      <c r="D1358" s="614">
        <v>1</v>
      </c>
    </row>
    <row r="1359" spans="1:4" ht="13.5" thickBot="1" x14ac:dyDescent="0.3">
      <c r="A1359" s="1159"/>
      <c r="B1359" s="605">
        <v>3019</v>
      </c>
      <c r="C1359" s="606" t="s">
        <v>1879</v>
      </c>
      <c r="D1359" s="607">
        <v>1</v>
      </c>
    </row>
    <row r="1360" spans="1:4" x14ac:dyDescent="0.25">
      <c r="A1360" s="1151" t="s">
        <v>1880</v>
      </c>
      <c r="B1360" s="602">
        <v>206</v>
      </c>
      <c r="C1360" s="603" t="s">
        <v>1881</v>
      </c>
      <c r="D1360" s="604">
        <v>1</v>
      </c>
    </row>
    <row r="1361" spans="1:4" x14ac:dyDescent="0.25">
      <c r="A1361" s="1158"/>
      <c r="B1361" s="612">
        <v>228</v>
      </c>
      <c r="C1361" s="613" t="s">
        <v>1663</v>
      </c>
      <c r="D1361" s="614">
        <v>1</v>
      </c>
    </row>
    <row r="1362" spans="1:4" x14ac:dyDescent="0.25">
      <c r="A1362" s="1158"/>
      <c r="B1362" s="612">
        <v>219</v>
      </c>
      <c r="C1362" s="613" t="s">
        <v>1882</v>
      </c>
      <c r="D1362" s="614">
        <v>1</v>
      </c>
    </row>
    <row r="1363" spans="1:4" x14ac:dyDescent="0.25">
      <c r="A1363" s="1158"/>
      <c r="B1363" s="612">
        <v>220</v>
      </c>
      <c r="C1363" s="613" t="s">
        <v>1883</v>
      </c>
      <c r="D1363" s="614">
        <v>1</v>
      </c>
    </row>
    <row r="1364" spans="1:4" x14ac:dyDescent="0.25">
      <c r="A1364" s="1158"/>
      <c r="B1364" s="612">
        <v>204</v>
      </c>
      <c r="C1364" s="613" t="s">
        <v>1884</v>
      </c>
      <c r="D1364" s="614">
        <v>1</v>
      </c>
    </row>
    <row r="1365" spans="1:4" ht="13.5" thickBot="1" x14ac:dyDescent="0.3">
      <c r="A1365" s="1159"/>
      <c r="B1365" s="605">
        <v>230</v>
      </c>
      <c r="C1365" s="606" t="s">
        <v>1885</v>
      </c>
      <c r="D1365" s="607">
        <v>1</v>
      </c>
    </row>
    <row r="1366" spans="1:4" x14ac:dyDescent="0.25">
      <c r="A1366" s="1151" t="s">
        <v>1886</v>
      </c>
      <c r="B1366" s="602">
        <v>3213</v>
      </c>
      <c r="C1366" s="603" t="s">
        <v>2293</v>
      </c>
      <c r="D1366" s="604">
        <v>1</v>
      </c>
    </row>
    <row r="1367" spans="1:4" x14ac:dyDescent="0.25">
      <c r="A1367" s="1158"/>
      <c r="B1367" s="612">
        <v>3205</v>
      </c>
      <c r="C1367" s="613" t="s">
        <v>1887</v>
      </c>
      <c r="D1367" s="614">
        <v>1</v>
      </c>
    </row>
    <row r="1368" spans="1:4" x14ac:dyDescent="0.25">
      <c r="A1368" s="1158"/>
      <c r="B1368" s="612">
        <v>3210</v>
      </c>
      <c r="C1368" s="613" t="s">
        <v>1888</v>
      </c>
      <c r="D1368" s="614">
        <v>1</v>
      </c>
    </row>
    <row r="1369" spans="1:4" x14ac:dyDescent="0.25">
      <c r="A1369" s="1158"/>
      <c r="B1369" s="612">
        <v>3224</v>
      </c>
      <c r="C1369" s="613" t="s">
        <v>1889</v>
      </c>
      <c r="D1369" s="614">
        <v>1</v>
      </c>
    </row>
    <row r="1370" spans="1:4" x14ac:dyDescent="0.25">
      <c r="A1370" s="1158"/>
      <c r="B1370" s="612">
        <v>3217</v>
      </c>
      <c r="C1370" s="613" t="s">
        <v>1890</v>
      </c>
      <c r="D1370" s="614">
        <v>1</v>
      </c>
    </row>
    <row r="1371" spans="1:4" x14ac:dyDescent="0.25">
      <c r="A1371" s="1158"/>
      <c r="B1371" s="612">
        <v>3216</v>
      </c>
      <c r="C1371" s="613" t="s">
        <v>1891</v>
      </c>
      <c r="D1371" s="614">
        <v>1</v>
      </c>
    </row>
    <row r="1372" spans="1:4" x14ac:dyDescent="0.25">
      <c r="A1372" s="1158"/>
      <c r="B1372" s="612">
        <v>3214</v>
      </c>
      <c r="C1372" s="613" t="s">
        <v>2294</v>
      </c>
      <c r="D1372" s="614">
        <v>1</v>
      </c>
    </row>
    <row r="1373" spans="1:4" x14ac:dyDescent="0.25">
      <c r="A1373" s="1158"/>
      <c r="B1373" s="612">
        <v>3221</v>
      </c>
      <c r="C1373" s="613" t="s">
        <v>2295</v>
      </c>
      <c r="D1373" s="614">
        <v>1</v>
      </c>
    </row>
    <row r="1374" spans="1:4" x14ac:dyDescent="0.25">
      <c r="A1374" s="1158"/>
      <c r="B1374" s="612">
        <v>3225</v>
      </c>
      <c r="C1374" s="613" t="s">
        <v>2296</v>
      </c>
      <c r="D1374" s="614">
        <v>1</v>
      </c>
    </row>
    <row r="1375" spans="1:4" x14ac:dyDescent="0.25">
      <c r="A1375" s="1158"/>
      <c r="B1375" s="612">
        <v>3222</v>
      </c>
      <c r="C1375" s="613" t="s">
        <v>1892</v>
      </c>
      <c r="D1375" s="614">
        <v>1</v>
      </c>
    </row>
    <row r="1376" spans="1:4" x14ac:dyDescent="0.25">
      <c r="A1376" s="1158"/>
      <c r="B1376" s="612">
        <v>3223</v>
      </c>
      <c r="C1376" s="613" t="s">
        <v>2297</v>
      </c>
      <c r="D1376" s="614">
        <v>1</v>
      </c>
    </row>
    <row r="1377" spans="1:4" x14ac:dyDescent="0.25">
      <c r="A1377" s="1158"/>
      <c r="B1377" s="612">
        <v>3219</v>
      </c>
      <c r="C1377" s="613" t="s">
        <v>2298</v>
      </c>
      <c r="D1377" s="614">
        <v>1</v>
      </c>
    </row>
    <row r="1378" spans="1:4" x14ac:dyDescent="0.25">
      <c r="A1378" s="1158"/>
      <c r="B1378" s="612">
        <v>3212</v>
      </c>
      <c r="C1378" s="613" t="s">
        <v>1893</v>
      </c>
      <c r="D1378" s="614">
        <v>1</v>
      </c>
    </row>
    <row r="1379" spans="1:4" x14ac:dyDescent="0.25">
      <c r="A1379" s="1158"/>
      <c r="B1379" s="612">
        <v>3220</v>
      </c>
      <c r="C1379" s="613" t="s">
        <v>2299</v>
      </c>
      <c r="D1379" s="614">
        <v>1</v>
      </c>
    </row>
    <row r="1380" spans="1:4" x14ac:dyDescent="0.25">
      <c r="A1380" s="1158"/>
      <c r="B1380" s="612">
        <v>3207</v>
      </c>
      <c r="C1380" s="613" t="s">
        <v>2300</v>
      </c>
      <c r="D1380" s="614">
        <v>1</v>
      </c>
    </row>
    <row r="1381" spans="1:4" x14ac:dyDescent="0.25">
      <c r="A1381" s="1158"/>
      <c r="B1381" s="612">
        <v>3202</v>
      </c>
      <c r="C1381" s="613" t="s">
        <v>755</v>
      </c>
      <c r="D1381" s="614">
        <v>1</v>
      </c>
    </row>
    <row r="1382" spans="1:4" x14ac:dyDescent="0.25">
      <c r="A1382" s="1158"/>
      <c r="B1382" s="612">
        <v>3206</v>
      </c>
      <c r="C1382" s="613" t="s">
        <v>718</v>
      </c>
      <c r="D1382" s="614">
        <v>1</v>
      </c>
    </row>
    <row r="1383" spans="1:4" x14ac:dyDescent="0.25">
      <c r="A1383" s="1158"/>
      <c r="B1383" s="612">
        <v>3208</v>
      </c>
      <c r="C1383" s="613" t="s">
        <v>1894</v>
      </c>
      <c r="D1383" s="614">
        <v>1</v>
      </c>
    </row>
    <row r="1384" spans="1:4" x14ac:dyDescent="0.25">
      <c r="A1384" s="1158"/>
      <c r="B1384" s="612">
        <v>3209</v>
      </c>
      <c r="C1384" s="613" t="s">
        <v>1895</v>
      </c>
      <c r="D1384" s="614">
        <v>1</v>
      </c>
    </row>
    <row r="1385" spans="1:4" x14ac:dyDescent="0.25">
      <c r="A1385" s="1158"/>
      <c r="B1385" s="612">
        <v>3226</v>
      </c>
      <c r="C1385" s="613" t="s">
        <v>2301</v>
      </c>
      <c r="D1385" s="614">
        <v>1</v>
      </c>
    </row>
    <row r="1386" spans="1:4" x14ac:dyDescent="0.25">
      <c r="A1386" s="1158"/>
      <c r="B1386" s="612">
        <v>3215</v>
      </c>
      <c r="C1386" s="613" t="s">
        <v>1896</v>
      </c>
      <c r="D1386" s="614">
        <v>1</v>
      </c>
    </row>
    <row r="1387" spans="1:4" x14ac:dyDescent="0.25">
      <c r="A1387" s="1158"/>
      <c r="B1387" s="612">
        <v>3203</v>
      </c>
      <c r="C1387" s="613" t="s">
        <v>1897</v>
      </c>
      <c r="D1387" s="614">
        <v>1</v>
      </c>
    </row>
    <row r="1388" spans="1:4" x14ac:dyDescent="0.25">
      <c r="A1388" s="1158"/>
      <c r="B1388" s="612">
        <v>3204</v>
      </c>
      <c r="C1388" s="613" t="s">
        <v>1898</v>
      </c>
      <c r="D1388" s="614">
        <v>1</v>
      </c>
    </row>
    <row r="1389" spans="1:4" x14ac:dyDescent="0.25">
      <c r="A1389" s="1158"/>
      <c r="B1389" s="612">
        <v>3200</v>
      </c>
      <c r="C1389" s="613" t="s">
        <v>1899</v>
      </c>
      <c r="D1389" s="614">
        <v>1</v>
      </c>
    </row>
    <row r="1390" spans="1:4" x14ac:dyDescent="0.25">
      <c r="A1390" s="1158"/>
      <c r="B1390" s="612">
        <v>3211</v>
      </c>
      <c r="C1390" s="613" t="s">
        <v>1900</v>
      </c>
      <c r="D1390" s="614">
        <v>1</v>
      </c>
    </row>
    <row r="1391" spans="1:4" ht="13.5" thickBot="1" x14ac:dyDescent="0.3">
      <c r="A1391" s="1159"/>
      <c r="B1391" s="605">
        <v>3218</v>
      </c>
      <c r="C1391" s="606" t="s">
        <v>665</v>
      </c>
      <c r="D1391" s="607">
        <v>1</v>
      </c>
    </row>
    <row r="1392" spans="1:4" x14ac:dyDescent="0.25">
      <c r="A1392" s="1151" t="s">
        <v>1901</v>
      </c>
      <c r="B1392" s="602">
        <v>522</v>
      </c>
      <c r="C1392" s="603" t="s">
        <v>1902</v>
      </c>
      <c r="D1392" s="604">
        <v>1</v>
      </c>
    </row>
    <row r="1393" spans="1:4" x14ac:dyDescent="0.25">
      <c r="A1393" s="1158"/>
      <c r="B1393" s="612">
        <v>512</v>
      </c>
      <c r="C1393" s="613" t="s">
        <v>1903</v>
      </c>
      <c r="D1393" s="614">
        <v>1</v>
      </c>
    </row>
    <row r="1394" spans="1:4" x14ac:dyDescent="0.25">
      <c r="A1394" s="1158"/>
      <c r="B1394" s="612">
        <v>520</v>
      </c>
      <c r="C1394" s="613" t="s">
        <v>1904</v>
      </c>
      <c r="D1394" s="614">
        <v>1</v>
      </c>
    </row>
    <row r="1395" spans="1:4" x14ac:dyDescent="0.25">
      <c r="A1395" s="1158"/>
      <c r="B1395" s="612">
        <v>537</v>
      </c>
      <c r="C1395" s="613" t="s">
        <v>1013</v>
      </c>
      <c r="D1395" s="614">
        <v>1</v>
      </c>
    </row>
    <row r="1396" spans="1:4" x14ac:dyDescent="0.25">
      <c r="A1396" s="1158"/>
      <c r="B1396" s="612">
        <v>501</v>
      </c>
      <c r="C1396" s="613" t="s">
        <v>1905</v>
      </c>
      <c r="D1396" s="614">
        <v>1</v>
      </c>
    </row>
    <row r="1397" spans="1:4" x14ac:dyDescent="0.25">
      <c r="A1397" s="1158"/>
      <c r="B1397" s="612">
        <v>534</v>
      </c>
      <c r="C1397" s="613" t="s">
        <v>1906</v>
      </c>
      <c r="D1397" s="614">
        <v>1</v>
      </c>
    </row>
    <row r="1398" spans="1:4" x14ac:dyDescent="0.25">
      <c r="A1398" s="1158"/>
      <c r="B1398" s="612">
        <v>526</v>
      </c>
      <c r="C1398" s="613" t="s">
        <v>1907</v>
      </c>
      <c r="D1398" s="614">
        <v>1</v>
      </c>
    </row>
    <row r="1399" spans="1:4" x14ac:dyDescent="0.25">
      <c r="A1399" s="1158"/>
      <c r="B1399" s="612">
        <v>509</v>
      </c>
      <c r="C1399" s="613" t="s">
        <v>1908</v>
      </c>
      <c r="D1399" s="614">
        <v>1</v>
      </c>
    </row>
    <row r="1400" spans="1:4" x14ac:dyDescent="0.25">
      <c r="A1400" s="1158"/>
      <c r="B1400" s="612">
        <v>511</v>
      </c>
      <c r="C1400" s="613" t="s">
        <v>1909</v>
      </c>
      <c r="D1400" s="614">
        <v>1</v>
      </c>
    </row>
    <row r="1401" spans="1:4" x14ac:dyDescent="0.25">
      <c r="A1401" s="1158"/>
      <c r="B1401" s="612">
        <v>532</v>
      </c>
      <c r="C1401" s="613" t="s">
        <v>1910</v>
      </c>
      <c r="D1401" s="614">
        <v>1</v>
      </c>
    </row>
    <row r="1402" spans="1:4" x14ac:dyDescent="0.25">
      <c r="A1402" s="1158"/>
      <c r="B1402" s="612">
        <v>514</v>
      </c>
      <c r="C1402" s="613" t="s">
        <v>738</v>
      </c>
      <c r="D1402" s="614">
        <v>1</v>
      </c>
    </row>
    <row r="1403" spans="1:4" x14ac:dyDescent="0.25">
      <c r="A1403" s="1158"/>
      <c r="B1403" s="612">
        <v>535</v>
      </c>
      <c r="C1403" s="613" t="s">
        <v>870</v>
      </c>
      <c r="D1403" s="614">
        <v>1</v>
      </c>
    </row>
    <row r="1404" spans="1:4" x14ac:dyDescent="0.25">
      <c r="A1404" s="1158"/>
      <c r="B1404" s="612">
        <v>504</v>
      </c>
      <c r="C1404" s="613" t="s">
        <v>1911</v>
      </c>
      <c r="D1404" s="614">
        <v>1</v>
      </c>
    </row>
    <row r="1405" spans="1:4" x14ac:dyDescent="0.25">
      <c r="A1405" s="1158"/>
      <c r="B1405" s="612">
        <v>510</v>
      </c>
      <c r="C1405" s="613" t="s">
        <v>1912</v>
      </c>
      <c r="D1405" s="614">
        <v>1</v>
      </c>
    </row>
    <row r="1406" spans="1:4" x14ac:dyDescent="0.25">
      <c r="A1406" s="1158"/>
      <c r="B1406" s="612">
        <v>503</v>
      </c>
      <c r="C1406" s="613" t="s">
        <v>1913</v>
      </c>
      <c r="D1406" s="614">
        <v>1</v>
      </c>
    </row>
    <row r="1407" spans="1:4" x14ac:dyDescent="0.25">
      <c r="A1407" s="1158"/>
      <c r="B1407" s="612">
        <v>539</v>
      </c>
      <c r="C1407" s="613" t="s">
        <v>1914</v>
      </c>
      <c r="D1407" s="614">
        <v>1</v>
      </c>
    </row>
    <row r="1408" spans="1:4" x14ac:dyDescent="0.25">
      <c r="A1408" s="1158"/>
      <c r="B1408" s="612">
        <v>513</v>
      </c>
      <c r="C1408" s="613" t="s">
        <v>1915</v>
      </c>
      <c r="D1408" s="614">
        <v>1</v>
      </c>
    </row>
    <row r="1409" spans="1:4" x14ac:dyDescent="0.25">
      <c r="A1409" s="1158"/>
      <c r="B1409" s="612">
        <v>536</v>
      </c>
      <c r="C1409" s="613" t="s">
        <v>1916</v>
      </c>
      <c r="D1409" s="614">
        <v>1</v>
      </c>
    </row>
    <row r="1410" spans="1:4" x14ac:dyDescent="0.25">
      <c r="A1410" s="1158"/>
      <c r="B1410" s="612">
        <v>519</v>
      </c>
      <c r="C1410" s="613" t="s">
        <v>1917</v>
      </c>
      <c r="D1410" s="614">
        <v>1</v>
      </c>
    </row>
    <row r="1411" spans="1:4" x14ac:dyDescent="0.25">
      <c r="A1411" s="1158"/>
      <c r="B1411" s="612">
        <v>515</v>
      </c>
      <c r="C1411" s="613" t="s">
        <v>864</v>
      </c>
      <c r="D1411" s="614">
        <v>1</v>
      </c>
    </row>
    <row r="1412" spans="1:4" x14ac:dyDescent="0.25">
      <c r="A1412" s="1158"/>
      <c r="B1412" s="612">
        <v>502</v>
      </c>
      <c r="C1412" s="613" t="s">
        <v>1918</v>
      </c>
      <c r="D1412" s="614">
        <v>1</v>
      </c>
    </row>
    <row r="1413" spans="1:4" x14ac:dyDescent="0.25">
      <c r="A1413" s="1158"/>
      <c r="B1413" s="612">
        <v>507</v>
      </c>
      <c r="C1413" s="613" t="s">
        <v>1919</v>
      </c>
      <c r="D1413" s="614">
        <v>1</v>
      </c>
    </row>
    <row r="1414" spans="1:4" x14ac:dyDescent="0.25">
      <c r="A1414" s="1158"/>
      <c r="B1414" s="612">
        <v>518</v>
      </c>
      <c r="C1414" s="613" t="s">
        <v>1920</v>
      </c>
      <c r="D1414" s="614">
        <v>1</v>
      </c>
    </row>
    <row r="1415" spans="1:4" x14ac:dyDescent="0.25">
      <c r="A1415" s="1158"/>
      <c r="B1415" s="612">
        <v>533</v>
      </c>
      <c r="C1415" s="613" t="s">
        <v>1921</v>
      </c>
      <c r="D1415" s="614">
        <v>1</v>
      </c>
    </row>
    <row r="1416" spans="1:4" x14ac:dyDescent="0.25">
      <c r="A1416" s="1158"/>
      <c r="B1416" s="612">
        <v>517</v>
      </c>
      <c r="C1416" s="613" t="s">
        <v>1922</v>
      </c>
      <c r="D1416" s="614">
        <v>1</v>
      </c>
    </row>
    <row r="1417" spans="1:4" x14ac:dyDescent="0.25">
      <c r="A1417" s="1158"/>
      <c r="B1417" s="612">
        <v>523</v>
      </c>
      <c r="C1417" s="613" t="s">
        <v>1923</v>
      </c>
      <c r="D1417" s="614">
        <v>1</v>
      </c>
    </row>
    <row r="1418" spans="1:4" x14ac:dyDescent="0.25">
      <c r="A1418" s="1158"/>
      <c r="B1418" s="612">
        <v>527</v>
      </c>
      <c r="C1418" s="613" t="s">
        <v>1924</v>
      </c>
      <c r="D1418" s="614">
        <v>1</v>
      </c>
    </row>
    <row r="1419" spans="1:4" x14ac:dyDescent="0.25">
      <c r="A1419" s="1158"/>
      <c r="B1419" s="612">
        <v>531</v>
      </c>
      <c r="C1419" s="613" t="s">
        <v>1592</v>
      </c>
      <c r="D1419" s="614">
        <v>1</v>
      </c>
    </row>
    <row r="1420" spans="1:4" x14ac:dyDescent="0.25">
      <c r="A1420" s="1158"/>
      <c r="B1420" s="612">
        <v>508</v>
      </c>
      <c r="C1420" s="613" t="s">
        <v>1925</v>
      </c>
      <c r="D1420" s="614">
        <v>1</v>
      </c>
    </row>
    <row r="1421" spans="1:4" x14ac:dyDescent="0.25">
      <c r="A1421" s="1158"/>
      <c r="B1421" s="612">
        <v>516</v>
      </c>
      <c r="C1421" s="613" t="s">
        <v>1926</v>
      </c>
      <c r="D1421" s="614">
        <v>1</v>
      </c>
    </row>
    <row r="1422" spans="1:4" x14ac:dyDescent="0.25">
      <c r="A1422" s="1158"/>
      <c r="B1422" s="612">
        <v>529</v>
      </c>
      <c r="C1422" s="613" t="s">
        <v>1927</v>
      </c>
      <c r="D1422" s="614">
        <v>1</v>
      </c>
    </row>
    <row r="1423" spans="1:4" x14ac:dyDescent="0.25">
      <c r="A1423" s="1158"/>
      <c r="B1423" s="612">
        <v>521</v>
      </c>
      <c r="C1423" s="613" t="s">
        <v>1272</v>
      </c>
      <c r="D1423" s="614">
        <v>1</v>
      </c>
    </row>
    <row r="1424" spans="1:4" x14ac:dyDescent="0.25">
      <c r="A1424" s="1158"/>
      <c r="B1424" s="612">
        <v>528</v>
      </c>
      <c r="C1424" s="613" t="s">
        <v>1928</v>
      </c>
      <c r="D1424" s="614">
        <v>1</v>
      </c>
    </row>
    <row r="1425" spans="1:4" x14ac:dyDescent="0.25">
      <c r="A1425" s="1158"/>
      <c r="B1425" s="612">
        <v>540</v>
      </c>
      <c r="C1425" s="613" t="s">
        <v>1929</v>
      </c>
      <c r="D1425" s="614">
        <v>1</v>
      </c>
    </row>
    <row r="1426" spans="1:4" x14ac:dyDescent="0.25">
      <c r="A1426" s="1158"/>
      <c r="B1426" s="612">
        <v>500</v>
      </c>
      <c r="C1426" s="613" t="s">
        <v>1930</v>
      </c>
      <c r="D1426" s="614">
        <v>1</v>
      </c>
    </row>
    <row r="1427" spans="1:4" x14ac:dyDescent="0.25">
      <c r="A1427" s="1158"/>
      <c r="B1427" s="612">
        <v>538</v>
      </c>
      <c r="C1427" s="613" t="s">
        <v>1931</v>
      </c>
      <c r="D1427" s="614">
        <v>1</v>
      </c>
    </row>
    <row r="1428" spans="1:4" x14ac:dyDescent="0.25">
      <c r="A1428" s="1158"/>
      <c r="B1428" s="612">
        <v>505</v>
      </c>
      <c r="C1428" s="613" t="s">
        <v>1311</v>
      </c>
      <c r="D1428" s="614">
        <v>1</v>
      </c>
    </row>
    <row r="1429" spans="1:4" x14ac:dyDescent="0.25">
      <c r="A1429" s="1158"/>
      <c r="B1429" s="612">
        <v>524</v>
      </c>
      <c r="C1429" s="613" t="s">
        <v>1932</v>
      </c>
      <c r="D1429" s="614">
        <v>1</v>
      </c>
    </row>
    <row r="1430" spans="1:4" x14ac:dyDescent="0.25">
      <c r="A1430" s="1158"/>
      <c r="B1430" s="612">
        <v>506</v>
      </c>
      <c r="C1430" s="613" t="s">
        <v>1933</v>
      </c>
      <c r="D1430" s="614">
        <v>1</v>
      </c>
    </row>
    <row r="1431" spans="1:4" x14ac:dyDescent="0.25">
      <c r="A1431" s="1158"/>
      <c r="B1431" s="612">
        <v>525</v>
      </c>
      <c r="C1431" s="613" t="s">
        <v>743</v>
      </c>
      <c r="D1431" s="614">
        <v>1</v>
      </c>
    </row>
    <row r="1432" spans="1:4" ht="13.5" thickBot="1" x14ac:dyDescent="0.3">
      <c r="A1432" s="1159"/>
      <c r="B1432" s="605">
        <v>530</v>
      </c>
      <c r="C1432" s="606" t="s">
        <v>1685</v>
      </c>
      <c r="D1432" s="607">
        <v>1</v>
      </c>
    </row>
    <row r="1433" spans="1:4" ht="13.5" customHeight="1" x14ac:dyDescent="0.25">
      <c r="A1433" s="1151" t="s">
        <v>1934</v>
      </c>
      <c r="B1433" s="602">
        <v>5850</v>
      </c>
      <c r="C1433" s="603" t="s">
        <v>1935</v>
      </c>
      <c r="D1433" s="604">
        <v>1</v>
      </c>
    </row>
    <row r="1434" spans="1:4" ht="13.5" customHeight="1" x14ac:dyDescent="0.25">
      <c r="A1434" s="1158"/>
      <c r="B1434" s="612">
        <v>5805</v>
      </c>
      <c r="C1434" s="613" t="s">
        <v>1936</v>
      </c>
      <c r="D1434" s="614">
        <v>1</v>
      </c>
    </row>
    <row r="1435" spans="1:4" ht="13.5" customHeight="1" x14ac:dyDescent="0.25">
      <c r="A1435" s="1158"/>
      <c r="B1435" s="612">
        <v>5807</v>
      </c>
      <c r="C1435" s="613" t="s">
        <v>687</v>
      </c>
      <c r="D1435" s="614">
        <v>1</v>
      </c>
    </row>
    <row r="1436" spans="1:4" ht="13.5" customHeight="1" x14ac:dyDescent="0.25">
      <c r="A1436" s="1158"/>
      <c r="B1436" s="612">
        <v>5828</v>
      </c>
      <c r="C1436" s="613" t="s">
        <v>1937</v>
      </c>
      <c r="D1436" s="614">
        <v>1</v>
      </c>
    </row>
    <row r="1437" spans="1:4" ht="13.5" customHeight="1" x14ac:dyDescent="0.25">
      <c r="A1437" s="1158"/>
      <c r="B1437" s="612">
        <v>5843</v>
      </c>
      <c r="C1437" s="613" t="s">
        <v>1938</v>
      </c>
      <c r="D1437" s="614">
        <v>1</v>
      </c>
    </row>
    <row r="1438" spans="1:4" ht="13.5" customHeight="1" x14ac:dyDescent="0.25">
      <c r="A1438" s="1158"/>
      <c r="B1438" s="612">
        <v>5836</v>
      </c>
      <c r="C1438" s="613" t="s">
        <v>1939</v>
      </c>
      <c r="D1438" s="614">
        <v>1</v>
      </c>
    </row>
    <row r="1439" spans="1:4" ht="13.5" customHeight="1" x14ac:dyDescent="0.25">
      <c r="A1439" s="1158"/>
      <c r="B1439" s="612">
        <v>5804</v>
      </c>
      <c r="C1439" s="613" t="s">
        <v>1940</v>
      </c>
      <c r="D1439" s="614">
        <v>1</v>
      </c>
    </row>
    <row r="1440" spans="1:4" ht="13.5" customHeight="1" x14ac:dyDescent="0.25">
      <c r="A1440" s="1158"/>
      <c r="B1440" s="612">
        <v>5812</v>
      </c>
      <c r="C1440" s="613" t="s">
        <v>1941</v>
      </c>
      <c r="D1440" s="614">
        <v>1</v>
      </c>
    </row>
    <row r="1441" spans="1:4" ht="13.5" customHeight="1" x14ac:dyDescent="0.25">
      <c r="A1441" s="1158"/>
      <c r="B1441" s="612">
        <v>5844</v>
      </c>
      <c r="C1441" s="613" t="s">
        <v>1942</v>
      </c>
      <c r="D1441" s="614">
        <v>1</v>
      </c>
    </row>
    <row r="1442" spans="1:4" ht="13.5" customHeight="1" x14ac:dyDescent="0.25">
      <c r="A1442" s="1158"/>
      <c r="B1442" s="612">
        <v>5849</v>
      </c>
      <c r="C1442" s="613" t="s">
        <v>1943</v>
      </c>
      <c r="D1442" s="614">
        <v>1</v>
      </c>
    </row>
    <row r="1443" spans="1:4" ht="13.5" customHeight="1" x14ac:dyDescent="0.25">
      <c r="A1443" s="1158"/>
      <c r="B1443" s="612">
        <v>5825</v>
      </c>
      <c r="C1443" s="613" t="s">
        <v>1584</v>
      </c>
      <c r="D1443" s="614">
        <v>1</v>
      </c>
    </row>
    <row r="1444" spans="1:4" ht="13.5" customHeight="1" x14ac:dyDescent="0.25">
      <c r="A1444" s="1158"/>
      <c r="B1444" s="612">
        <v>5826</v>
      </c>
      <c r="C1444" s="613" t="s">
        <v>1944</v>
      </c>
      <c r="D1444" s="614">
        <v>1</v>
      </c>
    </row>
    <row r="1445" spans="1:4" ht="13.5" customHeight="1" x14ac:dyDescent="0.25">
      <c r="A1445" s="1158"/>
      <c r="B1445" s="612">
        <v>5802</v>
      </c>
      <c r="C1445" s="613" t="s">
        <v>1945</v>
      </c>
      <c r="D1445" s="614">
        <v>1</v>
      </c>
    </row>
    <row r="1446" spans="1:4" ht="13.5" customHeight="1" x14ac:dyDescent="0.25">
      <c r="A1446" s="1158"/>
      <c r="B1446" s="612">
        <v>5848</v>
      </c>
      <c r="C1446" s="613" t="s">
        <v>1946</v>
      </c>
      <c r="D1446" s="614">
        <v>1</v>
      </c>
    </row>
    <row r="1447" spans="1:4" ht="13.5" customHeight="1" x14ac:dyDescent="0.25">
      <c r="A1447" s="1158"/>
      <c r="B1447" s="612">
        <v>5833</v>
      </c>
      <c r="C1447" s="613" t="s">
        <v>691</v>
      </c>
      <c r="D1447" s="614">
        <v>1</v>
      </c>
    </row>
    <row r="1448" spans="1:4" ht="13.5" customHeight="1" x14ac:dyDescent="0.25">
      <c r="A1448" s="1158"/>
      <c r="B1448" s="612">
        <v>5847</v>
      </c>
      <c r="C1448" s="613" t="s">
        <v>1947</v>
      </c>
      <c r="D1448" s="614">
        <v>1</v>
      </c>
    </row>
    <row r="1449" spans="1:4" ht="13.5" customHeight="1" x14ac:dyDescent="0.25">
      <c r="A1449" s="1158"/>
      <c r="B1449" s="612">
        <v>5823</v>
      </c>
      <c r="C1449" s="613" t="s">
        <v>1948</v>
      </c>
      <c r="D1449" s="614">
        <v>1</v>
      </c>
    </row>
    <row r="1450" spans="1:4" ht="13.5" customHeight="1" x14ac:dyDescent="0.25">
      <c r="A1450" s="1158"/>
      <c r="B1450" s="612">
        <v>5837</v>
      </c>
      <c r="C1450" s="613" t="s">
        <v>1949</v>
      </c>
      <c r="D1450" s="614">
        <v>1</v>
      </c>
    </row>
    <row r="1451" spans="1:4" ht="13.5" customHeight="1" x14ac:dyDescent="0.25">
      <c r="A1451" s="1158"/>
      <c r="B1451" s="612">
        <v>5809</v>
      </c>
      <c r="C1451" s="613" t="s">
        <v>1950</v>
      </c>
      <c r="D1451" s="614">
        <v>1</v>
      </c>
    </row>
    <row r="1452" spans="1:4" ht="13.5" customHeight="1" x14ac:dyDescent="0.25">
      <c r="A1452" s="1158"/>
      <c r="B1452" s="612">
        <v>5820</v>
      </c>
      <c r="C1452" s="613" t="s">
        <v>1951</v>
      </c>
      <c r="D1452" s="614">
        <v>1</v>
      </c>
    </row>
    <row r="1453" spans="1:4" ht="13.5" customHeight="1" x14ac:dyDescent="0.25">
      <c r="A1453" s="1158"/>
      <c r="B1453" s="612">
        <v>5830</v>
      </c>
      <c r="C1453" s="613" t="s">
        <v>939</v>
      </c>
      <c r="D1453" s="614">
        <v>1</v>
      </c>
    </row>
    <row r="1454" spans="1:4" ht="13.5" customHeight="1" x14ac:dyDescent="0.25">
      <c r="A1454" s="1158"/>
      <c r="B1454" s="612">
        <v>5822</v>
      </c>
      <c r="C1454" s="613" t="s">
        <v>1952</v>
      </c>
      <c r="D1454" s="614">
        <v>1</v>
      </c>
    </row>
    <row r="1455" spans="1:4" ht="13.5" customHeight="1" x14ac:dyDescent="0.25">
      <c r="A1455" s="1158"/>
      <c r="B1455" s="612">
        <v>5835</v>
      </c>
      <c r="C1455" s="613" t="s">
        <v>1474</v>
      </c>
      <c r="D1455" s="614">
        <v>1</v>
      </c>
    </row>
    <row r="1456" spans="1:4" ht="13.5" customHeight="1" x14ac:dyDescent="0.25">
      <c r="A1456" s="1158"/>
      <c r="B1456" s="612">
        <v>5840</v>
      </c>
      <c r="C1456" s="613" t="s">
        <v>1592</v>
      </c>
      <c r="D1456" s="614">
        <v>1</v>
      </c>
    </row>
    <row r="1457" spans="1:4" ht="13.5" customHeight="1" x14ac:dyDescent="0.25">
      <c r="A1457" s="1158"/>
      <c r="B1457" s="612">
        <v>5814</v>
      </c>
      <c r="C1457" s="613" t="s">
        <v>1953</v>
      </c>
      <c r="D1457" s="614">
        <v>1</v>
      </c>
    </row>
    <row r="1458" spans="1:4" ht="13.5" customHeight="1" x14ac:dyDescent="0.25">
      <c r="A1458" s="1158"/>
      <c r="B1458" s="612">
        <v>5845</v>
      </c>
      <c r="C1458" s="613" t="s">
        <v>1954</v>
      </c>
      <c r="D1458" s="614">
        <v>1</v>
      </c>
    </row>
    <row r="1459" spans="1:4" ht="13.5" customHeight="1" x14ac:dyDescent="0.25">
      <c r="A1459" s="1158"/>
      <c r="B1459" s="612">
        <v>5806</v>
      </c>
      <c r="C1459" s="613" t="s">
        <v>1215</v>
      </c>
      <c r="D1459" s="614">
        <v>1</v>
      </c>
    </row>
    <row r="1460" spans="1:4" ht="13.5" customHeight="1" x14ac:dyDescent="0.25">
      <c r="A1460" s="1158"/>
      <c r="B1460" s="612">
        <v>5800</v>
      </c>
      <c r="C1460" s="613" t="s">
        <v>1955</v>
      </c>
      <c r="D1460" s="614">
        <v>1</v>
      </c>
    </row>
    <row r="1461" spans="1:4" ht="13.5" customHeight="1" x14ac:dyDescent="0.25">
      <c r="A1461" s="1158"/>
      <c r="B1461" s="612">
        <v>5841</v>
      </c>
      <c r="C1461" s="613" t="s">
        <v>1956</v>
      </c>
      <c r="D1461" s="614">
        <v>1</v>
      </c>
    </row>
    <row r="1462" spans="1:4" ht="13.5" customHeight="1" x14ac:dyDescent="0.25">
      <c r="A1462" s="1158"/>
      <c r="B1462" s="612">
        <v>5839</v>
      </c>
      <c r="C1462" s="613" t="s">
        <v>1957</v>
      </c>
      <c r="D1462" s="614">
        <v>1</v>
      </c>
    </row>
    <row r="1463" spans="1:4" ht="13.5" customHeight="1" x14ac:dyDescent="0.25">
      <c r="A1463" s="1158"/>
      <c r="B1463" s="612">
        <v>5829</v>
      </c>
      <c r="C1463" s="613" t="s">
        <v>1958</v>
      </c>
      <c r="D1463" s="614">
        <v>1</v>
      </c>
    </row>
    <row r="1464" spans="1:4" ht="13.5" customHeight="1" x14ac:dyDescent="0.25">
      <c r="A1464" s="1158"/>
      <c r="B1464" s="612">
        <v>5821</v>
      </c>
      <c r="C1464" s="613" t="s">
        <v>1959</v>
      </c>
      <c r="D1464" s="614">
        <v>1</v>
      </c>
    </row>
    <row r="1465" spans="1:4" ht="13.5" customHeight="1" x14ac:dyDescent="0.25">
      <c r="A1465" s="1158"/>
      <c r="B1465" s="612">
        <v>5824</v>
      </c>
      <c r="C1465" s="613" t="s">
        <v>1960</v>
      </c>
      <c r="D1465" s="614">
        <v>1</v>
      </c>
    </row>
    <row r="1466" spans="1:4" ht="13.5" customHeight="1" x14ac:dyDescent="0.25">
      <c r="A1466" s="1158"/>
      <c r="B1466" s="612">
        <v>5808</v>
      </c>
      <c r="C1466" s="613" t="s">
        <v>1961</v>
      </c>
      <c r="D1466" s="614">
        <v>1</v>
      </c>
    </row>
    <row r="1467" spans="1:4" ht="13.5" customHeight="1" x14ac:dyDescent="0.25">
      <c r="A1467" s="1158"/>
      <c r="B1467" s="612">
        <v>5851</v>
      </c>
      <c r="C1467" s="613" t="s">
        <v>1962</v>
      </c>
      <c r="D1467" s="614">
        <v>1</v>
      </c>
    </row>
    <row r="1468" spans="1:4" ht="13.5" customHeight="1" x14ac:dyDescent="0.25">
      <c r="A1468" s="1158"/>
      <c r="B1468" s="612">
        <v>5832</v>
      </c>
      <c r="C1468" s="613" t="s">
        <v>665</v>
      </c>
      <c r="D1468" s="614">
        <v>1</v>
      </c>
    </row>
    <row r="1469" spans="1:4" ht="13.5" customHeight="1" x14ac:dyDescent="0.25">
      <c r="A1469" s="1158"/>
      <c r="B1469" s="612">
        <v>5801</v>
      </c>
      <c r="C1469" s="613" t="s">
        <v>1963</v>
      </c>
      <c r="D1469" s="614">
        <v>1</v>
      </c>
    </row>
    <row r="1470" spans="1:4" ht="13.5" customHeight="1" x14ac:dyDescent="0.25">
      <c r="A1470" s="1158"/>
      <c r="B1470" s="612">
        <v>5810</v>
      </c>
      <c r="C1470" s="613" t="s">
        <v>1964</v>
      </c>
      <c r="D1470" s="614">
        <v>1</v>
      </c>
    </row>
    <row r="1471" spans="1:4" ht="13.5" customHeight="1" x14ac:dyDescent="0.25">
      <c r="A1471" s="1158"/>
      <c r="B1471" s="612">
        <v>5819</v>
      </c>
      <c r="C1471" s="613" t="s">
        <v>1965</v>
      </c>
      <c r="D1471" s="614">
        <v>1</v>
      </c>
    </row>
    <row r="1472" spans="1:4" ht="13.5" customHeight="1" x14ac:dyDescent="0.25">
      <c r="A1472" s="1158"/>
      <c r="B1472" s="612">
        <v>5827</v>
      </c>
      <c r="C1472" s="613" t="s">
        <v>1966</v>
      </c>
      <c r="D1472" s="614">
        <v>1</v>
      </c>
    </row>
    <row r="1473" spans="1:4" ht="13.5" customHeight="1" x14ac:dyDescent="0.25">
      <c r="A1473" s="1158"/>
      <c r="B1473" s="612">
        <v>5842</v>
      </c>
      <c r="C1473" s="613" t="s">
        <v>1967</v>
      </c>
      <c r="D1473" s="614">
        <v>1</v>
      </c>
    </row>
    <row r="1474" spans="1:4" ht="13.5" customHeight="1" x14ac:dyDescent="0.25">
      <c r="A1474" s="1158"/>
      <c r="B1474" s="612">
        <v>5815</v>
      </c>
      <c r="C1474" s="613" t="s">
        <v>1968</v>
      </c>
      <c r="D1474" s="614">
        <v>1</v>
      </c>
    </row>
    <row r="1475" spans="1:4" ht="13.5" customHeight="1" x14ac:dyDescent="0.25">
      <c r="A1475" s="1158"/>
      <c r="B1475" s="612">
        <v>5811</v>
      </c>
      <c r="C1475" s="613" t="s">
        <v>1969</v>
      </c>
      <c r="D1475" s="614">
        <v>1</v>
      </c>
    </row>
    <row r="1476" spans="1:4" ht="13.5" customHeight="1" x14ac:dyDescent="0.25">
      <c r="A1476" s="1158"/>
      <c r="B1476" s="612">
        <v>5831</v>
      </c>
      <c r="C1476" s="613" t="s">
        <v>1970</v>
      </c>
      <c r="D1476" s="614">
        <v>1</v>
      </c>
    </row>
    <row r="1477" spans="1:4" ht="13.5" customHeight="1" x14ac:dyDescent="0.25">
      <c r="A1477" s="1158"/>
      <c r="B1477" s="612">
        <v>5838</v>
      </c>
      <c r="C1477" s="613" t="s">
        <v>1971</v>
      </c>
      <c r="D1477" s="614">
        <v>1</v>
      </c>
    </row>
    <row r="1478" spans="1:4" ht="13.5" customHeight="1" x14ac:dyDescent="0.25">
      <c r="A1478" s="1158"/>
      <c r="B1478" s="612">
        <v>5846</v>
      </c>
      <c r="C1478" s="613" t="s">
        <v>1972</v>
      </c>
      <c r="D1478" s="614">
        <v>1</v>
      </c>
    </row>
    <row r="1479" spans="1:4" ht="13.5" customHeight="1" thickBot="1" x14ac:dyDescent="0.3">
      <c r="A1479" s="1159"/>
      <c r="B1479" s="605">
        <v>5834</v>
      </c>
      <c r="C1479" s="606" t="s">
        <v>1973</v>
      </c>
      <c r="D1479" s="607">
        <v>1</v>
      </c>
    </row>
    <row r="1480" spans="1:4" x14ac:dyDescent="0.25">
      <c r="A1480" s="1151" t="s">
        <v>1974</v>
      </c>
      <c r="B1480" s="602">
        <v>6019</v>
      </c>
      <c r="C1480" s="603" t="s">
        <v>1975</v>
      </c>
      <c r="D1480" s="604">
        <v>1</v>
      </c>
    </row>
    <row r="1481" spans="1:4" x14ac:dyDescent="0.25">
      <c r="A1481" s="1158"/>
      <c r="B1481" s="612">
        <v>6036</v>
      </c>
      <c r="C1481" s="613" t="s">
        <v>1976</v>
      </c>
      <c r="D1481" s="614">
        <v>1</v>
      </c>
    </row>
    <row r="1482" spans="1:4" x14ac:dyDescent="0.25">
      <c r="A1482" s="1158"/>
      <c r="B1482" s="612">
        <v>6020</v>
      </c>
      <c r="C1482" s="613" t="s">
        <v>1977</v>
      </c>
      <c r="D1482" s="614">
        <v>1</v>
      </c>
    </row>
    <row r="1483" spans="1:4" x14ac:dyDescent="0.25">
      <c r="A1483" s="1158"/>
      <c r="B1483" s="612">
        <v>6016</v>
      </c>
      <c r="C1483" s="613" t="s">
        <v>1978</v>
      </c>
      <c r="D1483" s="614">
        <v>1</v>
      </c>
    </row>
    <row r="1484" spans="1:4" x14ac:dyDescent="0.25">
      <c r="A1484" s="1158"/>
      <c r="B1484" s="612">
        <v>6027</v>
      </c>
      <c r="C1484" s="613" t="s">
        <v>1979</v>
      </c>
      <c r="D1484" s="614">
        <v>1</v>
      </c>
    </row>
    <row r="1485" spans="1:4" x14ac:dyDescent="0.25">
      <c r="A1485" s="1158"/>
      <c r="B1485" s="612">
        <v>6034</v>
      </c>
      <c r="C1485" s="613" t="s">
        <v>1980</v>
      </c>
      <c r="D1485" s="614">
        <v>1</v>
      </c>
    </row>
    <row r="1486" spans="1:4" x14ac:dyDescent="0.25">
      <c r="A1486" s="1158"/>
      <c r="B1486" s="612">
        <v>6032</v>
      </c>
      <c r="C1486" s="613" t="s">
        <v>1981</v>
      </c>
      <c r="D1486" s="614">
        <v>1</v>
      </c>
    </row>
    <row r="1487" spans="1:4" x14ac:dyDescent="0.25">
      <c r="A1487" s="1158"/>
      <c r="B1487" s="612">
        <v>6029</v>
      </c>
      <c r="C1487" s="613" t="s">
        <v>1982</v>
      </c>
      <c r="D1487" s="614">
        <v>1</v>
      </c>
    </row>
    <row r="1488" spans="1:4" x14ac:dyDescent="0.25">
      <c r="A1488" s="1158"/>
      <c r="B1488" s="612">
        <v>6009</v>
      </c>
      <c r="C1488" s="613" t="s">
        <v>1983</v>
      </c>
      <c r="D1488" s="614">
        <v>1</v>
      </c>
    </row>
    <row r="1489" spans="1:4" x14ac:dyDescent="0.25">
      <c r="A1489" s="1158"/>
      <c r="B1489" s="612">
        <v>6011</v>
      </c>
      <c r="C1489" s="613" t="s">
        <v>1984</v>
      </c>
      <c r="D1489" s="614">
        <v>1</v>
      </c>
    </row>
    <row r="1490" spans="1:4" x14ac:dyDescent="0.25">
      <c r="A1490" s="1158"/>
      <c r="B1490" s="612">
        <v>6033</v>
      </c>
      <c r="C1490" s="613" t="s">
        <v>1985</v>
      </c>
      <c r="D1490" s="614">
        <v>1</v>
      </c>
    </row>
    <row r="1491" spans="1:4" x14ac:dyDescent="0.25">
      <c r="A1491" s="1158"/>
      <c r="B1491" s="612">
        <v>6006</v>
      </c>
      <c r="C1491" s="613" t="s">
        <v>1986</v>
      </c>
      <c r="D1491" s="614">
        <v>1</v>
      </c>
    </row>
    <row r="1492" spans="1:4" x14ac:dyDescent="0.25">
      <c r="A1492" s="1158"/>
      <c r="B1492" s="612">
        <v>6018</v>
      </c>
      <c r="C1492" s="613" t="s">
        <v>1987</v>
      </c>
      <c r="D1492" s="614">
        <v>1</v>
      </c>
    </row>
    <row r="1493" spans="1:4" x14ac:dyDescent="0.25">
      <c r="A1493" s="1158"/>
      <c r="B1493" s="612">
        <v>6005</v>
      </c>
      <c r="C1493" s="613" t="s">
        <v>1988</v>
      </c>
      <c r="D1493" s="614">
        <v>1</v>
      </c>
    </row>
    <row r="1494" spans="1:4" x14ac:dyDescent="0.25">
      <c r="A1494" s="1158"/>
      <c r="B1494" s="612">
        <v>6007</v>
      </c>
      <c r="C1494" s="613" t="s">
        <v>1989</v>
      </c>
      <c r="D1494" s="614">
        <v>1</v>
      </c>
    </row>
    <row r="1495" spans="1:4" x14ac:dyDescent="0.25">
      <c r="A1495" s="1158"/>
      <c r="B1495" s="612">
        <v>6004</v>
      </c>
      <c r="C1495" s="613" t="s">
        <v>1990</v>
      </c>
      <c r="D1495" s="614">
        <v>1</v>
      </c>
    </row>
    <row r="1496" spans="1:4" x14ac:dyDescent="0.25">
      <c r="A1496" s="1158"/>
      <c r="B1496" s="612">
        <v>6015</v>
      </c>
      <c r="C1496" s="613" t="s">
        <v>1991</v>
      </c>
      <c r="D1496" s="614">
        <v>1</v>
      </c>
    </row>
    <row r="1497" spans="1:4" x14ac:dyDescent="0.25">
      <c r="A1497" s="1158"/>
      <c r="B1497" s="612">
        <v>6028</v>
      </c>
      <c r="C1497" s="613" t="s">
        <v>1992</v>
      </c>
      <c r="D1497" s="614">
        <v>1</v>
      </c>
    </row>
    <row r="1498" spans="1:4" x14ac:dyDescent="0.25">
      <c r="A1498" s="1158"/>
      <c r="B1498" s="612">
        <v>6035</v>
      </c>
      <c r="C1498" s="613" t="s">
        <v>1993</v>
      </c>
      <c r="D1498" s="614">
        <v>1</v>
      </c>
    </row>
    <row r="1499" spans="1:4" x14ac:dyDescent="0.25">
      <c r="A1499" s="1158"/>
      <c r="B1499" s="612">
        <v>6046</v>
      </c>
      <c r="C1499" s="613" t="s">
        <v>1994</v>
      </c>
      <c r="D1499" s="614">
        <v>1</v>
      </c>
    </row>
    <row r="1500" spans="1:4" x14ac:dyDescent="0.25">
      <c r="A1500" s="1158"/>
      <c r="B1500" s="612">
        <v>6031</v>
      </c>
      <c r="C1500" s="613" t="s">
        <v>1995</v>
      </c>
      <c r="D1500" s="614">
        <v>1</v>
      </c>
    </row>
    <row r="1501" spans="1:4" x14ac:dyDescent="0.25">
      <c r="A1501" s="1158"/>
      <c r="B1501" s="612">
        <v>6010</v>
      </c>
      <c r="C1501" s="613" t="s">
        <v>1996</v>
      </c>
      <c r="D1501" s="614">
        <v>1</v>
      </c>
    </row>
    <row r="1502" spans="1:4" x14ac:dyDescent="0.25">
      <c r="A1502" s="1158"/>
      <c r="B1502" s="612">
        <v>6003</v>
      </c>
      <c r="C1502" s="613" t="s">
        <v>1997</v>
      </c>
      <c r="D1502" s="614">
        <v>1</v>
      </c>
    </row>
    <row r="1503" spans="1:4" x14ac:dyDescent="0.25">
      <c r="A1503" s="1158"/>
      <c r="B1503" s="612">
        <v>6047</v>
      </c>
      <c r="C1503" s="613" t="s">
        <v>1998</v>
      </c>
      <c r="D1503" s="614">
        <v>1</v>
      </c>
    </row>
    <row r="1504" spans="1:4" x14ac:dyDescent="0.25">
      <c r="A1504" s="1158"/>
      <c r="B1504" s="612">
        <v>6040</v>
      </c>
      <c r="C1504" s="613" t="s">
        <v>1999</v>
      </c>
      <c r="D1504" s="614">
        <v>1</v>
      </c>
    </row>
    <row r="1505" spans="1:4" x14ac:dyDescent="0.25">
      <c r="A1505" s="1158"/>
      <c r="B1505" s="612">
        <v>6013</v>
      </c>
      <c r="C1505" s="613" t="s">
        <v>2000</v>
      </c>
      <c r="D1505" s="614">
        <v>1</v>
      </c>
    </row>
    <row r="1506" spans="1:4" x14ac:dyDescent="0.25">
      <c r="A1506" s="1158"/>
      <c r="B1506" s="612">
        <v>6014</v>
      </c>
      <c r="C1506" s="613" t="s">
        <v>2001</v>
      </c>
      <c r="D1506" s="614">
        <v>1</v>
      </c>
    </row>
    <row r="1507" spans="1:4" x14ac:dyDescent="0.25">
      <c r="A1507" s="1158"/>
      <c r="B1507" s="612">
        <v>6030</v>
      </c>
      <c r="C1507" s="613" t="s">
        <v>2002</v>
      </c>
      <c r="D1507" s="614">
        <v>1</v>
      </c>
    </row>
    <row r="1508" spans="1:4" x14ac:dyDescent="0.25">
      <c r="A1508" s="1158"/>
      <c r="B1508" s="612">
        <v>6017</v>
      </c>
      <c r="C1508" s="613" t="s">
        <v>2003</v>
      </c>
      <c r="D1508" s="614">
        <v>1</v>
      </c>
    </row>
    <row r="1509" spans="1:4" x14ac:dyDescent="0.25">
      <c r="A1509" s="1158"/>
      <c r="B1509" s="612">
        <v>6021</v>
      </c>
      <c r="C1509" s="613" t="s">
        <v>2004</v>
      </c>
      <c r="D1509" s="614">
        <v>1</v>
      </c>
    </row>
    <row r="1510" spans="1:4" x14ac:dyDescent="0.25">
      <c r="A1510" s="1158"/>
      <c r="B1510" s="612">
        <v>6048</v>
      </c>
      <c r="C1510" s="613" t="s">
        <v>2005</v>
      </c>
      <c r="D1510" s="614">
        <v>1</v>
      </c>
    </row>
    <row r="1511" spans="1:4" x14ac:dyDescent="0.25">
      <c r="A1511" s="1158"/>
      <c r="B1511" s="612">
        <v>6044</v>
      </c>
      <c r="C1511" s="613" t="s">
        <v>2006</v>
      </c>
      <c r="D1511" s="614">
        <v>1</v>
      </c>
    </row>
    <row r="1512" spans="1:4" x14ac:dyDescent="0.25">
      <c r="A1512" s="1158"/>
      <c r="B1512" s="612">
        <v>6001</v>
      </c>
      <c r="C1512" s="613" t="s">
        <v>2007</v>
      </c>
      <c r="D1512" s="614">
        <v>1</v>
      </c>
    </row>
    <row r="1513" spans="1:4" x14ac:dyDescent="0.25">
      <c r="A1513" s="1158"/>
      <c r="B1513" s="612">
        <v>6049</v>
      </c>
      <c r="C1513" s="613" t="s">
        <v>2008</v>
      </c>
      <c r="D1513" s="614">
        <v>1</v>
      </c>
    </row>
    <row r="1514" spans="1:4" x14ac:dyDescent="0.25">
      <c r="A1514" s="1158"/>
      <c r="B1514" s="612">
        <v>6041</v>
      </c>
      <c r="C1514" s="613" t="s">
        <v>2009</v>
      </c>
      <c r="D1514" s="614">
        <v>1</v>
      </c>
    </row>
    <row r="1515" spans="1:4" x14ac:dyDescent="0.25">
      <c r="A1515" s="1158"/>
      <c r="B1515" s="612">
        <v>6025</v>
      </c>
      <c r="C1515" s="613" t="s">
        <v>2010</v>
      </c>
      <c r="D1515" s="614">
        <v>1</v>
      </c>
    </row>
    <row r="1516" spans="1:4" x14ac:dyDescent="0.25">
      <c r="A1516" s="1158"/>
      <c r="B1516" s="612">
        <v>6052</v>
      </c>
      <c r="C1516" s="613" t="s">
        <v>2011</v>
      </c>
      <c r="D1516" s="614">
        <v>1</v>
      </c>
    </row>
    <row r="1517" spans="1:4" x14ac:dyDescent="0.25">
      <c r="A1517" s="1158"/>
      <c r="B1517" s="612">
        <v>6022</v>
      </c>
      <c r="C1517" s="613" t="s">
        <v>2012</v>
      </c>
      <c r="D1517" s="614">
        <v>1</v>
      </c>
    </row>
    <row r="1518" spans="1:4" x14ac:dyDescent="0.25">
      <c r="A1518" s="1158"/>
      <c r="B1518" s="612">
        <v>6039</v>
      </c>
      <c r="C1518" s="613" t="s">
        <v>2013</v>
      </c>
      <c r="D1518" s="614">
        <v>1</v>
      </c>
    </row>
    <row r="1519" spans="1:4" x14ac:dyDescent="0.25">
      <c r="A1519" s="1158"/>
      <c r="B1519" s="612">
        <v>6043</v>
      </c>
      <c r="C1519" s="613" t="s">
        <v>2014</v>
      </c>
      <c r="D1519" s="614">
        <v>1</v>
      </c>
    </row>
    <row r="1520" spans="1:4" x14ac:dyDescent="0.25">
      <c r="A1520" s="1158"/>
      <c r="B1520" s="612">
        <v>6042</v>
      </c>
      <c r="C1520" s="613" t="s">
        <v>2015</v>
      </c>
      <c r="D1520" s="614">
        <v>1</v>
      </c>
    </row>
    <row r="1521" spans="1:4" ht="13.5" thickBot="1" x14ac:dyDescent="0.3">
      <c r="A1521" s="1159"/>
      <c r="B1521" s="605">
        <v>6051</v>
      </c>
      <c r="C1521" s="606" t="s">
        <v>2016</v>
      </c>
      <c r="D1521" s="607">
        <v>1</v>
      </c>
    </row>
    <row r="1522" spans="1:4" x14ac:dyDescent="0.25">
      <c r="A1522" s="1151" t="s">
        <v>2017</v>
      </c>
      <c r="B1522" s="602">
        <v>3601</v>
      </c>
      <c r="C1522" s="603" t="s">
        <v>2018</v>
      </c>
      <c r="D1522" s="604">
        <v>1</v>
      </c>
    </row>
    <row r="1523" spans="1:4" x14ac:dyDescent="0.25">
      <c r="A1523" s="1158"/>
      <c r="B1523" s="612">
        <v>3621</v>
      </c>
      <c r="C1523" s="613" t="s">
        <v>2019</v>
      </c>
      <c r="D1523" s="614">
        <v>1</v>
      </c>
    </row>
    <row r="1524" spans="1:4" x14ac:dyDescent="0.25">
      <c r="A1524" s="1158"/>
      <c r="B1524" s="612">
        <v>3618</v>
      </c>
      <c r="C1524" s="613" t="s">
        <v>2020</v>
      </c>
      <c r="D1524" s="614">
        <v>1</v>
      </c>
    </row>
    <row r="1525" spans="1:4" x14ac:dyDescent="0.25">
      <c r="A1525" s="1158"/>
      <c r="B1525" s="612">
        <v>3608</v>
      </c>
      <c r="C1525" s="613" t="s">
        <v>2021</v>
      </c>
      <c r="D1525" s="614">
        <v>1</v>
      </c>
    </row>
    <row r="1526" spans="1:4" x14ac:dyDescent="0.25">
      <c r="A1526" s="1158"/>
      <c r="B1526" s="612">
        <v>3609</v>
      </c>
      <c r="C1526" s="613" t="s">
        <v>2022</v>
      </c>
      <c r="D1526" s="614">
        <v>1</v>
      </c>
    </row>
    <row r="1527" spans="1:4" x14ac:dyDescent="0.25">
      <c r="A1527" s="1158"/>
      <c r="B1527" s="612">
        <v>3602</v>
      </c>
      <c r="C1527" s="613" t="s">
        <v>2023</v>
      </c>
      <c r="D1527" s="614">
        <v>1</v>
      </c>
    </row>
    <row r="1528" spans="1:4" x14ac:dyDescent="0.25">
      <c r="A1528" s="1158"/>
      <c r="B1528" s="612">
        <v>3626</v>
      </c>
      <c r="C1528" s="613" t="s">
        <v>2024</v>
      </c>
      <c r="D1528" s="614">
        <v>1</v>
      </c>
    </row>
    <row r="1529" spans="1:4" x14ac:dyDescent="0.25">
      <c r="A1529" s="1158"/>
      <c r="B1529" s="612">
        <v>3622</v>
      </c>
      <c r="C1529" s="613" t="s">
        <v>2025</v>
      </c>
      <c r="D1529" s="614">
        <v>1</v>
      </c>
    </row>
    <row r="1530" spans="1:4" x14ac:dyDescent="0.25">
      <c r="A1530" s="1158"/>
      <c r="B1530" s="612">
        <v>3612</v>
      </c>
      <c r="C1530" s="613" t="s">
        <v>2026</v>
      </c>
      <c r="D1530" s="614">
        <v>1</v>
      </c>
    </row>
    <row r="1531" spans="1:4" x14ac:dyDescent="0.25">
      <c r="A1531" s="1158"/>
      <c r="B1531" s="612">
        <v>3625</v>
      </c>
      <c r="C1531" s="613" t="s">
        <v>2027</v>
      </c>
      <c r="D1531" s="614">
        <v>1</v>
      </c>
    </row>
    <row r="1532" spans="1:4" x14ac:dyDescent="0.25">
      <c r="A1532" s="1158"/>
      <c r="B1532" s="612">
        <v>3600</v>
      </c>
      <c r="C1532" s="613" t="s">
        <v>2028</v>
      </c>
      <c r="D1532" s="614">
        <v>1</v>
      </c>
    </row>
    <row r="1533" spans="1:4" x14ac:dyDescent="0.25">
      <c r="A1533" s="1158"/>
      <c r="B1533" s="612">
        <v>3613</v>
      </c>
      <c r="C1533" s="613" t="s">
        <v>2029</v>
      </c>
      <c r="D1533" s="614">
        <v>1</v>
      </c>
    </row>
    <row r="1534" spans="1:4" x14ac:dyDescent="0.25">
      <c r="A1534" s="1158"/>
      <c r="B1534" s="612">
        <v>3628</v>
      </c>
      <c r="C1534" s="613" t="s">
        <v>2030</v>
      </c>
      <c r="D1534" s="614">
        <v>1</v>
      </c>
    </row>
    <row r="1535" spans="1:4" x14ac:dyDescent="0.25">
      <c r="A1535" s="1158"/>
      <c r="B1535" s="612">
        <v>3605</v>
      </c>
      <c r="C1535" s="613" t="s">
        <v>2031</v>
      </c>
      <c r="D1535" s="614">
        <v>1</v>
      </c>
    </row>
    <row r="1536" spans="1:4" x14ac:dyDescent="0.25">
      <c r="A1536" s="1158"/>
      <c r="B1536" s="612">
        <v>3614</v>
      </c>
      <c r="C1536" s="613" t="s">
        <v>2032</v>
      </c>
      <c r="D1536" s="614">
        <v>1</v>
      </c>
    </row>
    <row r="1537" spans="1:4" x14ac:dyDescent="0.25">
      <c r="A1537" s="1158"/>
      <c r="B1537" s="612">
        <v>3617</v>
      </c>
      <c r="C1537" s="613" t="s">
        <v>2033</v>
      </c>
      <c r="D1537" s="614">
        <v>1</v>
      </c>
    </row>
    <row r="1538" spans="1:4" x14ac:dyDescent="0.25">
      <c r="A1538" s="1158"/>
      <c r="B1538" s="612">
        <v>3627</v>
      </c>
      <c r="C1538" s="613" t="s">
        <v>2034</v>
      </c>
      <c r="D1538" s="614">
        <v>1</v>
      </c>
    </row>
    <row r="1539" spans="1:4" x14ac:dyDescent="0.25">
      <c r="A1539" s="1158"/>
      <c r="B1539" s="612">
        <v>3615</v>
      </c>
      <c r="C1539" s="613" t="s">
        <v>2035</v>
      </c>
      <c r="D1539" s="614">
        <v>1</v>
      </c>
    </row>
    <row r="1540" spans="1:4" x14ac:dyDescent="0.25">
      <c r="A1540" s="1158"/>
      <c r="B1540" s="612">
        <v>3607</v>
      </c>
      <c r="C1540" s="613" t="s">
        <v>2036</v>
      </c>
      <c r="D1540" s="614">
        <v>1</v>
      </c>
    </row>
    <row r="1541" spans="1:4" x14ac:dyDescent="0.25">
      <c r="A1541" s="1158"/>
      <c r="B1541" s="612">
        <v>3619</v>
      </c>
      <c r="C1541" s="613" t="s">
        <v>2037</v>
      </c>
      <c r="D1541" s="614">
        <v>1</v>
      </c>
    </row>
    <row r="1542" spans="1:4" x14ac:dyDescent="0.25">
      <c r="A1542" s="1158"/>
      <c r="B1542" s="612">
        <v>3603</v>
      </c>
      <c r="C1542" s="613" t="s">
        <v>2038</v>
      </c>
      <c r="D1542" s="614">
        <v>1</v>
      </c>
    </row>
    <row r="1543" spans="1:4" x14ac:dyDescent="0.25">
      <c r="A1543" s="1158"/>
      <c r="B1543" s="612">
        <v>3611</v>
      </c>
      <c r="C1543" s="613" t="s">
        <v>2039</v>
      </c>
      <c r="D1543" s="614">
        <v>1</v>
      </c>
    </row>
    <row r="1544" spans="1:4" ht="13.5" thickBot="1" x14ac:dyDescent="0.3">
      <c r="A1544" s="1159"/>
      <c r="B1544" s="605">
        <v>3610</v>
      </c>
      <c r="C1544" s="606" t="s">
        <v>2040</v>
      </c>
      <c r="D1544" s="607">
        <v>1</v>
      </c>
    </row>
    <row r="1545" spans="1:4" ht="26.25" thickBot="1" x14ac:dyDescent="0.3">
      <c r="A1545" s="621" t="s">
        <v>2041</v>
      </c>
      <c r="B1545" s="622">
        <v>5600</v>
      </c>
      <c r="C1545" s="623" t="s">
        <v>2042</v>
      </c>
      <c r="D1545" s="624">
        <v>1</v>
      </c>
    </row>
    <row r="1546" spans="1:4" ht="14.25" customHeight="1" x14ac:dyDescent="0.25">
      <c r="A1546" s="1151" t="s">
        <v>2043</v>
      </c>
      <c r="B1546" s="602">
        <v>3817</v>
      </c>
      <c r="C1546" s="603" t="s">
        <v>2044</v>
      </c>
      <c r="D1546" s="604">
        <v>1</v>
      </c>
    </row>
    <row r="1547" spans="1:4" ht="15" customHeight="1" x14ac:dyDescent="0.25">
      <c r="A1547" s="1160"/>
      <c r="B1547" s="612">
        <v>3830</v>
      </c>
      <c r="C1547" s="613" t="s">
        <v>2045</v>
      </c>
      <c r="D1547" s="614">
        <v>1</v>
      </c>
    </row>
    <row r="1548" spans="1:4" ht="15" customHeight="1" x14ac:dyDescent="0.25">
      <c r="A1548" s="1160"/>
      <c r="B1548" s="612">
        <v>3808</v>
      </c>
      <c r="C1548" s="613" t="s">
        <v>1117</v>
      </c>
      <c r="D1548" s="614">
        <v>1</v>
      </c>
    </row>
    <row r="1549" spans="1:4" ht="15" customHeight="1" x14ac:dyDescent="0.25">
      <c r="A1549" s="1160"/>
      <c r="B1549" s="612">
        <v>3824</v>
      </c>
      <c r="C1549" s="613" t="s">
        <v>907</v>
      </c>
      <c r="D1549" s="614">
        <v>1</v>
      </c>
    </row>
    <row r="1550" spans="1:4" x14ac:dyDescent="0.25">
      <c r="A1550" s="1160"/>
      <c r="B1550" s="612">
        <v>3822</v>
      </c>
      <c r="C1550" s="613" t="s">
        <v>2046</v>
      </c>
      <c r="D1550" s="614">
        <v>1</v>
      </c>
    </row>
    <row r="1551" spans="1:4" x14ac:dyDescent="0.25">
      <c r="A1551" s="1160"/>
      <c r="B1551" s="612">
        <v>3837</v>
      </c>
      <c r="C1551" s="613" t="s">
        <v>2047</v>
      </c>
      <c r="D1551" s="614">
        <v>1</v>
      </c>
    </row>
    <row r="1552" spans="1:4" x14ac:dyDescent="0.25">
      <c r="A1552" s="1160"/>
      <c r="B1552" s="612">
        <v>3835</v>
      </c>
      <c r="C1552" s="613" t="s">
        <v>2048</v>
      </c>
      <c r="D1552" s="614">
        <v>1</v>
      </c>
    </row>
    <row r="1553" spans="1:4" x14ac:dyDescent="0.25">
      <c r="A1553" s="1160"/>
      <c r="B1553" s="612">
        <v>3820</v>
      </c>
      <c r="C1553" s="613" t="s">
        <v>2049</v>
      </c>
      <c r="D1553" s="614">
        <v>1</v>
      </c>
    </row>
    <row r="1554" spans="1:4" x14ac:dyDescent="0.25">
      <c r="A1554" s="1160"/>
      <c r="B1554" s="612">
        <v>3827</v>
      </c>
      <c r="C1554" s="613" t="s">
        <v>2050</v>
      </c>
      <c r="D1554" s="614">
        <v>1</v>
      </c>
    </row>
    <row r="1555" spans="1:4" x14ac:dyDescent="0.25">
      <c r="A1555" s="1160"/>
      <c r="B1555" s="612">
        <v>3813</v>
      </c>
      <c r="C1555" s="613" t="s">
        <v>1005</v>
      </c>
      <c r="D1555" s="614">
        <v>1</v>
      </c>
    </row>
    <row r="1556" spans="1:4" x14ac:dyDescent="0.25">
      <c r="A1556" s="1160"/>
      <c r="B1556" s="612">
        <v>3829</v>
      </c>
      <c r="C1556" s="613" t="s">
        <v>2051</v>
      </c>
      <c r="D1556" s="614">
        <v>1</v>
      </c>
    </row>
    <row r="1557" spans="1:4" x14ac:dyDescent="0.25">
      <c r="A1557" s="1160"/>
      <c r="B1557" s="612">
        <v>3812</v>
      </c>
      <c r="C1557" s="613" t="s">
        <v>2052</v>
      </c>
      <c r="D1557" s="614">
        <v>1</v>
      </c>
    </row>
    <row r="1558" spans="1:4" x14ac:dyDescent="0.25">
      <c r="A1558" s="1160"/>
      <c r="B1558" s="612">
        <v>3802</v>
      </c>
      <c r="C1558" s="613" t="s">
        <v>2053</v>
      </c>
      <c r="D1558" s="614">
        <v>1</v>
      </c>
    </row>
    <row r="1559" spans="1:4" x14ac:dyDescent="0.25">
      <c r="A1559" s="1160"/>
      <c r="B1559" s="612">
        <v>3839</v>
      </c>
      <c r="C1559" s="613" t="s">
        <v>2054</v>
      </c>
      <c r="D1559" s="614">
        <v>1</v>
      </c>
    </row>
    <row r="1560" spans="1:4" x14ac:dyDescent="0.25">
      <c r="A1560" s="1160"/>
      <c r="B1560" s="612">
        <v>3801</v>
      </c>
      <c r="C1560" s="613" t="s">
        <v>683</v>
      </c>
      <c r="D1560" s="614">
        <v>1</v>
      </c>
    </row>
    <row r="1561" spans="1:4" x14ac:dyDescent="0.25">
      <c r="A1561" s="1160"/>
      <c r="B1561" s="612">
        <v>3831</v>
      </c>
      <c r="C1561" s="613" t="s">
        <v>2055</v>
      </c>
      <c r="D1561" s="614">
        <v>1</v>
      </c>
    </row>
    <row r="1562" spans="1:4" x14ac:dyDescent="0.25">
      <c r="A1562" s="1160"/>
      <c r="B1562" s="612">
        <v>3828</v>
      </c>
      <c r="C1562" s="613" t="s">
        <v>2056</v>
      </c>
      <c r="D1562" s="614">
        <v>1</v>
      </c>
    </row>
    <row r="1563" spans="1:4" x14ac:dyDescent="0.25">
      <c r="A1563" s="1160"/>
      <c r="B1563" s="612">
        <v>3815</v>
      </c>
      <c r="C1563" s="613" t="s">
        <v>2057</v>
      </c>
      <c r="D1563" s="614">
        <v>1</v>
      </c>
    </row>
    <row r="1564" spans="1:4" x14ac:dyDescent="0.25">
      <c r="A1564" s="1160"/>
      <c r="B1564" s="612">
        <v>3838</v>
      </c>
      <c r="C1564" s="613" t="s">
        <v>2058</v>
      </c>
      <c r="D1564" s="614">
        <v>1</v>
      </c>
    </row>
    <row r="1565" spans="1:4" x14ac:dyDescent="0.25">
      <c r="A1565" s="1160"/>
      <c r="B1565" s="612">
        <v>3833</v>
      </c>
      <c r="C1565" s="613" t="s">
        <v>2059</v>
      </c>
      <c r="D1565" s="614">
        <v>1</v>
      </c>
    </row>
    <row r="1566" spans="1:4" x14ac:dyDescent="0.25">
      <c r="A1566" s="1160"/>
      <c r="B1566" s="612">
        <v>3826</v>
      </c>
      <c r="C1566" s="613" t="s">
        <v>2060</v>
      </c>
      <c r="D1566" s="614">
        <v>1</v>
      </c>
    </row>
    <row r="1567" spans="1:4" x14ac:dyDescent="0.25">
      <c r="A1567" s="1160"/>
      <c r="B1567" s="612">
        <v>3823</v>
      </c>
      <c r="C1567" s="613" t="s">
        <v>2061</v>
      </c>
      <c r="D1567" s="614">
        <v>1</v>
      </c>
    </row>
    <row r="1568" spans="1:4" x14ac:dyDescent="0.25">
      <c r="A1568" s="1160"/>
      <c r="B1568" s="612">
        <v>3840</v>
      </c>
      <c r="C1568" s="613" t="s">
        <v>659</v>
      </c>
      <c r="D1568" s="614">
        <v>1</v>
      </c>
    </row>
    <row r="1569" spans="1:4" x14ac:dyDescent="0.25">
      <c r="A1569" s="1160"/>
      <c r="B1569" s="612">
        <v>3825</v>
      </c>
      <c r="C1569" s="613" t="s">
        <v>2062</v>
      </c>
      <c r="D1569" s="614">
        <v>1</v>
      </c>
    </row>
    <row r="1570" spans="1:4" x14ac:dyDescent="0.25">
      <c r="A1570" s="1160"/>
      <c r="B1570" s="612">
        <v>3819</v>
      </c>
      <c r="C1570" s="613" t="s">
        <v>889</v>
      </c>
      <c r="D1570" s="614">
        <v>1</v>
      </c>
    </row>
    <row r="1571" spans="1:4" x14ac:dyDescent="0.25">
      <c r="A1571" s="1160"/>
      <c r="B1571" s="612">
        <v>3806</v>
      </c>
      <c r="C1571" s="613" t="s">
        <v>2063</v>
      </c>
      <c r="D1571" s="614">
        <v>1</v>
      </c>
    </row>
    <row r="1572" spans="1:4" ht="13.5" thickBot="1" x14ac:dyDescent="0.3">
      <c r="A1572" s="1161"/>
      <c r="B1572" s="605">
        <v>3800</v>
      </c>
      <c r="C1572" s="606" t="s">
        <v>1955</v>
      </c>
      <c r="D1572" s="607">
        <v>1</v>
      </c>
    </row>
    <row r="1573" spans="1:4" x14ac:dyDescent="0.25">
      <c r="A1573" s="1151" t="s">
        <v>2064</v>
      </c>
      <c r="B1573" s="602">
        <v>3921</v>
      </c>
      <c r="C1573" s="603" t="s">
        <v>2065</v>
      </c>
      <c r="D1573" s="604">
        <v>1</v>
      </c>
    </row>
    <row r="1574" spans="1:4" x14ac:dyDescent="0.25">
      <c r="A1574" s="1160"/>
      <c r="B1574" s="612">
        <v>3913</v>
      </c>
      <c r="C1574" s="613" t="s">
        <v>1022</v>
      </c>
      <c r="D1574" s="614">
        <v>1</v>
      </c>
    </row>
    <row r="1575" spans="1:4" x14ac:dyDescent="0.25">
      <c r="A1575" s="1160"/>
      <c r="B1575" s="612">
        <v>3923</v>
      </c>
      <c r="C1575" s="613" t="s">
        <v>2066</v>
      </c>
      <c r="D1575" s="614">
        <v>1</v>
      </c>
    </row>
    <row r="1576" spans="1:4" x14ac:dyDescent="0.25">
      <c r="A1576" s="1160"/>
      <c r="B1576" s="612">
        <v>3934</v>
      </c>
      <c r="C1576" s="613" t="s">
        <v>2067</v>
      </c>
      <c r="D1576" s="614">
        <v>1</v>
      </c>
    </row>
    <row r="1577" spans="1:4" x14ac:dyDescent="0.25">
      <c r="A1577" s="1160"/>
      <c r="B1577" s="612">
        <v>3928</v>
      </c>
      <c r="C1577" s="613" t="s">
        <v>2068</v>
      </c>
      <c r="D1577" s="614">
        <v>1</v>
      </c>
    </row>
    <row r="1578" spans="1:4" x14ac:dyDescent="0.25">
      <c r="A1578" s="1160"/>
      <c r="B1578" s="612">
        <v>3909</v>
      </c>
      <c r="C1578" s="613" t="s">
        <v>2069</v>
      </c>
      <c r="D1578" s="614">
        <v>1</v>
      </c>
    </row>
    <row r="1579" spans="1:4" x14ac:dyDescent="0.25">
      <c r="A1579" s="1160"/>
      <c r="B1579" s="612">
        <v>3925</v>
      </c>
      <c r="C1579" s="613" t="s">
        <v>2070</v>
      </c>
      <c r="D1579" s="614">
        <v>1</v>
      </c>
    </row>
    <row r="1580" spans="1:4" x14ac:dyDescent="0.25">
      <c r="A1580" s="1160"/>
      <c r="B1580" s="612">
        <v>3900</v>
      </c>
      <c r="C1580" s="613" t="s">
        <v>2071</v>
      </c>
      <c r="D1580" s="614">
        <v>1</v>
      </c>
    </row>
    <row r="1581" spans="1:4" x14ac:dyDescent="0.25">
      <c r="A1581" s="1160"/>
      <c r="B1581" s="612">
        <v>3907</v>
      </c>
      <c r="C1581" s="613" t="s">
        <v>2072</v>
      </c>
      <c r="D1581" s="614">
        <v>1</v>
      </c>
    </row>
    <row r="1582" spans="1:4" x14ac:dyDescent="0.25">
      <c r="A1582" s="1160"/>
      <c r="B1582" s="612">
        <v>3906</v>
      </c>
      <c r="C1582" s="613" t="s">
        <v>2073</v>
      </c>
      <c r="D1582" s="614">
        <v>1</v>
      </c>
    </row>
    <row r="1583" spans="1:4" x14ac:dyDescent="0.25">
      <c r="A1583" s="1160"/>
      <c r="B1583" s="612">
        <v>3916</v>
      </c>
      <c r="C1583" s="613" t="s">
        <v>2074</v>
      </c>
      <c r="D1583" s="614">
        <v>1</v>
      </c>
    </row>
    <row r="1584" spans="1:4" x14ac:dyDescent="0.25">
      <c r="A1584" s="1160"/>
      <c r="B1584" s="612">
        <v>3933</v>
      </c>
      <c r="C1584" s="613" t="s">
        <v>2075</v>
      </c>
      <c r="D1584" s="614">
        <v>1</v>
      </c>
    </row>
    <row r="1585" spans="1:4" x14ac:dyDescent="0.25">
      <c r="A1585" s="1160"/>
      <c r="B1585" s="612">
        <v>3940</v>
      </c>
      <c r="C1585" s="613" t="s">
        <v>2076</v>
      </c>
      <c r="D1585" s="614">
        <v>1</v>
      </c>
    </row>
    <row r="1586" spans="1:4" x14ac:dyDescent="0.25">
      <c r="A1586" s="1160"/>
      <c r="B1586" s="612">
        <v>3912</v>
      </c>
      <c r="C1586" s="613" t="s">
        <v>1022</v>
      </c>
      <c r="D1586" s="614">
        <v>1</v>
      </c>
    </row>
    <row r="1587" spans="1:4" x14ac:dyDescent="0.25">
      <c r="A1587" s="1160"/>
      <c r="B1587" s="612">
        <v>3910</v>
      </c>
      <c r="C1587" s="613" t="s">
        <v>2077</v>
      </c>
      <c r="D1587" s="614">
        <v>1</v>
      </c>
    </row>
    <row r="1588" spans="1:4" x14ac:dyDescent="0.25">
      <c r="A1588" s="1160"/>
      <c r="B1588" s="612">
        <v>3941</v>
      </c>
      <c r="C1588" s="613" t="s">
        <v>2078</v>
      </c>
      <c r="D1588" s="614">
        <v>1</v>
      </c>
    </row>
    <row r="1589" spans="1:4" x14ac:dyDescent="0.25">
      <c r="A1589" s="1160"/>
      <c r="B1589" s="612">
        <v>3922</v>
      </c>
      <c r="C1589" s="613" t="s">
        <v>2079</v>
      </c>
      <c r="D1589" s="614">
        <v>1</v>
      </c>
    </row>
    <row r="1590" spans="1:4" x14ac:dyDescent="0.25">
      <c r="A1590" s="1160"/>
      <c r="B1590" s="612">
        <v>3930</v>
      </c>
      <c r="C1590" s="613" t="s">
        <v>1486</v>
      </c>
      <c r="D1590" s="614">
        <v>1</v>
      </c>
    </row>
    <row r="1591" spans="1:4" x14ac:dyDescent="0.25">
      <c r="A1591" s="1160"/>
      <c r="B1591" s="612">
        <v>3935</v>
      </c>
      <c r="C1591" s="613" t="s">
        <v>2080</v>
      </c>
      <c r="D1591" s="614">
        <v>1</v>
      </c>
    </row>
    <row r="1592" spans="1:4" x14ac:dyDescent="0.25">
      <c r="A1592" s="1160"/>
      <c r="B1592" s="612">
        <v>3938</v>
      </c>
      <c r="C1592" s="613" t="s">
        <v>1817</v>
      </c>
      <c r="D1592" s="614">
        <v>1</v>
      </c>
    </row>
    <row r="1593" spans="1:4" x14ac:dyDescent="0.25">
      <c r="A1593" s="1160"/>
      <c r="B1593" s="612">
        <v>3917</v>
      </c>
      <c r="C1593" s="613" t="s">
        <v>2081</v>
      </c>
      <c r="D1593" s="614">
        <v>1</v>
      </c>
    </row>
    <row r="1594" spans="1:4" x14ac:dyDescent="0.25">
      <c r="A1594" s="1160"/>
      <c r="B1594" s="612">
        <v>3936</v>
      </c>
      <c r="C1594" s="613" t="s">
        <v>2082</v>
      </c>
      <c r="D1594" s="614">
        <v>1</v>
      </c>
    </row>
    <row r="1595" spans="1:4" x14ac:dyDescent="0.25">
      <c r="A1595" s="1160"/>
      <c r="B1595" s="612">
        <v>3927</v>
      </c>
      <c r="C1595" s="613" t="s">
        <v>1076</v>
      </c>
      <c r="D1595" s="614">
        <v>1</v>
      </c>
    </row>
    <row r="1596" spans="1:4" x14ac:dyDescent="0.25">
      <c r="A1596" s="1160"/>
      <c r="B1596" s="612">
        <v>3924</v>
      </c>
      <c r="C1596" s="613" t="s">
        <v>2083</v>
      </c>
      <c r="D1596" s="614">
        <v>1</v>
      </c>
    </row>
    <row r="1597" spans="1:4" x14ac:dyDescent="0.25">
      <c r="A1597" s="1160"/>
      <c r="B1597" s="612">
        <v>3926</v>
      </c>
      <c r="C1597" s="613" t="s">
        <v>1790</v>
      </c>
      <c r="D1597" s="614">
        <v>1</v>
      </c>
    </row>
    <row r="1598" spans="1:4" x14ac:dyDescent="0.25">
      <c r="A1598" s="1160"/>
      <c r="B1598" s="612">
        <v>3908</v>
      </c>
      <c r="C1598" s="613" t="s">
        <v>2084</v>
      </c>
      <c r="D1598" s="614">
        <v>1</v>
      </c>
    </row>
    <row r="1599" spans="1:4" x14ac:dyDescent="0.25">
      <c r="A1599" s="1160"/>
      <c r="B1599" s="612">
        <v>3937</v>
      </c>
      <c r="C1599" s="613" t="s">
        <v>2085</v>
      </c>
      <c r="D1599" s="614">
        <v>1</v>
      </c>
    </row>
    <row r="1600" spans="1:4" x14ac:dyDescent="0.25">
      <c r="A1600" s="1160"/>
      <c r="B1600" s="612">
        <v>3929</v>
      </c>
      <c r="C1600" s="613" t="s">
        <v>1474</v>
      </c>
      <c r="D1600" s="614">
        <v>1</v>
      </c>
    </row>
    <row r="1601" spans="1:4" x14ac:dyDescent="0.25">
      <c r="A1601" s="1160"/>
      <c r="B1601" s="612">
        <v>3902</v>
      </c>
      <c r="C1601" s="613" t="s">
        <v>2086</v>
      </c>
      <c r="D1601" s="614">
        <v>1</v>
      </c>
    </row>
    <row r="1602" spans="1:4" x14ac:dyDescent="0.25">
      <c r="A1602" s="1160"/>
      <c r="B1602" s="612">
        <v>3914</v>
      </c>
      <c r="C1602" s="613" t="s">
        <v>2087</v>
      </c>
      <c r="D1602" s="614">
        <v>1</v>
      </c>
    </row>
    <row r="1603" spans="1:4" x14ac:dyDescent="0.25">
      <c r="A1603" s="1160"/>
      <c r="B1603" s="612">
        <v>3911</v>
      </c>
      <c r="C1603" s="613" t="s">
        <v>2088</v>
      </c>
      <c r="D1603" s="614">
        <v>1</v>
      </c>
    </row>
    <row r="1604" spans="1:4" x14ac:dyDescent="0.25">
      <c r="A1604" s="1160"/>
      <c r="B1604" s="612">
        <v>3903</v>
      </c>
      <c r="C1604" s="613" t="s">
        <v>805</v>
      </c>
      <c r="D1604" s="614">
        <v>1</v>
      </c>
    </row>
    <row r="1605" spans="1:4" x14ac:dyDescent="0.25">
      <c r="A1605" s="1160"/>
      <c r="B1605" s="612">
        <v>3931</v>
      </c>
      <c r="C1605" s="613" t="s">
        <v>2089</v>
      </c>
      <c r="D1605" s="614">
        <v>1</v>
      </c>
    </row>
    <row r="1606" spans="1:4" x14ac:dyDescent="0.25">
      <c r="A1606" s="1160"/>
      <c r="B1606" s="612">
        <v>3918</v>
      </c>
      <c r="C1606" s="613" t="s">
        <v>1555</v>
      </c>
      <c r="D1606" s="614">
        <v>1</v>
      </c>
    </row>
    <row r="1607" spans="1:4" x14ac:dyDescent="0.25">
      <c r="A1607" s="1160"/>
      <c r="B1607" s="612">
        <v>3919</v>
      </c>
      <c r="C1607" s="613" t="s">
        <v>2090</v>
      </c>
      <c r="D1607" s="614">
        <v>1</v>
      </c>
    </row>
    <row r="1608" spans="1:4" x14ac:dyDescent="0.25">
      <c r="A1608" s="1160"/>
      <c r="B1608" s="612">
        <v>3915</v>
      </c>
      <c r="C1608" s="613" t="s">
        <v>2091</v>
      </c>
      <c r="D1608" s="614">
        <v>1</v>
      </c>
    </row>
    <row r="1609" spans="1:4" x14ac:dyDescent="0.25">
      <c r="A1609" s="1160"/>
      <c r="B1609" s="612">
        <v>3904</v>
      </c>
      <c r="C1609" s="613" t="s">
        <v>2092</v>
      </c>
      <c r="D1609" s="614">
        <v>1</v>
      </c>
    </row>
    <row r="1610" spans="1:4" x14ac:dyDescent="0.25">
      <c r="A1610" s="1160"/>
      <c r="B1610" s="612">
        <v>3920</v>
      </c>
      <c r="C1610" s="613" t="s">
        <v>1412</v>
      </c>
      <c r="D1610" s="614">
        <v>1</v>
      </c>
    </row>
    <row r="1611" spans="1:4" ht="12.75" customHeight="1" x14ac:dyDescent="0.25">
      <c r="A1611" s="1160"/>
      <c r="B1611" s="612">
        <v>3932</v>
      </c>
      <c r="C1611" s="613" t="s">
        <v>1815</v>
      </c>
      <c r="D1611" s="614">
        <v>1</v>
      </c>
    </row>
    <row r="1612" spans="1:4" x14ac:dyDescent="0.25">
      <c r="A1612" s="1160"/>
      <c r="B1612" s="612">
        <v>3905</v>
      </c>
      <c r="C1612" s="613" t="s">
        <v>1107</v>
      </c>
      <c r="D1612" s="614">
        <v>1</v>
      </c>
    </row>
    <row r="1613" spans="1:4" ht="13.5" thickBot="1" x14ac:dyDescent="0.3">
      <c r="A1613" s="1161"/>
      <c r="B1613" s="605">
        <v>3901</v>
      </c>
      <c r="C1613" s="606" t="s">
        <v>2093</v>
      </c>
      <c r="D1613" s="607">
        <v>1</v>
      </c>
    </row>
    <row r="1614" spans="1:4" ht="13.5" customHeight="1" x14ac:dyDescent="0.25">
      <c r="A1614" s="1151" t="s">
        <v>2094</v>
      </c>
      <c r="B1614" s="602">
        <v>4039</v>
      </c>
      <c r="C1614" s="603" t="s">
        <v>2302</v>
      </c>
      <c r="D1614" s="604">
        <v>1</v>
      </c>
    </row>
    <row r="1615" spans="1:4" x14ac:dyDescent="0.25">
      <c r="A1615" s="1160"/>
      <c r="B1615" s="612">
        <v>4022</v>
      </c>
      <c r="C1615" s="613" t="s">
        <v>2095</v>
      </c>
      <c r="D1615" s="614">
        <v>1</v>
      </c>
    </row>
    <row r="1616" spans="1:4" ht="25.5" x14ac:dyDescent="0.25">
      <c r="A1616" s="1160"/>
      <c r="B1616" s="612">
        <v>4016</v>
      </c>
      <c r="C1616" s="613" t="s">
        <v>2303</v>
      </c>
      <c r="D1616" s="614">
        <v>1</v>
      </c>
    </row>
    <row r="1617" spans="1:4" ht="25.5" x14ac:dyDescent="0.25">
      <c r="A1617" s="1160"/>
      <c r="B1617" s="612">
        <v>4036</v>
      </c>
      <c r="C1617" s="613" t="s">
        <v>2304</v>
      </c>
      <c r="D1617" s="614">
        <v>1</v>
      </c>
    </row>
    <row r="1618" spans="1:4" x14ac:dyDescent="0.25">
      <c r="A1618" s="1160"/>
      <c r="B1618" s="612">
        <v>4031</v>
      </c>
      <c r="C1618" s="613" t="s">
        <v>2096</v>
      </c>
      <c r="D1618" s="614">
        <v>1</v>
      </c>
    </row>
    <row r="1619" spans="1:4" ht="25.5" x14ac:dyDescent="0.25">
      <c r="A1619" s="1160"/>
      <c r="B1619" s="612">
        <v>4025</v>
      </c>
      <c r="C1619" s="613" t="s">
        <v>2305</v>
      </c>
      <c r="D1619" s="614">
        <v>1</v>
      </c>
    </row>
    <row r="1620" spans="1:4" ht="25.5" x14ac:dyDescent="0.25">
      <c r="A1620" s="1160"/>
      <c r="B1620" s="612">
        <v>4015</v>
      </c>
      <c r="C1620" s="613" t="s">
        <v>2306</v>
      </c>
      <c r="D1620" s="614">
        <v>1</v>
      </c>
    </row>
    <row r="1621" spans="1:4" x14ac:dyDescent="0.25">
      <c r="A1621" s="1160"/>
      <c r="B1621" s="612">
        <v>4013</v>
      </c>
      <c r="C1621" s="613" t="s">
        <v>2097</v>
      </c>
      <c r="D1621" s="614">
        <v>1</v>
      </c>
    </row>
    <row r="1622" spans="1:4" ht="25.5" x14ac:dyDescent="0.25">
      <c r="A1622" s="1160"/>
      <c r="B1622" s="612">
        <v>4040</v>
      </c>
      <c r="C1622" s="613" t="s">
        <v>2307</v>
      </c>
      <c r="D1622" s="614">
        <v>1</v>
      </c>
    </row>
    <row r="1623" spans="1:4" ht="25.5" x14ac:dyDescent="0.25">
      <c r="A1623" s="1160"/>
      <c r="B1623" s="612">
        <v>4014</v>
      </c>
      <c r="C1623" s="613" t="s">
        <v>2308</v>
      </c>
      <c r="D1623" s="614">
        <v>1</v>
      </c>
    </row>
    <row r="1624" spans="1:4" x14ac:dyDescent="0.25">
      <c r="A1624" s="1160"/>
      <c r="B1624" s="612">
        <v>4021</v>
      </c>
      <c r="C1624" s="613" t="s">
        <v>2098</v>
      </c>
      <c r="D1624" s="614">
        <v>1</v>
      </c>
    </row>
    <row r="1625" spans="1:4" ht="25.5" x14ac:dyDescent="0.25">
      <c r="A1625" s="1160"/>
      <c r="B1625" s="612">
        <v>4026</v>
      </c>
      <c r="C1625" s="613" t="s">
        <v>2309</v>
      </c>
      <c r="D1625" s="614">
        <v>1</v>
      </c>
    </row>
    <row r="1626" spans="1:4" x14ac:dyDescent="0.25">
      <c r="A1626" s="1160"/>
      <c r="B1626" s="612">
        <v>4003</v>
      </c>
      <c r="C1626" s="613" t="s">
        <v>2099</v>
      </c>
      <c r="D1626" s="614">
        <v>1</v>
      </c>
    </row>
    <row r="1627" spans="1:4" x14ac:dyDescent="0.25">
      <c r="A1627" s="1160"/>
      <c r="B1627" s="612">
        <v>4030</v>
      </c>
      <c r="C1627" s="613" t="s">
        <v>2100</v>
      </c>
      <c r="D1627" s="614">
        <v>1</v>
      </c>
    </row>
    <row r="1628" spans="1:4" ht="25.5" x14ac:dyDescent="0.25">
      <c r="A1628" s="1160"/>
      <c r="B1628" s="612">
        <v>4034</v>
      </c>
      <c r="C1628" s="613" t="s">
        <v>2310</v>
      </c>
      <c r="D1628" s="614">
        <v>1</v>
      </c>
    </row>
    <row r="1629" spans="1:4" x14ac:dyDescent="0.25">
      <c r="A1629" s="1160"/>
      <c r="B1629" s="612">
        <v>4010</v>
      </c>
      <c r="C1629" s="613" t="s">
        <v>2101</v>
      </c>
      <c r="D1629" s="614">
        <v>1</v>
      </c>
    </row>
    <row r="1630" spans="1:4" ht="25.5" x14ac:dyDescent="0.25">
      <c r="A1630" s="1160"/>
      <c r="B1630" s="612">
        <v>4032</v>
      </c>
      <c r="C1630" s="613" t="s">
        <v>2311</v>
      </c>
      <c r="D1630" s="614">
        <v>1</v>
      </c>
    </row>
    <row r="1631" spans="1:4" ht="26.25" customHeight="1" x14ac:dyDescent="0.25">
      <c r="A1631" s="1160"/>
      <c r="B1631" s="612">
        <v>4033</v>
      </c>
      <c r="C1631" s="613" t="s">
        <v>2312</v>
      </c>
      <c r="D1631" s="614">
        <v>1</v>
      </c>
    </row>
    <row r="1632" spans="1:4" ht="25.5" x14ac:dyDescent="0.25">
      <c r="A1632" s="1160"/>
      <c r="B1632" s="612">
        <v>4005</v>
      </c>
      <c r="C1632" s="613" t="s">
        <v>2313</v>
      </c>
      <c r="D1632" s="614">
        <v>1</v>
      </c>
    </row>
    <row r="1633" spans="1:4" ht="25.5" x14ac:dyDescent="0.25">
      <c r="A1633" s="1160"/>
      <c r="B1633" s="612">
        <v>4028</v>
      </c>
      <c r="C1633" s="613" t="s">
        <v>2314</v>
      </c>
      <c r="D1633" s="614">
        <v>1</v>
      </c>
    </row>
    <row r="1634" spans="1:4" ht="25.5" x14ac:dyDescent="0.25">
      <c r="A1634" s="1160"/>
      <c r="B1634" s="612">
        <v>4027</v>
      </c>
      <c r="C1634" s="613" t="s">
        <v>2315</v>
      </c>
      <c r="D1634" s="614">
        <v>1</v>
      </c>
    </row>
    <row r="1635" spans="1:4" ht="25.5" x14ac:dyDescent="0.25">
      <c r="A1635" s="1160"/>
      <c r="B1635" s="612">
        <v>4007</v>
      </c>
      <c r="C1635" s="613" t="s">
        <v>2316</v>
      </c>
      <c r="D1635" s="614">
        <v>1</v>
      </c>
    </row>
    <row r="1636" spans="1:4" ht="25.5" x14ac:dyDescent="0.25">
      <c r="A1636" s="1160"/>
      <c r="B1636" s="612">
        <v>4009</v>
      </c>
      <c r="C1636" s="613" t="s">
        <v>2317</v>
      </c>
      <c r="D1636" s="614">
        <v>1</v>
      </c>
    </row>
    <row r="1637" spans="1:4" x14ac:dyDescent="0.25">
      <c r="A1637" s="1160"/>
      <c r="B1637" s="612">
        <v>4023</v>
      </c>
      <c r="C1637" s="613" t="s">
        <v>2102</v>
      </c>
      <c r="D1637" s="614">
        <v>1</v>
      </c>
    </row>
    <row r="1638" spans="1:4" x14ac:dyDescent="0.25">
      <c r="A1638" s="1160"/>
      <c r="B1638" s="612">
        <v>4037</v>
      </c>
      <c r="C1638" s="613" t="s">
        <v>2103</v>
      </c>
      <c r="D1638" s="614">
        <v>1</v>
      </c>
    </row>
    <row r="1639" spans="1:4" ht="25.5" x14ac:dyDescent="0.25">
      <c r="A1639" s="1160"/>
      <c r="B1639" s="612">
        <v>4024</v>
      </c>
      <c r="C1639" s="613" t="s">
        <v>2318</v>
      </c>
      <c r="D1639" s="614">
        <v>1</v>
      </c>
    </row>
    <row r="1640" spans="1:4" ht="25.5" x14ac:dyDescent="0.25">
      <c r="A1640" s="1160"/>
      <c r="B1640" s="612">
        <v>4008</v>
      </c>
      <c r="C1640" s="613" t="s">
        <v>2319</v>
      </c>
      <c r="D1640" s="614">
        <v>1</v>
      </c>
    </row>
    <row r="1641" spans="1:4" ht="25.5" x14ac:dyDescent="0.25">
      <c r="A1641" s="1160"/>
      <c r="B1641" s="612">
        <v>4038</v>
      </c>
      <c r="C1641" s="613" t="s">
        <v>2320</v>
      </c>
      <c r="D1641" s="614">
        <v>1</v>
      </c>
    </row>
    <row r="1642" spans="1:4" x14ac:dyDescent="0.25">
      <c r="A1642" s="1160"/>
      <c r="B1642" s="612">
        <v>4029</v>
      </c>
      <c r="C1642" s="613" t="s">
        <v>2104</v>
      </c>
      <c r="D1642" s="614">
        <v>1</v>
      </c>
    </row>
    <row r="1643" spans="1:4" ht="25.5" x14ac:dyDescent="0.25">
      <c r="A1643" s="1160"/>
      <c r="B1643" s="612">
        <v>4035</v>
      </c>
      <c r="C1643" s="613" t="s">
        <v>2321</v>
      </c>
      <c r="D1643" s="614">
        <v>1</v>
      </c>
    </row>
    <row r="1644" spans="1:4" x14ac:dyDescent="0.25">
      <c r="A1644" s="1160"/>
      <c r="B1644" s="612">
        <v>4000</v>
      </c>
      <c r="C1644" s="613" t="s">
        <v>2105</v>
      </c>
      <c r="D1644" s="614">
        <v>1</v>
      </c>
    </row>
    <row r="1645" spans="1:4" ht="25.5" x14ac:dyDescent="0.25">
      <c r="A1645" s="1160"/>
      <c r="B1645" s="612">
        <v>4012</v>
      </c>
      <c r="C1645" s="613" t="s">
        <v>2322</v>
      </c>
      <c r="D1645" s="614">
        <v>1</v>
      </c>
    </row>
    <row r="1646" spans="1:4" ht="22.5" customHeight="1" x14ac:dyDescent="0.25">
      <c r="A1646" s="1160"/>
      <c r="B1646" s="612">
        <v>4006</v>
      </c>
      <c r="C1646" s="613" t="s">
        <v>2323</v>
      </c>
      <c r="D1646" s="614">
        <v>1</v>
      </c>
    </row>
    <row r="1647" spans="1:4" x14ac:dyDescent="0.25">
      <c r="A1647" s="1160"/>
      <c r="B1647" s="612">
        <v>4020</v>
      </c>
      <c r="C1647" s="613" t="s">
        <v>2106</v>
      </c>
      <c r="D1647" s="614">
        <v>1</v>
      </c>
    </row>
    <row r="1648" spans="1:4" x14ac:dyDescent="0.25">
      <c r="A1648" s="1160"/>
      <c r="B1648" s="612">
        <v>4004</v>
      </c>
      <c r="C1648" s="613" t="s">
        <v>2107</v>
      </c>
      <c r="D1648" s="614">
        <v>1</v>
      </c>
    </row>
    <row r="1649" spans="1:4" ht="25.5" x14ac:dyDescent="0.25">
      <c r="A1649" s="1160"/>
      <c r="B1649" s="612">
        <v>4002</v>
      </c>
      <c r="C1649" s="613" t="s">
        <v>2324</v>
      </c>
      <c r="D1649" s="614">
        <v>1</v>
      </c>
    </row>
    <row r="1650" spans="1:4" x14ac:dyDescent="0.25">
      <c r="A1650" s="1160"/>
      <c r="B1650" s="612">
        <v>4019</v>
      </c>
      <c r="C1650" s="613" t="s">
        <v>2108</v>
      </c>
      <c r="D1650" s="614">
        <v>1</v>
      </c>
    </row>
    <row r="1651" spans="1:4" ht="25.5" x14ac:dyDescent="0.25">
      <c r="A1651" s="1160"/>
      <c r="B1651" s="612">
        <v>4018</v>
      </c>
      <c r="C1651" s="613" t="s">
        <v>2325</v>
      </c>
      <c r="D1651" s="614">
        <v>1</v>
      </c>
    </row>
    <row r="1652" spans="1:4" x14ac:dyDescent="0.25">
      <c r="A1652" s="1160"/>
      <c r="B1652" s="612">
        <v>4017</v>
      </c>
      <c r="C1652" s="613" t="s">
        <v>2109</v>
      </c>
      <c r="D1652" s="614">
        <v>1</v>
      </c>
    </row>
    <row r="1653" spans="1:4" ht="16.5" customHeight="1" thickBot="1" x14ac:dyDescent="0.3">
      <c r="A1653" s="1161"/>
      <c r="B1653" s="605">
        <v>4011</v>
      </c>
      <c r="C1653" s="606" t="s">
        <v>984</v>
      </c>
      <c r="D1653" s="607">
        <v>1</v>
      </c>
    </row>
    <row r="1654" spans="1:4" ht="15" customHeight="1" x14ac:dyDescent="0.25">
      <c r="A1654" s="1151" t="s">
        <v>2110</v>
      </c>
      <c r="B1654" s="602">
        <v>1014</v>
      </c>
      <c r="C1654" s="603" t="s">
        <v>2111</v>
      </c>
      <c r="D1654" s="604">
        <v>1</v>
      </c>
    </row>
    <row r="1655" spans="1:4" ht="15" customHeight="1" x14ac:dyDescent="0.25">
      <c r="A1655" s="1160"/>
      <c r="B1655" s="612">
        <v>1010</v>
      </c>
      <c r="C1655" s="613" t="s">
        <v>2112</v>
      </c>
      <c r="D1655" s="614">
        <v>1</v>
      </c>
    </row>
    <row r="1656" spans="1:4" ht="15" customHeight="1" x14ac:dyDescent="0.25">
      <c r="A1656" s="1160"/>
      <c r="B1656" s="612">
        <v>1001</v>
      </c>
      <c r="C1656" s="613" t="s">
        <v>2093</v>
      </c>
      <c r="D1656" s="614">
        <v>1</v>
      </c>
    </row>
    <row r="1657" spans="1:4" x14ac:dyDescent="0.25">
      <c r="A1657" s="1160"/>
      <c r="B1657" s="612">
        <v>1002</v>
      </c>
      <c r="C1657" s="613" t="s">
        <v>683</v>
      </c>
      <c r="D1657" s="614">
        <v>1</v>
      </c>
    </row>
    <row r="1658" spans="1:4" x14ac:dyDescent="0.25">
      <c r="A1658" s="1160"/>
      <c r="B1658" s="612">
        <v>1016</v>
      </c>
      <c r="C1658" s="613" t="s">
        <v>2113</v>
      </c>
      <c r="D1658" s="614">
        <v>1</v>
      </c>
    </row>
    <row r="1659" spans="1:4" x14ac:dyDescent="0.25">
      <c r="A1659" s="1160"/>
      <c r="B1659" s="612">
        <v>1007</v>
      </c>
      <c r="C1659" s="613" t="s">
        <v>1022</v>
      </c>
      <c r="D1659" s="614">
        <v>1</v>
      </c>
    </row>
    <row r="1660" spans="1:4" x14ac:dyDescent="0.25">
      <c r="A1660" s="1160"/>
      <c r="B1660" s="612">
        <v>1000</v>
      </c>
      <c r="C1660" s="613" t="s">
        <v>921</v>
      </c>
      <c r="D1660" s="614">
        <v>1</v>
      </c>
    </row>
    <row r="1661" spans="1:4" x14ac:dyDescent="0.25">
      <c r="A1661" s="1160"/>
      <c r="B1661" s="612">
        <v>1030</v>
      </c>
      <c r="C1661" s="613" t="s">
        <v>2114</v>
      </c>
      <c r="D1661" s="614">
        <v>1</v>
      </c>
    </row>
    <row r="1662" spans="1:4" x14ac:dyDescent="0.25">
      <c r="A1662" s="1160"/>
      <c r="B1662" s="612">
        <v>1018</v>
      </c>
      <c r="C1662" s="613" t="s">
        <v>2115</v>
      </c>
      <c r="D1662" s="614">
        <v>1</v>
      </c>
    </row>
    <row r="1663" spans="1:4" x14ac:dyDescent="0.25">
      <c r="A1663" s="1160"/>
      <c r="B1663" s="612">
        <v>1017</v>
      </c>
      <c r="C1663" s="613" t="s">
        <v>2116</v>
      </c>
      <c r="D1663" s="614">
        <v>1</v>
      </c>
    </row>
    <row r="1664" spans="1:4" x14ac:dyDescent="0.25">
      <c r="A1664" s="1160"/>
      <c r="B1664" s="612">
        <v>1021</v>
      </c>
      <c r="C1664" s="613" t="s">
        <v>2117</v>
      </c>
      <c r="D1664" s="614">
        <v>1</v>
      </c>
    </row>
    <row r="1665" spans="1:4" x14ac:dyDescent="0.25">
      <c r="A1665" s="1160"/>
      <c r="B1665" s="612">
        <v>1026</v>
      </c>
      <c r="C1665" s="613" t="s">
        <v>2118</v>
      </c>
      <c r="D1665" s="614">
        <v>1</v>
      </c>
    </row>
    <row r="1666" spans="1:4" x14ac:dyDescent="0.25">
      <c r="A1666" s="1160"/>
      <c r="B1666" s="612">
        <v>1020</v>
      </c>
      <c r="C1666" s="613" t="s">
        <v>2119</v>
      </c>
      <c r="D1666" s="614">
        <v>1</v>
      </c>
    </row>
    <row r="1667" spans="1:4" x14ac:dyDescent="0.25">
      <c r="A1667" s="1160"/>
      <c r="B1667" s="612">
        <v>1009</v>
      </c>
      <c r="C1667" s="613" t="s">
        <v>869</v>
      </c>
      <c r="D1667" s="614">
        <v>1</v>
      </c>
    </row>
    <row r="1668" spans="1:4" x14ac:dyDescent="0.25">
      <c r="A1668" s="1160"/>
      <c r="B1668" s="612">
        <v>1023</v>
      </c>
      <c r="C1668" s="613" t="s">
        <v>2120</v>
      </c>
      <c r="D1668" s="614">
        <v>1</v>
      </c>
    </row>
    <row r="1669" spans="1:4" x14ac:dyDescent="0.25">
      <c r="A1669" s="1160"/>
      <c r="B1669" s="612">
        <v>1024</v>
      </c>
      <c r="C1669" s="613" t="s">
        <v>633</v>
      </c>
      <c r="D1669" s="614">
        <v>1</v>
      </c>
    </row>
    <row r="1670" spans="1:4" x14ac:dyDescent="0.25">
      <c r="A1670" s="1160"/>
      <c r="B1670" s="612">
        <v>1019</v>
      </c>
      <c r="C1670" s="613" t="s">
        <v>2121</v>
      </c>
      <c r="D1670" s="614">
        <v>1</v>
      </c>
    </row>
    <row r="1671" spans="1:4" ht="13.5" customHeight="1" x14ac:dyDescent="0.25">
      <c r="A1671" s="1160"/>
      <c r="B1671" s="612">
        <v>1029</v>
      </c>
      <c r="C1671" s="613" t="s">
        <v>2122</v>
      </c>
      <c r="D1671" s="614">
        <v>1</v>
      </c>
    </row>
    <row r="1672" spans="1:4" x14ac:dyDescent="0.25">
      <c r="A1672" s="1160"/>
      <c r="B1672" s="612">
        <v>1028</v>
      </c>
      <c r="C1672" s="613" t="s">
        <v>2123</v>
      </c>
      <c r="D1672" s="614">
        <v>1</v>
      </c>
    </row>
    <row r="1673" spans="1:4" x14ac:dyDescent="0.25">
      <c r="A1673" s="1160"/>
      <c r="B1673" s="612">
        <v>1008</v>
      </c>
      <c r="C1673" s="613" t="s">
        <v>2124</v>
      </c>
      <c r="D1673" s="614">
        <v>1</v>
      </c>
    </row>
    <row r="1674" spans="1:4" x14ac:dyDescent="0.25">
      <c r="A1674" s="1160"/>
      <c r="B1674" s="612">
        <v>1011</v>
      </c>
      <c r="C1674" s="613" t="s">
        <v>2125</v>
      </c>
      <c r="D1674" s="614">
        <v>1</v>
      </c>
    </row>
    <row r="1675" spans="1:4" x14ac:dyDescent="0.25">
      <c r="A1675" s="1160"/>
      <c r="B1675" s="612">
        <v>1025</v>
      </c>
      <c r="C1675" s="613" t="s">
        <v>2126</v>
      </c>
      <c r="D1675" s="614">
        <v>1</v>
      </c>
    </row>
    <row r="1676" spans="1:4" x14ac:dyDescent="0.25">
      <c r="A1676" s="1160"/>
      <c r="B1676" s="612">
        <v>1004</v>
      </c>
      <c r="C1676" s="613" t="s">
        <v>2127</v>
      </c>
      <c r="D1676" s="614">
        <v>1</v>
      </c>
    </row>
    <row r="1677" spans="1:4" x14ac:dyDescent="0.25">
      <c r="A1677" s="1160"/>
      <c r="B1677" s="612">
        <v>1012</v>
      </c>
      <c r="C1677" s="613" t="s">
        <v>2128</v>
      </c>
      <c r="D1677" s="614">
        <v>1</v>
      </c>
    </row>
    <row r="1678" spans="1:4" ht="12.75" customHeight="1" x14ac:dyDescent="0.25">
      <c r="A1678" s="1160"/>
      <c r="B1678" s="612">
        <v>1015</v>
      </c>
      <c r="C1678" s="613" t="s">
        <v>2129</v>
      </c>
      <c r="D1678" s="614">
        <v>1</v>
      </c>
    </row>
    <row r="1679" spans="1:4" ht="13.5" thickBot="1" x14ac:dyDescent="0.3">
      <c r="A1679" s="1161"/>
      <c r="B1679" s="605">
        <v>1005</v>
      </c>
      <c r="C1679" s="606" t="s">
        <v>2130</v>
      </c>
      <c r="D1679" s="607">
        <v>1</v>
      </c>
    </row>
    <row r="1680" spans="1:4" x14ac:dyDescent="0.25">
      <c r="A1680" s="1151" t="s">
        <v>2131</v>
      </c>
      <c r="B1680" s="602">
        <v>6127</v>
      </c>
      <c r="C1680" s="603" t="s">
        <v>2132</v>
      </c>
      <c r="D1680" s="604">
        <v>1</v>
      </c>
    </row>
    <row r="1681" spans="1:4" x14ac:dyDescent="0.25">
      <c r="A1681" s="1152"/>
      <c r="B1681" s="612">
        <v>6129</v>
      </c>
      <c r="C1681" s="613" t="s">
        <v>1389</v>
      </c>
      <c r="D1681" s="614">
        <v>1</v>
      </c>
    </row>
    <row r="1682" spans="1:4" x14ac:dyDescent="0.25">
      <c r="A1682" s="1152"/>
      <c r="B1682" s="612">
        <v>6122</v>
      </c>
      <c r="C1682" s="613" t="s">
        <v>2134</v>
      </c>
      <c r="D1682" s="614">
        <v>1</v>
      </c>
    </row>
    <row r="1683" spans="1:4" x14ac:dyDescent="0.25">
      <c r="A1683" s="1152"/>
      <c r="B1683" s="612">
        <v>6146</v>
      </c>
      <c r="C1683" s="613" t="s">
        <v>2133</v>
      </c>
      <c r="D1683" s="614">
        <v>1</v>
      </c>
    </row>
    <row r="1684" spans="1:4" x14ac:dyDescent="0.25">
      <c r="A1684" s="1152"/>
      <c r="B1684" s="612">
        <v>6142</v>
      </c>
      <c r="C1684" s="613" t="s">
        <v>2135</v>
      </c>
      <c r="D1684" s="614">
        <v>1</v>
      </c>
    </row>
    <row r="1685" spans="1:4" x14ac:dyDescent="0.25">
      <c r="A1685" s="1152"/>
      <c r="B1685" s="612">
        <v>6114</v>
      </c>
      <c r="C1685" s="613" t="s">
        <v>2137</v>
      </c>
      <c r="D1685" s="614">
        <v>1</v>
      </c>
    </row>
    <row r="1686" spans="1:4" x14ac:dyDescent="0.25">
      <c r="A1686" s="1152"/>
      <c r="B1686" s="612">
        <v>6145</v>
      </c>
      <c r="C1686" s="613" t="s">
        <v>2136</v>
      </c>
      <c r="D1686" s="614">
        <v>1</v>
      </c>
    </row>
    <row r="1687" spans="1:4" x14ac:dyDescent="0.25">
      <c r="A1687" s="1152"/>
      <c r="B1687" s="612">
        <v>6110</v>
      </c>
      <c r="C1687" s="613" t="s">
        <v>2139</v>
      </c>
      <c r="D1687" s="614">
        <v>1</v>
      </c>
    </row>
    <row r="1688" spans="1:4" x14ac:dyDescent="0.25">
      <c r="A1688" s="1152"/>
      <c r="B1688" s="612">
        <v>6125</v>
      </c>
      <c r="C1688" s="613" t="s">
        <v>2138</v>
      </c>
      <c r="D1688" s="614">
        <v>1</v>
      </c>
    </row>
    <row r="1689" spans="1:4" x14ac:dyDescent="0.25">
      <c r="A1689" s="1152"/>
      <c r="B1689" s="612">
        <v>6113</v>
      </c>
      <c r="C1689" s="613" t="s">
        <v>2141</v>
      </c>
      <c r="D1689" s="614">
        <v>1</v>
      </c>
    </row>
    <row r="1690" spans="1:4" x14ac:dyDescent="0.25">
      <c r="A1690" s="1152"/>
      <c r="B1690" s="612">
        <v>6140</v>
      </c>
      <c r="C1690" s="613" t="s">
        <v>2140</v>
      </c>
      <c r="D1690" s="614">
        <v>1</v>
      </c>
    </row>
    <row r="1691" spans="1:4" x14ac:dyDescent="0.25">
      <c r="A1691" s="1152"/>
      <c r="B1691" s="612">
        <v>6121</v>
      </c>
      <c r="C1691" s="613" t="s">
        <v>2142</v>
      </c>
      <c r="D1691" s="614">
        <v>1</v>
      </c>
    </row>
    <row r="1692" spans="1:4" x14ac:dyDescent="0.25">
      <c r="A1692" s="1152"/>
      <c r="B1692" s="612">
        <v>6133</v>
      </c>
      <c r="C1692" s="613" t="s">
        <v>2143</v>
      </c>
      <c r="D1692" s="614">
        <v>1</v>
      </c>
    </row>
    <row r="1693" spans="1:4" x14ac:dyDescent="0.25">
      <c r="A1693" s="1152"/>
      <c r="B1693" s="612">
        <v>6138</v>
      </c>
      <c r="C1693" s="613" t="s">
        <v>2144</v>
      </c>
      <c r="D1693" s="614">
        <v>1</v>
      </c>
    </row>
    <row r="1694" spans="1:4" x14ac:dyDescent="0.25">
      <c r="A1694" s="1152"/>
      <c r="B1694" s="612">
        <v>6144</v>
      </c>
      <c r="C1694" s="613" t="s">
        <v>2145</v>
      </c>
      <c r="D1694" s="614">
        <v>1</v>
      </c>
    </row>
    <row r="1695" spans="1:4" x14ac:dyDescent="0.25">
      <c r="A1695" s="1152"/>
      <c r="B1695" s="612">
        <v>6102</v>
      </c>
      <c r="C1695" s="613" t="s">
        <v>1905</v>
      </c>
      <c r="D1695" s="614">
        <v>1</v>
      </c>
    </row>
    <row r="1696" spans="1:4" x14ac:dyDescent="0.25">
      <c r="A1696" s="1152"/>
      <c r="B1696" s="612">
        <v>6103</v>
      </c>
      <c r="C1696" s="613" t="s">
        <v>2146</v>
      </c>
      <c r="D1696" s="614">
        <v>1</v>
      </c>
    </row>
    <row r="1697" spans="1:4" x14ac:dyDescent="0.25">
      <c r="A1697" s="1152"/>
      <c r="B1697" s="612">
        <v>6108</v>
      </c>
      <c r="C1697" s="613" t="s">
        <v>2147</v>
      </c>
      <c r="D1697" s="614">
        <v>1</v>
      </c>
    </row>
    <row r="1698" spans="1:4" x14ac:dyDescent="0.25">
      <c r="A1698" s="1152"/>
      <c r="B1698" s="612">
        <v>6137</v>
      </c>
      <c r="C1698" s="613" t="s">
        <v>2148</v>
      </c>
      <c r="D1698" s="614">
        <v>1</v>
      </c>
    </row>
    <row r="1699" spans="1:4" x14ac:dyDescent="0.25">
      <c r="A1699" s="1152"/>
      <c r="B1699" s="612">
        <v>6126</v>
      </c>
      <c r="C1699" s="613" t="s">
        <v>2149</v>
      </c>
      <c r="D1699" s="614">
        <v>1</v>
      </c>
    </row>
    <row r="1700" spans="1:4" x14ac:dyDescent="0.25">
      <c r="A1700" s="1152"/>
      <c r="B1700" s="612">
        <v>6128</v>
      </c>
      <c r="C1700" s="613" t="s">
        <v>638</v>
      </c>
      <c r="D1700" s="614">
        <v>1</v>
      </c>
    </row>
    <row r="1701" spans="1:4" x14ac:dyDescent="0.25">
      <c r="A1701" s="1152"/>
      <c r="B1701" s="612">
        <v>6124</v>
      </c>
      <c r="C1701" s="613" t="s">
        <v>2150</v>
      </c>
      <c r="D1701" s="614">
        <v>1</v>
      </c>
    </row>
    <row r="1702" spans="1:4" x14ac:dyDescent="0.25">
      <c r="A1702" s="1152"/>
      <c r="B1702" s="612">
        <v>6135</v>
      </c>
      <c r="C1702" s="613" t="s">
        <v>2151</v>
      </c>
      <c r="D1702" s="614">
        <v>1</v>
      </c>
    </row>
    <row r="1703" spans="1:4" x14ac:dyDescent="0.25">
      <c r="A1703" s="1152"/>
      <c r="B1703" s="612">
        <v>6136</v>
      </c>
      <c r="C1703" s="613" t="s">
        <v>2153</v>
      </c>
      <c r="D1703" s="614">
        <v>1</v>
      </c>
    </row>
    <row r="1704" spans="1:4" x14ac:dyDescent="0.25">
      <c r="A1704" s="1152"/>
      <c r="B1704" s="612">
        <v>6111</v>
      </c>
      <c r="C1704" s="613" t="s">
        <v>2152</v>
      </c>
      <c r="D1704" s="614">
        <v>1</v>
      </c>
    </row>
    <row r="1705" spans="1:4" x14ac:dyDescent="0.25">
      <c r="A1705" s="1152"/>
      <c r="B1705" s="612">
        <v>6104</v>
      </c>
      <c r="C1705" s="613" t="s">
        <v>2154</v>
      </c>
      <c r="D1705" s="614">
        <v>1</v>
      </c>
    </row>
    <row r="1706" spans="1:4" x14ac:dyDescent="0.25">
      <c r="A1706" s="1152"/>
      <c r="B1706" s="612">
        <v>6131</v>
      </c>
      <c r="C1706" s="613" t="s">
        <v>1486</v>
      </c>
      <c r="D1706" s="614">
        <v>1</v>
      </c>
    </row>
    <row r="1707" spans="1:4" x14ac:dyDescent="0.25">
      <c r="A1707" s="1152"/>
      <c r="B1707" s="612">
        <v>6112</v>
      </c>
      <c r="C1707" s="613" t="s">
        <v>2155</v>
      </c>
      <c r="D1707" s="614">
        <v>1</v>
      </c>
    </row>
    <row r="1708" spans="1:4" x14ac:dyDescent="0.25">
      <c r="A1708" s="1152"/>
      <c r="B1708" s="612">
        <v>6130</v>
      </c>
      <c r="C1708" s="613" t="s">
        <v>2156</v>
      </c>
      <c r="D1708" s="614">
        <v>1</v>
      </c>
    </row>
    <row r="1709" spans="1:4" x14ac:dyDescent="0.25">
      <c r="A1709" s="1152"/>
      <c r="B1709" s="612">
        <v>6106</v>
      </c>
      <c r="C1709" s="613" t="s">
        <v>1479</v>
      </c>
      <c r="D1709" s="614">
        <v>1</v>
      </c>
    </row>
    <row r="1710" spans="1:4" x14ac:dyDescent="0.25">
      <c r="A1710" s="1152"/>
      <c r="B1710" s="612">
        <v>6107</v>
      </c>
      <c r="C1710" s="613" t="s">
        <v>2157</v>
      </c>
      <c r="D1710" s="614">
        <v>1</v>
      </c>
    </row>
    <row r="1711" spans="1:4" x14ac:dyDescent="0.25">
      <c r="A1711" s="1152"/>
      <c r="B1711" s="612">
        <v>6105</v>
      </c>
      <c r="C1711" s="613" t="s">
        <v>2158</v>
      </c>
      <c r="D1711" s="614">
        <v>1</v>
      </c>
    </row>
    <row r="1712" spans="1:4" x14ac:dyDescent="0.25">
      <c r="A1712" s="1152"/>
      <c r="B1712" s="612">
        <v>6100</v>
      </c>
      <c r="C1712" s="613" t="s">
        <v>2159</v>
      </c>
      <c r="D1712" s="614">
        <v>1</v>
      </c>
    </row>
    <row r="1713" spans="1:4" x14ac:dyDescent="0.25">
      <c r="A1713" s="1152"/>
      <c r="B1713" s="612">
        <v>6134</v>
      </c>
      <c r="C1713" s="613" t="s">
        <v>2160</v>
      </c>
      <c r="D1713" s="614">
        <v>1</v>
      </c>
    </row>
    <row r="1714" spans="1:4" x14ac:dyDescent="0.25">
      <c r="A1714" s="1152"/>
      <c r="B1714" s="612">
        <v>6123</v>
      </c>
      <c r="C1714" s="613" t="s">
        <v>1260</v>
      </c>
      <c r="D1714" s="614">
        <v>1</v>
      </c>
    </row>
    <row r="1715" spans="1:4" x14ac:dyDescent="0.25">
      <c r="A1715" s="1152"/>
      <c r="B1715" s="612">
        <v>6118</v>
      </c>
      <c r="C1715" s="613" t="s">
        <v>2161</v>
      </c>
      <c r="D1715" s="614">
        <v>1</v>
      </c>
    </row>
    <row r="1716" spans="1:4" x14ac:dyDescent="0.25">
      <c r="A1716" s="1152"/>
      <c r="B1716" s="612">
        <v>6116</v>
      </c>
      <c r="C1716" s="613" t="s">
        <v>2162</v>
      </c>
      <c r="D1716" s="614">
        <v>1</v>
      </c>
    </row>
    <row r="1717" spans="1:4" x14ac:dyDescent="0.25">
      <c r="A1717" s="1152"/>
      <c r="B1717" s="612">
        <v>6132</v>
      </c>
      <c r="C1717" s="613" t="s">
        <v>2163</v>
      </c>
      <c r="D1717" s="614">
        <v>1</v>
      </c>
    </row>
    <row r="1718" spans="1:4" x14ac:dyDescent="0.25">
      <c r="A1718" s="1152"/>
      <c r="B1718" s="612">
        <v>6139</v>
      </c>
      <c r="C1718" s="613" t="s">
        <v>2164</v>
      </c>
      <c r="D1718" s="614">
        <v>1</v>
      </c>
    </row>
    <row r="1719" spans="1:4" x14ac:dyDescent="0.25">
      <c r="A1719" s="1152"/>
      <c r="B1719" s="612">
        <v>6120</v>
      </c>
      <c r="C1719" s="613" t="s">
        <v>2165</v>
      </c>
      <c r="D1719" s="614">
        <v>1</v>
      </c>
    </row>
    <row r="1720" spans="1:4" x14ac:dyDescent="0.25">
      <c r="A1720" s="1152"/>
      <c r="B1720" s="612">
        <v>6117</v>
      </c>
      <c r="C1720" s="613" t="s">
        <v>2166</v>
      </c>
      <c r="D1720" s="614">
        <v>1</v>
      </c>
    </row>
    <row r="1721" spans="1:4" x14ac:dyDescent="0.25">
      <c r="A1721" s="1152"/>
      <c r="B1721" s="612">
        <v>6143</v>
      </c>
      <c r="C1721" s="613" t="s">
        <v>2167</v>
      </c>
      <c r="D1721" s="614">
        <v>1</v>
      </c>
    </row>
    <row r="1722" spans="1:4" ht="13.5" thickBot="1" x14ac:dyDescent="0.3">
      <c r="A1722" s="1153"/>
      <c r="B1722" s="605">
        <v>6119</v>
      </c>
      <c r="C1722" s="606" t="s">
        <v>2168</v>
      </c>
      <c r="D1722" s="607">
        <v>1</v>
      </c>
    </row>
    <row r="1723" spans="1:4" x14ac:dyDescent="0.25">
      <c r="A1723" s="1154" t="s">
        <v>2169</v>
      </c>
      <c r="B1723" s="618">
        <v>5112</v>
      </c>
      <c r="C1723" s="619" t="s">
        <v>2170</v>
      </c>
      <c r="D1723" s="620">
        <v>1</v>
      </c>
    </row>
    <row r="1724" spans="1:4" x14ac:dyDescent="0.25">
      <c r="A1724" s="1152"/>
      <c r="B1724" s="612">
        <v>5108</v>
      </c>
      <c r="C1724" s="613" t="s">
        <v>2171</v>
      </c>
      <c r="D1724" s="614">
        <v>1</v>
      </c>
    </row>
    <row r="1725" spans="1:4" x14ac:dyDescent="0.25">
      <c r="A1725" s="1152"/>
      <c r="B1725" s="612">
        <v>5113</v>
      </c>
      <c r="C1725" s="613" t="s">
        <v>2172</v>
      </c>
      <c r="D1725" s="614">
        <v>1</v>
      </c>
    </row>
    <row r="1726" spans="1:4" x14ac:dyDescent="0.25">
      <c r="A1726" s="1152"/>
      <c r="B1726" s="612">
        <v>5110</v>
      </c>
      <c r="C1726" s="613" t="s">
        <v>2173</v>
      </c>
      <c r="D1726" s="614">
        <v>1</v>
      </c>
    </row>
    <row r="1727" spans="1:4" x14ac:dyDescent="0.25">
      <c r="A1727" s="1152"/>
      <c r="B1727" s="612">
        <v>5103</v>
      </c>
      <c r="C1727" s="613" t="s">
        <v>2174</v>
      </c>
      <c r="D1727" s="614">
        <v>1</v>
      </c>
    </row>
    <row r="1728" spans="1:4" x14ac:dyDescent="0.25">
      <c r="A1728" s="1152"/>
      <c r="B1728" s="612">
        <v>5119</v>
      </c>
      <c r="C1728" s="613" t="s">
        <v>2175</v>
      </c>
      <c r="D1728" s="614">
        <v>1</v>
      </c>
    </row>
    <row r="1729" spans="1:4" x14ac:dyDescent="0.25">
      <c r="A1729" s="1152"/>
      <c r="B1729" s="612">
        <v>5123</v>
      </c>
      <c r="C1729" s="613" t="s">
        <v>2176</v>
      </c>
      <c r="D1729" s="614">
        <v>1</v>
      </c>
    </row>
    <row r="1730" spans="1:4" x14ac:dyDescent="0.25">
      <c r="A1730" s="1152"/>
      <c r="B1730" s="612">
        <v>5128</v>
      </c>
      <c r="C1730" s="613" t="s">
        <v>2177</v>
      </c>
      <c r="D1730" s="614">
        <v>1</v>
      </c>
    </row>
    <row r="1731" spans="1:4" x14ac:dyDescent="0.25">
      <c r="A1731" s="1152"/>
      <c r="B1731" s="612">
        <v>5130</v>
      </c>
      <c r="C1731" s="613" t="s">
        <v>2178</v>
      </c>
      <c r="D1731" s="614">
        <v>1</v>
      </c>
    </row>
    <row r="1732" spans="1:4" x14ac:dyDescent="0.25">
      <c r="A1732" s="1152"/>
      <c r="B1732" s="612">
        <v>5127</v>
      </c>
      <c r="C1732" s="613" t="s">
        <v>2179</v>
      </c>
      <c r="D1732" s="614">
        <v>1</v>
      </c>
    </row>
    <row r="1733" spans="1:4" x14ac:dyDescent="0.25">
      <c r="A1733" s="1152"/>
      <c r="B1733" s="612">
        <v>5145</v>
      </c>
      <c r="C1733" s="613" t="s">
        <v>2180</v>
      </c>
      <c r="D1733" s="614">
        <v>1</v>
      </c>
    </row>
    <row r="1734" spans="1:4" x14ac:dyDescent="0.25">
      <c r="A1734" s="1152"/>
      <c r="B1734" s="612">
        <v>5107</v>
      </c>
      <c r="C1734" s="613" t="s">
        <v>2181</v>
      </c>
      <c r="D1734" s="614">
        <v>1</v>
      </c>
    </row>
    <row r="1735" spans="1:4" x14ac:dyDescent="0.25">
      <c r="A1735" s="1152"/>
      <c r="B1735" s="612">
        <v>5114</v>
      </c>
      <c r="C1735" s="613" t="s">
        <v>2182</v>
      </c>
      <c r="D1735" s="614">
        <v>1</v>
      </c>
    </row>
    <row r="1736" spans="1:4" x14ac:dyDescent="0.25">
      <c r="A1736" s="1152"/>
      <c r="B1736" s="612">
        <v>5138</v>
      </c>
      <c r="C1736" s="613" t="s">
        <v>2183</v>
      </c>
      <c r="D1736" s="614">
        <v>1</v>
      </c>
    </row>
    <row r="1737" spans="1:4" x14ac:dyDescent="0.25">
      <c r="A1737" s="1152"/>
      <c r="B1737" s="612">
        <v>5122</v>
      </c>
      <c r="C1737" s="613" t="s">
        <v>2184</v>
      </c>
      <c r="D1737" s="614">
        <v>1</v>
      </c>
    </row>
    <row r="1738" spans="1:4" x14ac:dyDescent="0.25">
      <c r="A1738" s="1152"/>
      <c r="B1738" s="612">
        <v>5105</v>
      </c>
      <c r="C1738" s="613" t="s">
        <v>2185</v>
      </c>
      <c r="D1738" s="614">
        <v>1</v>
      </c>
    </row>
    <row r="1739" spans="1:4" x14ac:dyDescent="0.25">
      <c r="A1739" s="1152"/>
      <c r="B1739" s="612">
        <v>5137</v>
      </c>
      <c r="C1739" s="613" t="s">
        <v>2186</v>
      </c>
      <c r="D1739" s="614">
        <v>1</v>
      </c>
    </row>
    <row r="1740" spans="1:4" x14ac:dyDescent="0.25">
      <c r="A1740" s="1152"/>
      <c r="B1740" s="612">
        <v>5136</v>
      </c>
      <c r="C1740" s="613" t="s">
        <v>2187</v>
      </c>
      <c r="D1740" s="614">
        <v>1</v>
      </c>
    </row>
    <row r="1741" spans="1:4" x14ac:dyDescent="0.25">
      <c r="A1741" s="1152"/>
      <c r="B1741" s="612">
        <v>5139</v>
      </c>
      <c r="C1741" s="613" t="s">
        <v>2188</v>
      </c>
      <c r="D1741" s="614">
        <v>1</v>
      </c>
    </row>
    <row r="1742" spans="1:4" x14ac:dyDescent="0.25">
      <c r="A1742" s="1152"/>
      <c r="B1742" s="612">
        <v>5124</v>
      </c>
      <c r="C1742" s="613" t="s">
        <v>2189</v>
      </c>
      <c r="D1742" s="614">
        <v>1</v>
      </c>
    </row>
    <row r="1743" spans="1:4" x14ac:dyDescent="0.25">
      <c r="A1743" s="1152"/>
      <c r="B1743" s="612">
        <v>5120</v>
      </c>
      <c r="C1743" s="613" t="s">
        <v>2190</v>
      </c>
      <c r="D1743" s="614">
        <v>1</v>
      </c>
    </row>
    <row r="1744" spans="1:4" x14ac:dyDescent="0.25">
      <c r="A1744" s="1152"/>
      <c r="B1744" s="612">
        <v>5106</v>
      </c>
      <c r="C1744" s="613" t="s">
        <v>2191</v>
      </c>
      <c r="D1744" s="614">
        <v>1</v>
      </c>
    </row>
    <row r="1745" spans="1:4" x14ac:dyDescent="0.25">
      <c r="A1745" s="1152"/>
      <c r="B1745" s="612">
        <v>5142</v>
      </c>
      <c r="C1745" s="613" t="s">
        <v>2192</v>
      </c>
      <c r="D1745" s="614">
        <v>1</v>
      </c>
    </row>
    <row r="1746" spans="1:4" x14ac:dyDescent="0.25">
      <c r="A1746" s="1152"/>
      <c r="B1746" s="612">
        <v>5144</v>
      </c>
      <c r="C1746" s="613" t="s">
        <v>2193</v>
      </c>
      <c r="D1746" s="614">
        <v>1</v>
      </c>
    </row>
    <row r="1747" spans="1:4" x14ac:dyDescent="0.25">
      <c r="A1747" s="1152"/>
      <c r="B1747" s="612">
        <v>5143</v>
      </c>
      <c r="C1747" s="613" t="s">
        <v>2194</v>
      </c>
      <c r="D1747" s="614">
        <v>1</v>
      </c>
    </row>
    <row r="1748" spans="1:4" x14ac:dyDescent="0.25">
      <c r="A1748" s="1152"/>
      <c r="B1748" s="612">
        <v>5118</v>
      </c>
      <c r="C1748" s="613" t="s">
        <v>2195</v>
      </c>
      <c r="D1748" s="614">
        <v>1</v>
      </c>
    </row>
    <row r="1749" spans="1:4" x14ac:dyDescent="0.25">
      <c r="A1749" s="1152"/>
      <c r="B1749" s="612">
        <v>5101</v>
      </c>
      <c r="C1749" s="613" t="s">
        <v>2196</v>
      </c>
      <c r="D1749" s="614">
        <v>1</v>
      </c>
    </row>
    <row r="1750" spans="1:4" x14ac:dyDescent="0.25">
      <c r="A1750" s="1152"/>
      <c r="B1750" s="612">
        <v>5129</v>
      </c>
      <c r="C1750" s="613" t="s">
        <v>2197</v>
      </c>
      <c r="D1750" s="614">
        <v>1</v>
      </c>
    </row>
    <row r="1751" spans="1:4" x14ac:dyDescent="0.25">
      <c r="A1751" s="1152"/>
      <c r="B1751" s="612">
        <v>5140</v>
      </c>
      <c r="C1751" s="613" t="s">
        <v>2198</v>
      </c>
      <c r="D1751" s="614">
        <v>1</v>
      </c>
    </row>
    <row r="1752" spans="1:4" x14ac:dyDescent="0.25">
      <c r="A1752" s="1152"/>
      <c r="B1752" s="612">
        <v>5125</v>
      </c>
      <c r="C1752" s="613" t="s">
        <v>2199</v>
      </c>
      <c r="D1752" s="614">
        <v>1</v>
      </c>
    </row>
    <row r="1753" spans="1:4" x14ac:dyDescent="0.25">
      <c r="A1753" s="1152"/>
      <c r="B1753" s="612">
        <v>5141</v>
      </c>
      <c r="C1753" s="613" t="s">
        <v>2200</v>
      </c>
      <c r="D1753" s="614">
        <v>1</v>
      </c>
    </row>
    <row r="1754" spans="1:4" x14ac:dyDescent="0.25">
      <c r="A1754" s="1152"/>
      <c r="B1754" s="612">
        <v>5135</v>
      </c>
      <c r="C1754" s="613" t="s">
        <v>2201</v>
      </c>
      <c r="D1754" s="614">
        <v>1</v>
      </c>
    </row>
    <row r="1755" spans="1:4" x14ac:dyDescent="0.25">
      <c r="A1755" s="1152"/>
      <c r="B1755" s="612">
        <v>5131</v>
      </c>
      <c r="C1755" s="613" t="s">
        <v>2202</v>
      </c>
      <c r="D1755" s="614">
        <v>1</v>
      </c>
    </row>
    <row r="1756" spans="1:4" x14ac:dyDescent="0.25">
      <c r="A1756" s="1152"/>
      <c r="B1756" s="612">
        <v>5134</v>
      </c>
      <c r="C1756" s="613" t="s">
        <v>2203</v>
      </c>
      <c r="D1756" s="614">
        <v>1</v>
      </c>
    </row>
    <row r="1757" spans="1:4" ht="13.5" thickBot="1" x14ac:dyDescent="0.3">
      <c r="A1757" s="1152"/>
      <c r="B1757" s="615">
        <v>5133</v>
      </c>
      <c r="C1757" s="616" t="s">
        <v>2204</v>
      </c>
      <c r="D1757" s="617">
        <v>1</v>
      </c>
    </row>
    <row r="1758" spans="1:4" ht="16.5" customHeight="1" thickBot="1" x14ac:dyDescent="0.3">
      <c r="A1758" s="1155" t="s">
        <v>2326</v>
      </c>
      <c r="B1758" s="1156"/>
      <c r="C1758" s="1157"/>
      <c r="D1758" s="625">
        <f>SUBTOTAL(9,D4:D1757)</f>
        <v>1754</v>
      </c>
    </row>
    <row r="1759" spans="1:4" ht="17.25" customHeight="1" x14ac:dyDescent="0.25"/>
  </sheetData>
  <mergeCells count="60">
    <mergeCell ref="A1350:A1359"/>
    <mergeCell ref="A1:D1"/>
    <mergeCell ref="A1180:A1220"/>
    <mergeCell ref="A1221:A1238"/>
    <mergeCell ref="A1239:A1269"/>
    <mergeCell ref="A1270:A1305"/>
    <mergeCell ref="A1306:A1349"/>
    <mergeCell ref="A702:A739"/>
    <mergeCell ref="A740:A766"/>
    <mergeCell ref="A1074:A1113"/>
    <mergeCell ref="A1114:A1145"/>
    <mergeCell ref="A1146:A1179"/>
    <mergeCell ref="A448:A472"/>
    <mergeCell ref="A473:A507"/>
    <mergeCell ref="A508:A549"/>
    <mergeCell ref="A640:A681"/>
    <mergeCell ref="A682:A701"/>
    <mergeCell ref="A153:A209"/>
    <mergeCell ref="A210:A248"/>
    <mergeCell ref="A249:A280"/>
    <mergeCell ref="A281:A303"/>
    <mergeCell ref="A421:A447"/>
    <mergeCell ref="A304:A307"/>
    <mergeCell ref="A308:A347"/>
    <mergeCell ref="A348:A378"/>
    <mergeCell ref="A379:A402"/>
    <mergeCell ref="A403:A420"/>
    <mergeCell ref="A550:A582"/>
    <mergeCell ref="A583:A630"/>
    <mergeCell ref="A631:A633"/>
    <mergeCell ref="A634:A635"/>
    <mergeCell ref="A636:A639"/>
    <mergeCell ref="A4:A5"/>
    <mergeCell ref="A7:A33"/>
    <mergeCell ref="A34:A62"/>
    <mergeCell ref="A63:A120"/>
    <mergeCell ref="A121:A152"/>
    <mergeCell ref="A767:A791"/>
    <mergeCell ref="A792:A814"/>
    <mergeCell ref="A815:A844"/>
    <mergeCell ref="A845:A882"/>
    <mergeCell ref="A883:A914"/>
    <mergeCell ref="A915:A958"/>
    <mergeCell ref="A959:A988"/>
    <mergeCell ref="A989:A1020"/>
    <mergeCell ref="A1021:A1042"/>
    <mergeCell ref="A1043:A1073"/>
    <mergeCell ref="A1360:A1365"/>
    <mergeCell ref="A1366:A1391"/>
    <mergeCell ref="A1392:A1432"/>
    <mergeCell ref="A1433:A1479"/>
    <mergeCell ref="A1480:A1521"/>
    <mergeCell ref="A1680:A1722"/>
    <mergeCell ref="A1723:A1757"/>
    <mergeCell ref="A1758:C1758"/>
    <mergeCell ref="A1522:A1544"/>
    <mergeCell ref="A1546:A1572"/>
    <mergeCell ref="A1573:A1613"/>
    <mergeCell ref="A1614:A1653"/>
    <mergeCell ref="A1654:A167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26"/>
  <sheetViews>
    <sheetView zoomScale="120" zoomScaleNormal="12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M28" sqref="M28"/>
    </sheetView>
  </sheetViews>
  <sheetFormatPr defaultRowHeight="11.25" x14ac:dyDescent="0.2"/>
  <cols>
    <col min="1" max="1" width="3.7109375" style="224" customWidth="1"/>
    <col min="2" max="2" width="9.140625" style="224"/>
    <col min="3" max="3" width="27.7109375" style="224" customWidth="1"/>
    <col min="4" max="4" width="9.140625" style="224"/>
    <col min="5" max="5" width="12" style="224" customWidth="1"/>
    <col min="6" max="6" width="11.140625" style="224" customWidth="1"/>
    <col min="7" max="7" width="12" style="224" customWidth="1"/>
    <col min="8" max="8" width="11" style="224" customWidth="1"/>
    <col min="9" max="9" width="11.7109375" style="224" customWidth="1"/>
    <col min="10" max="10" width="8" style="233" customWidth="1"/>
    <col min="11" max="12" width="11.42578125" style="224" customWidth="1"/>
    <col min="13" max="13" width="7.7109375" style="233" customWidth="1"/>
    <col min="14" max="14" width="12.28515625" style="224" customWidth="1"/>
    <col min="15" max="15" width="11.28515625" style="224" customWidth="1"/>
    <col min="16" max="16" width="8.28515625" style="224" customWidth="1"/>
    <col min="17" max="17" width="10.5703125" style="224" customWidth="1"/>
    <col min="18" max="18" width="11" style="224" customWidth="1"/>
    <col min="19" max="256" width="9.140625" style="224"/>
    <col min="257" max="257" width="3.7109375" style="224" customWidth="1"/>
    <col min="258" max="258" width="9.140625" style="224"/>
    <col min="259" max="259" width="27.7109375" style="224" customWidth="1"/>
    <col min="260" max="260" width="9.140625" style="224"/>
    <col min="261" max="261" width="12" style="224" customWidth="1"/>
    <col min="262" max="262" width="11.140625" style="224" customWidth="1"/>
    <col min="263" max="263" width="12" style="224" customWidth="1"/>
    <col min="264" max="264" width="11" style="224" customWidth="1"/>
    <col min="265" max="265" width="11.7109375" style="224" customWidth="1"/>
    <col min="266" max="266" width="8" style="224" customWidth="1"/>
    <col min="267" max="268" width="11.42578125" style="224" customWidth="1"/>
    <col min="269" max="269" width="7.7109375" style="224" customWidth="1"/>
    <col min="270" max="270" width="12.28515625" style="224" customWidth="1"/>
    <col min="271" max="271" width="11.28515625" style="224" customWidth="1"/>
    <col min="272" max="272" width="8.28515625" style="224" customWidth="1"/>
    <col min="273" max="273" width="10.5703125" style="224" customWidth="1"/>
    <col min="274" max="274" width="11" style="224" customWidth="1"/>
    <col min="275" max="512" width="9.140625" style="224"/>
    <col min="513" max="513" width="3.7109375" style="224" customWidth="1"/>
    <col min="514" max="514" width="9.140625" style="224"/>
    <col min="515" max="515" width="27.7109375" style="224" customWidth="1"/>
    <col min="516" max="516" width="9.140625" style="224"/>
    <col min="517" max="517" width="12" style="224" customWidth="1"/>
    <col min="518" max="518" width="11.140625" style="224" customWidth="1"/>
    <col min="519" max="519" width="12" style="224" customWidth="1"/>
    <col min="520" max="520" width="11" style="224" customWidth="1"/>
    <col min="521" max="521" width="11.7109375" style="224" customWidth="1"/>
    <col min="522" max="522" width="8" style="224" customWidth="1"/>
    <col min="523" max="524" width="11.42578125" style="224" customWidth="1"/>
    <col min="525" max="525" width="7.7109375" style="224" customWidth="1"/>
    <col min="526" max="526" width="12.28515625" style="224" customWidth="1"/>
    <col min="527" max="527" width="11.28515625" style="224" customWidth="1"/>
    <col min="528" max="528" width="8.28515625" style="224" customWidth="1"/>
    <col min="529" max="529" width="10.5703125" style="224" customWidth="1"/>
    <col min="530" max="530" width="11" style="224" customWidth="1"/>
    <col min="531" max="768" width="9.140625" style="224"/>
    <col min="769" max="769" width="3.7109375" style="224" customWidth="1"/>
    <col min="770" max="770" width="9.140625" style="224"/>
    <col min="771" max="771" width="27.7109375" style="224" customWidth="1"/>
    <col min="772" max="772" width="9.140625" style="224"/>
    <col min="773" max="773" width="12" style="224" customWidth="1"/>
    <col min="774" max="774" width="11.140625" style="224" customWidth="1"/>
    <col min="775" max="775" width="12" style="224" customWidth="1"/>
    <col min="776" max="776" width="11" style="224" customWidth="1"/>
    <col min="777" max="777" width="11.7109375" style="224" customWidth="1"/>
    <col min="778" max="778" width="8" style="224" customWidth="1"/>
    <col min="779" max="780" width="11.42578125" style="224" customWidth="1"/>
    <col min="781" max="781" width="7.7109375" style="224" customWidth="1"/>
    <col min="782" max="782" width="12.28515625" style="224" customWidth="1"/>
    <col min="783" max="783" width="11.28515625" style="224" customWidth="1"/>
    <col min="784" max="784" width="8.28515625" style="224" customWidth="1"/>
    <col min="785" max="785" width="10.5703125" style="224" customWidth="1"/>
    <col min="786" max="786" width="11" style="224" customWidth="1"/>
    <col min="787" max="1024" width="9.140625" style="224"/>
    <col min="1025" max="1025" width="3.7109375" style="224" customWidth="1"/>
    <col min="1026" max="1026" width="9.140625" style="224"/>
    <col min="1027" max="1027" width="27.7109375" style="224" customWidth="1"/>
    <col min="1028" max="1028" width="9.140625" style="224"/>
    <col min="1029" max="1029" width="12" style="224" customWidth="1"/>
    <col min="1030" max="1030" width="11.140625" style="224" customWidth="1"/>
    <col min="1031" max="1031" width="12" style="224" customWidth="1"/>
    <col min="1032" max="1032" width="11" style="224" customWidth="1"/>
    <col min="1033" max="1033" width="11.7109375" style="224" customWidth="1"/>
    <col min="1034" max="1034" width="8" style="224" customWidth="1"/>
    <col min="1035" max="1036" width="11.42578125" style="224" customWidth="1"/>
    <col min="1037" max="1037" width="7.7109375" style="224" customWidth="1"/>
    <col min="1038" max="1038" width="12.28515625" style="224" customWidth="1"/>
    <col min="1039" max="1039" width="11.28515625" style="224" customWidth="1"/>
    <col min="1040" max="1040" width="8.28515625" style="224" customWidth="1"/>
    <col min="1041" max="1041" width="10.5703125" style="224" customWidth="1"/>
    <col min="1042" max="1042" width="11" style="224" customWidth="1"/>
    <col min="1043" max="1280" width="9.140625" style="224"/>
    <col min="1281" max="1281" width="3.7109375" style="224" customWidth="1"/>
    <col min="1282" max="1282" width="9.140625" style="224"/>
    <col min="1283" max="1283" width="27.7109375" style="224" customWidth="1"/>
    <col min="1284" max="1284" width="9.140625" style="224"/>
    <col min="1285" max="1285" width="12" style="224" customWidth="1"/>
    <col min="1286" max="1286" width="11.140625" style="224" customWidth="1"/>
    <col min="1287" max="1287" width="12" style="224" customWidth="1"/>
    <col min="1288" max="1288" width="11" style="224" customWidth="1"/>
    <col min="1289" max="1289" width="11.7109375" style="224" customWidth="1"/>
    <col min="1290" max="1290" width="8" style="224" customWidth="1"/>
    <col min="1291" max="1292" width="11.42578125" style="224" customWidth="1"/>
    <col min="1293" max="1293" width="7.7109375" style="224" customWidth="1"/>
    <col min="1294" max="1294" width="12.28515625" style="224" customWidth="1"/>
    <col min="1295" max="1295" width="11.28515625" style="224" customWidth="1"/>
    <col min="1296" max="1296" width="8.28515625" style="224" customWidth="1"/>
    <col min="1297" max="1297" width="10.5703125" style="224" customWidth="1"/>
    <col min="1298" max="1298" width="11" style="224" customWidth="1"/>
    <col min="1299" max="1536" width="9.140625" style="224"/>
    <col min="1537" max="1537" width="3.7109375" style="224" customWidth="1"/>
    <col min="1538" max="1538" width="9.140625" style="224"/>
    <col min="1539" max="1539" width="27.7109375" style="224" customWidth="1"/>
    <col min="1540" max="1540" width="9.140625" style="224"/>
    <col min="1541" max="1541" width="12" style="224" customWidth="1"/>
    <col min="1542" max="1542" width="11.140625" style="224" customWidth="1"/>
    <col min="1543" max="1543" width="12" style="224" customWidth="1"/>
    <col min="1544" max="1544" width="11" style="224" customWidth="1"/>
    <col min="1545" max="1545" width="11.7109375" style="224" customWidth="1"/>
    <col min="1546" max="1546" width="8" style="224" customWidth="1"/>
    <col min="1547" max="1548" width="11.42578125" style="224" customWidth="1"/>
    <col min="1549" max="1549" width="7.7109375" style="224" customWidth="1"/>
    <col min="1550" max="1550" width="12.28515625" style="224" customWidth="1"/>
    <col min="1551" max="1551" width="11.28515625" style="224" customWidth="1"/>
    <col min="1552" max="1552" width="8.28515625" style="224" customWidth="1"/>
    <col min="1553" max="1553" width="10.5703125" style="224" customWidth="1"/>
    <col min="1554" max="1554" width="11" style="224" customWidth="1"/>
    <col min="1555" max="1792" width="9.140625" style="224"/>
    <col min="1793" max="1793" width="3.7109375" style="224" customWidth="1"/>
    <col min="1794" max="1794" width="9.140625" style="224"/>
    <col min="1795" max="1795" width="27.7109375" style="224" customWidth="1"/>
    <col min="1796" max="1796" width="9.140625" style="224"/>
    <col min="1797" max="1797" width="12" style="224" customWidth="1"/>
    <col min="1798" max="1798" width="11.140625" style="224" customWidth="1"/>
    <col min="1799" max="1799" width="12" style="224" customWidth="1"/>
    <col min="1800" max="1800" width="11" style="224" customWidth="1"/>
    <col min="1801" max="1801" width="11.7109375" style="224" customWidth="1"/>
    <col min="1802" max="1802" width="8" style="224" customWidth="1"/>
    <col min="1803" max="1804" width="11.42578125" style="224" customWidth="1"/>
    <col min="1805" max="1805" width="7.7109375" style="224" customWidth="1"/>
    <col min="1806" max="1806" width="12.28515625" style="224" customWidth="1"/>
    <col min="1807" max="1807" width="11.28515625" style="224" customWidth="1"/>
    <col min="1808" max="1808" width="8.28515625" style="224" customWidth="1"/>
    <col min="1809" max="1809" width="10.5703125" style="224" customWidth="1"/>
    <col min="1810" max="1810" width="11" style="224" customWidth="1"/>
    <col min="1811" max="2048" width="9.140625" style="224"/>
    <col min="2049" max="2049" width="3.7109375" style="224" customWidth="1"/>
    <col min="2050" max="2050" width="9.140625" style="224"/>
    <col min="2051" max="2051" width="27.7109375" style="224" customWidth="1"/>
    <col min="2052" max="2052" width="9.140625" style="224"/>
    <col min="2053" max="2053" width="12" style="224" customWidth="1"/>
    <col min="2054" max="2054" width="11.140625" style="224" customWidth="1"/>
    <col min="2055" max="2055" width="12" style="224" customWidth="1"/>
    <col min="2056" max="2056" width="11" style="224" customWidth="1"/>
    <col min="2057" max="2057" width="11.7109375" style="224" customWidth="1"/>
    <col min="2058" max="2058" width="8" style="224" customWidth="1"/>
    <col min="2059" max="2060" width="11.42578125" style="224" customWidth="1"/>
    <col min="2061" max="2061" width="7.7109375" style="224" customWidth="1"/>
    <col min="2062" max="2062" width="12.28515625" style="224" customWidth="1"/>
    <col min="2063" max="2063" width="11.28515625" style="224" customWidth="1"/>
    <col min="2064" max="2064" width="8.28515625" style="224" customWidth="1"/>
    <col min="2065" max="2065" width="10.5703125" style="224" customWidth="1"/>
    <col min="2066" max="2066" width="11" style="224" customWidth="1"/>
    <col min="2067" max="2304" width="9.140625" style="224"/>
    <col min="2305" max="2305" width="3.7109375" style="224" customWidth="1"/>
    <col min="2306" max="2306" width="9.140625" style="224"/>
    <col min="2307" max="2307" width="27.7109375" style="224" customWidth="1"/>
    <col min="2308" max="2308" width="9.140625" style="224"/>
    <col min="2309" max="2309" width="12" style="224" customWidth="1"/>
    <col min="2310" max="2310" width="11.140625" style="224" customWidth="1"/>
    <col min="2311" max="2311" width="12" style="224" customWidth="1"/>
    <col min="2312" max="2312" width="11" style="224" customWidth="1"/>
    <col min="2313" max="2313" width="11.7109375" style="224" customWidth="1"/>
    <col min="2314" max="2314" width="8" style="224" customWidth="1"/>
    <col min="2315" max="2316" width="11.42578125" style="224" customWidth="1"/>
    <col min="2317" max="2317" width="7.7109375" style="224" customWidth="1"/>
    <col min="2318" max="2318" width="12.28515625" style="224" customWidth="1"/>
    <col min="2319" max="2319" width="11.28515625" style="224" customWidth="1"/>
    <col min="2320" max="2320" width="8.28515625" style="224" customWidth="1"/>
    <col min="2321" max="2321" width="10.5703125" style="224" customWidth="1"/>
    <col min="2322" max="2322" width="11" style="224" customWidth="1"/>
    <col min="2323" max="2560" width="9.140625" style="224"/>
    <col min="2561" max="2561" width="3.7109375" style="224" customWidth="1"/>
    <col min="2562" max="2562" width="9.140625" style="224"/>
    <col min="2563" max="2563" width="27.7109375" style="224" customWidth="1"/>
    <col min="2564" max="2564" width="9.140625" style="224"/>
    <col min="2565" max="2565" width="12" style="224" customWidth="1"/>
    <col min="2566" max="2566" width="11.140625" style="224" customWidth="1"/>
    <col min="2567" max="2567" width="12" style="224" customWidth="1"/>
    <col min="2568" max="2568" width="11" style="224" customWidth="1"/>
    <col min="2569" max="2569" width="11.7109375" style="224" customWidth="1"/>
    <col min="2570" max="2570" width="8" style="224" customWidth="1"/>
    <col min="2571" max="2572" width="11.42578125" style="224" customWidth="1"/>
    <col min="2573" max="2573" width="7.7109375" style="224" customWidth="1"/>
    <col min="2574" max="2574" width="12.28515625" style="224" customWidth="1"/>
    <col min="2575" max="2575" width="11.28515625" style="224" customWidth="1"/>
    <col min="2576" max="2576" width="8.28515625" style="224" customWidth="1"/>
    <col min="2577" max="2577" width="10.5703125" style="224" customWidth="1"/>
    <col min="2578" max="2578" width="11" style="224" customWidth="1"/>
    <col min="2579" max="2816" width="9.140625" style="224"/>
    <col min="2817" max="2817" width="3.7109375" style="224" customWidth="1"/>
    <col min="2818" max="2818" width="9.140625" style="224"/>
    <col min="2819" max="2819" width="27.7109375" style="224" customWidth="1"/>
    <col min="2820" max="2820" width="9.140625" style="224"/>
    <col min="2821" max="2821" width="12" style="224" customWidth="1"/>
    <col min="2822" max="2822" width="11.140625" style="224" customWidth="1"/>
    <col min="2823" max="2823" width="12" style="224" customWidth="1"/>
    <col min="2824" max="2824" width="11" style="224" customWidth="1"/>
    <col min="2825" max="2825" width="11.7109375" style="224" customWidth="1"/>
    <col min="2826" max="2826" width="8" style="224" customWidth="1"/>
    <col min="2827" max="2828" width="11.42578125" style="224" customWidth="1"/>
    <col min="2829" max="2829" width="7.7109375" style="224" customWidth="1"/>
    <col min="2830" max="2830" width="12.28515625" style="224" customWidth="1"/>
    <col min="2831" max="2831" width="11.28515625" style="224" customWidth="1"/>
    <col min="2832" max="2832" width="8.28515625" style="224" customWidth="1"/>
    <col min="2833" max="2833" width="10.5703125" style="224" customWidth="1"/>
    <col min="2834" max="2834" width="11" style="224" customWidth="1"/>
    <col min="2835" max="3072" width="9.140625" style="224"/>
    <col min="3073" max="3073" width="3.7109375" style="224" customWidth="1"/>
    <col min="3074" max="3074" width="9.140625" style="224"/>
    <col min="3075" max="3075" width="27.7109375" style="224" customWidth="1"/>
    <col min="3076" max="3076" width="9.140625" style="224"/>
    <col min="3077" max="3077" width="12" style="224" customWidth="1"/>
    <col min="3078" max="3078" width="11.140625" style="224" customWidth="1"/>
    <col min="3079" max="3079" width="12" style="224" customWidth="1"/>
    <col min="3080" max="3080" width="11" style="224" customWidth="1"/>
    <col min="3081" max="3081" width="11.7109375" style="224" customWidth="1"/>
    <col min="3082" max="3082" width="8" style="224" customWidth="1"/>
    <col min="3083" max="3084" width="11.42578125" style="224" customWidth="1"/>
    <col min="3085" max="3085" width="7.7109375" style="224" customWidth="1"/>
    <col min="3086" max="3086" width="12.28515625" style="224" customWidth="1"/>
    <col min="3087" max="3087" width="11.28515625" style="224" customWidth="1"/>
    <col min="3088" max="3088" width="8.28515625" style="224" customWidth="1"/>
    <col min="3089" max="3089" width="10.5703125" style="224" customWidth="1"/>
    <col min="3090" max="3090" width="11" style="224" customWidth="1"/>
    <col min="3091" max="3328" width="9.140625" style="224"/>
    <col min="3329" max="3329" width="3.7109375" style="224" customWidth="1"/>
    <col min="3330" max="3330" width="9.140625" style="224"/>
    <col min="3331" max="3331" width="27.7109375" style="224" customWidth="1"/>
    <col min="3332" max="3332" width="9.140625" style="224"/>
    <col min="3333" max="3333" width="12" style="224" customWidth="1"/>
    <col min="3334" max="3334" width="11.140625" style="224" customWidth="1"/>
    <col min="3335" max="3335" width="12" style="224" customWidth="1"/>
    <col min="3336" max="3336" width="11" style="224" customWidth="1"/>
    <col min="3337" max="3337" width="11.7109375" style="224" customWidth="1"/>
    <col min="3338" max="3338" width="8" style="224" customWidth="1"/>
    <col min="3339" max="3340" width="11.42578125" style="224" customWidth="1"/>
    <col min="3341" max="3341" width="7.7109375" style="224" customWidth="1"/>
    <col min="3342" max="3342" width="12.28515625" style="224" customWidth="1"/>
    <col min="3343" max="3343" width="11.28515625" style="224" customWidth="1"/>
    <col min="3344" max="3344" width="8.28515625" style="224" customWidth="1"/>
    <col min="3345" max="3345" width="10.5703125" style="224" customWidth="1"/>
    <col min="3346" max="3346" width="11" style="224" customWidth="1"/>
    <col min="3347" max="3584" width="9.140625" style="224"/>
    <col min="3585" max="3585" width="3.7109375" style="224" customWidth="1"/>
    <col min="3586" max="3586" width="9.140625" style="224"/>
    <col min="3587" max="3587" width="27.7109375" style="224" customWidth="1"/>
    <col min="3588" max="3588" width="9.140625" style="224"/>
    <col min="3589" max="3589" width="12" style="224" customWidth="1"/>
    <col min="3590" max="3590" width="11.140625" style="224" customWidth="1"/>
    <col min="3591" max="3591" width="12" style="224" customWidth="1"/>
    <col min="3592" max="3592" width="11" style="224" customWidth="1"/>
    <col min="3593" max="3593" width="11.7109375" style="224" customWidth="1"/>
    <col min="3594" max="3594" width="8" style="224" customWidth="1"/>
    <col min="3595" max="3596" width="11.42578125" style="224" customWidth="1"/>
    <col min="3597" max="3597" width="7.7109375" style="224" customWidth="1"/>
    <col min="3598" max="3598" width="12.28515625" style="224" customWidth="1"/>
    <col min="3599" max="3599" width="11.28515625" style="224" customWidth="1"/>
    <col min="3600" max="3600" width="8.28515625" style="224" customWidth="1"/>
    <col min="3601" max="3601" width="10.5703125" style="224" customWidth="1"/>
    <col min="3602" max="3602" width="11" style="224" customWidth="1"/>
    <col min="3603" max="3840" width="9.140625" style="224"/>
    <col min="3841" max="3841" width="3.7109375" style="224" customWidth="1"/>
    <col min="3842" max="3842" width="9.140625" style="224"/>
    <col min="3843" max="3843" width="27.7109375" style="224" customWidth="1"/>
    <col min="3844" max="3844" width="9.140625" style="224"/>
    <col min="3845" max="3845" width="12" style="224" customWidth="1"/>
    <col min="3846" max="3846" width="11.140625" style="224" customWidth="1"/>
    <col min="3847" max="3847" width="12" style="224" customWidth="1"/>
    <col min="3848" max="3848" width="11" style="224" customWidth="1"/>
    <col min="3849" max="3849" width="11.7109375" style="224" customWidth="1"/>
    <col min="3850" max="3850" width="8" style="224" customWidth="1"/>
    <col min="3851" max="3852" width="11.42578125" style="224" customWidth="1"/>
    <col min="3853" max="3853" width="7.7109375" style="224" customWidth="1"/>
    <col min="3854" max="3854" width="12.28515625" style="224" customWidth="1"/>
    <col min="3855" max="3855" width="11.28515625" style="224" customWidth="1"/>
    <col min="3856" max="3856" width="8.28515625" style="224" customWidth="1"/>
    <col min="3857" max="3857" width="10.5703125" style="224" customWidth="1"/>
    <col min="3858" max="3858" width="11" style="224" customWidth="1"/>
    <col min="3859" max="4096" width="9.140625" style="224"/>
    <col min="4097" max="4097" width="3.7109375" style="224" customWidth="1"/>
    <col min="4098" max="4098" width="9.140625" style="224"/>
    <col min="4099" max="4099" width="27.7109375" style="224" customWidth="1"/>
    <col min="4100" max="4100" width="9.140625" style="224"/>
    <col min="4101" max="4101" width="12" style="224" customWidth="1"/>
    <col min="4102" max="4102" width="11.140625" style="224" customWidth="1"/>
    <col min="4103" max="4103" width="12" style="224" customWidth="1"/>
    <col min="4104" max="4104" width="11" style="224" customWidth="1"/>
    <col min="4105" max="4105" width="11.7109375" style="224" customWidth="1"/>
    <col min="4106" max="4106" width="8" style="224" customWidth="1"/>
    <col min="4107" max="4108" width="11.42578125" style="224" customWidth="1"/>
    <col min="4109" max="4109" width="7.7109375" style="224" customWidth="1"/>
    <col min="4110" max="4110" width="12.28515625" style="224" customWidth="1"/>
    <col min="4111" max="4111" width="11.28515625" style="224" customWidth="1"/>
    <col min="4112" max="4112" width="8.28515625" style="224" customWidth="1"/>
    <col min="4113" max="4113" width="10.5703125" style="224" customWidth="1"/>
    <col min="4114" max="4114" width="11" style="224" customWidth="1"/>
    <col min="4115" max="4352" width="9.140625" style="224"/>
    <col min="4353" max="4353" width="3.7109375" style="224" customWidth="1"/>
    <col min="4354" max="4354" width="9.140625" style="224"/>
    <col min="4355" max="4355" width="27.7109375" style="224" customWidth="1"/>
    <col min="4356" max="4356" width="9.140625" style="224"/>
    <col min="4357" max="4357" width="12" style="224" customWidth="1"/>
    <col min="4358" max="4358" width="11.140625" style="224" customWidth="1"/>
    <col min="4359" max="4359" width="12" style="224" customWidth="1"/>
    <col min="4360" max="4360" width="11" style="224" customWidth="1"/>
    <col min="4361" max="4361" width="11.7109375" style="224" customWidth="1"/>
    <col min="4362" max="4362" width="8" style="224" customWidth="1"/>
    <col min="4363" max="4364" width="11.42578125" style="224" customWidth="1"/>
    <col min="4365" max="4365" width="7.7109375" style="224" customWidth="1"/>
    <col min="4366" max="4366" width="12.28515625" style="224" customWidth="1"/>
    <col min="4367" max="4367" width="11.28515625" style="224" customWidth="1"/>
    <col min="4368" max="4368" width="8.28515625" style="224" customWidth="1"/>
    <col min="4369" max="4369" width="10.5703125" style="224" customWidth="1"/>
    <col min="4370" max="4370" width="11" style="224" customWidth="1"/>
    <col min="4371" max="4608" width="9.140625" style="224"/>
    <col min="4609" max="4609" width="3.7109375" style="224" customWidth="1"/>
    <col min="4610" max="4610" width="9.140625" style="224"/>
    <col min="4611" max="4611" width="27.7109375" style="224" customWidth="1"/>
    <col min="4612" max="4612" width="9.140625" style="224"/>
    <col min="4613" max="4613" width="12" style="224" customWidth="1"/>
    <col min="4614" max="4614" width="11.140625" style="224" customWidth="1"/>
    <col min="4615" max="4615" width="12" style="224" customWidth="1"/>
    <col min="4616" max="4616" width="11" style="224" customWidth="1"/>
    <col min="4617" max="4617" width="11.7109375" style="224" customWidth="1"/>
    <col min="4618" max="4618" width="8" style="224" customWidth="1"/>
    <col min="4619" max="4620" width="11.42578125" style="224" customWidth="1"/>
    <col min="4621" max="4621" width="7.7109375" style="224" customWidth="1"/>
    <col min="4622" max="4622" width="12.28515625" style="224" customWidth="1"/>
    <col min="4623" max="4623" width="11.28515625" style="224" customWidth="1"/>
    <col min="4624" max="4624" width="8.28515625" style="224" customWidth="1"/>
    <col min="4625" max="4625" width="10.5703125" style="224" customWidth="1"/>
    <col min="4626" max="4626" width="11" style="224" customWidth="1"/>
    <col min="4627" max="4864" width="9.140625" style="224"/>
    <col min="4865" max="4865" width="3.7109375" style="224" customWidth="1"/>
    <col min="4866" max="4866" width="9.140625" style="224"/>
    <col min="4867" max="4867" width="27.7109375" style="224" customWidth="1"/>
    <col min="4868" max="4868" width="9.140625" style="224"/>
    <col min="4869" max="4869" width="12" style="224" customWidth="1"/>
    <col min="4870" max="4870" width="11.140625" style="224" customWidth="1"/>
    <col min="4871" max="4871" width="12" style="224" customWidth="1"/>
    <col min="4872" max="4872" width="11" style="224" customWidth="1"/>
    <col min="4873" max="4873" width="11.7109375" style="224" customWidth="1"/>
    <col min="4874" max="4874" width="8" style="224" customWidth="1"/>
    <col min="4875" max="4876" width="11.42578125" style="224" customWidth="1"/>
    <col min="4877" max="4877" width="7.7109375" style="224" customWidth="1"/>
    <col min="4878" max="4878" width="12.28515625" style="224" customWidth="1"/>
    <col min="4879" max="4879" width="11.28515625" style="224" customWidth="1"/>
    <col min="4880" max="4880" width="8.28515625" style="224" customWidth="1"/>
    <col min="4881" max="4881" width="10.5703125" style="224" customWidth="1"/>
    <col min="4882" max="4882" width="11" style="224" customWidth="1"/>
    <col min="4883" max="5120" width="9.140625" style="224"/>
    <col min="5121" max="5121" width="3.7109375" style="224" customWidth="1"/>
    <col min="5122" max="5122" width="9.140625" style="224"/>
    <col min="5123" max="5123" width="27.7109375" style="224" customWidth="1"/>
    <col min="5124" max="5124" width="9.140625" style="224"/>
    <col min="5125" max="5125" width="12" style="224" customWidth="1"/>
    <col min="5126" max="5126" width="11.140625" style="224" customWidth="1"/>
    <col min="5127" max="5127" width="12" style="224" customWidth="1"/>
    <col min="5128" max="5128" width="11" style="224" customWidth="1"/>
    <col min="5129" max="5129" width="11.7109375" style="224" customWidth="1"/>
    <col min="5130" max="5130" width="8" style="224" customWidth="1"/>
    <col min="5131" max="5132" width="11.42578125" style="224" customWidth="1"/>
    <col min="5133" max="5133" width="7.7109375" style="224" customWidth="1"/>
    <col min="5134" max="5134" width="12.28515625" style="224" customWidth="1"/>
    <col min="5135" max="5135" width="11.28515625" style="224" customWidth="1"/>
    <col min="5136" max="5136" width="8.28515625" style="224" customWidth="1"/>
    <col min="5137" max="5137" width="10.5703125" style="224" customWidth="1"/>
    <col min="5138" max="5138" width="11" style="224" customWidth="1"/>
    <col min="5139" max="5376" width="9.140625" style="224"/>
    <col min="5377" max="5377" width="3.7109375" style="224" customWidth="1"/>
    <col min="5378" max="5378" width="9.140625" style="224"/>
    <col min="5379" max="5379" width="27.7109375" style="224" customWidth="1"/>
    <col min="5380" max="5380" width="9.140625" style="224"/>
    <col min="5381" max="5381" width="12" style="224" customWidth="1"/>
    <col min="5382" max="5382" width="11.140625" style="224" customWidth="1"/>
    <col min="5383" max="5383" width="12" style="224" customWidth="1"/>
    <col min="5384" max="5384" width="11" style="224" customWidth="1"/>
    <col min="5385" max="5385" width="11.7109375" style="224" customWidth="1"/>
    <col min="5386" max="5386" width="8" style="224" customWidth="1"/>
    <col min="5387" max="5388" width="11.42578125" style="224" customWidth="1"/>
    <col min="5389" max="5389" width="7.7109375" style="224" customWidth="1"/>
    <col min="5390" max="5390" width="12.28515625" style="224" customWidth="1"/>
    <col min="5391" max="5391" width="11.28515625" style="224" customWidth="1"/>
    <col min="5392" max="5392" width="8.28515625" style="224" customWidth="1"/>
    <col min="5393" max="5393" width="10.5703125" style="224" customWidth="1"/>
    <col min="5394" max="5394" width="11" style="224" customWidth="1"/>
    <col min="5395" max="5632" width="9.140625" style="224"/>
    <col min="5633" max="5633" width="3.7109375" style="224" customWidth="1"/>
    <col min="5634" max="5634" width="9.140625" style="224"/>
    <col min="5635" max="5635" width="27.7109375" style="224" customWidth="1"/>
    <col min="5636" max="5636" width="9.140625" style="224"/>
    <col min="5637" max="5637" width="12" style="224" customWidth="1"/>
    <col min="5638" max="5638" width="11.140625" style="224" customWidth="1"/>
    <col min="5639" max="5639" width="12" style="224" customWidth="1"/>
    <col min="5640" max="5640" width="11" style="224" customWidth="1"/>
    <col min="5641" max="5641" width="11.7109375" style="224" customWidth="1"/>
    <col min="5642" max="5642" width="8" style="224" customWidth="1"/>
    <col min="5643" max="5644" width="11.42578125" style="224" customWidth="1"/>
    <col min="5645" max="5645" width="7.7109375" style="224" customWidth="1"/>
    <col min="5646" max="5646" width="12.28515625" style="224" customWidth="1"/>
    <col min="5647" max="5647" width="11.28515625" style="224" customWidth="1"/>
    <col min="5648" max="5648" width="8.28515625" style="224" customWidth="1"/>
    <col min="5649" max="5649" width="10.5703125" style="224" customWidth="1"/>
    <col min="5650" max="5650" width="11" style="224" customWidth="1"/>
    <col min="5651" max="5888" width="9.140625" style="224"/>
    <col min="5889" max="5889" width="3.7109375" style="224" customWidth="1"/>
    <col min="5890" max="5890" width="9.140625" style="224"/>
    <col min="5891" max="5891" width="27.7109375" style="224" customWidth="1"/>
    <col min="5892" max="5892" width="9.140625" style="224"/>
    <col min="5893" max="5893" width="12" style="224" customWidth="1"/>
    <col min="5894" max="5894" width="11.140625" style="224" customWidth="1"/>
    <col min="5895" max="5895" width="12" style="224" customWidth="1"/>
    <col min="5896" max="5896" width="11" style="224" customWidth="1"/>
    <col min="5897" max="5897" width="11.7109375" style="224" customWidth="1"/>
    <col min="5898" max="5898" width="8" style="224" customWidth="1"/>
    <col min="5899" max="5900" width="11.42578125" style="224" customWidth="1"/>
    <col min="5901" max="5901" width="7.7109375" style="224" customWidth="1"/>
    <col min="5902" max="5902" width="12.28515625" style="224" customWidth="1"/>
    <col min="5903" max="5903" width="11.28515625" style="224" customWidth="1"/>
    <col min="5904" max="5904" width="8.28515625" style="224" customWidth="1"/>
    <col min="5905" max="5905" width="10.5703125" style="224" customWidth="1"/>
    <col min="5906" max="5906" width="11" style="224" customWidth="1"/>
    <col min="5907" max="6144" width="9.140625" style="224"/>
    <col min="6145" max="6145" width="3.7109375" style="224" customWidth="1"/>
    <col min="6146" max="6146" width="9.140625" style="224"/>
    <col min="6147" max="6147" width="27.7109375" style="224" customWidth="1"/>
    <col min="6148" max="6148" width="9.140625" style="224"/>
    <col min="6149" max="6149" width="12" style="224" customWidth="1"/>
    <col min="6150" max="6150" width="11.140625" style="224" customWidth="1"/>
    <col min="6151" max="6151" width="12" style="224" customWidth="1"/>
    <col min="6152" max="6152" width="11" style="224" customWidth="1"/>
    <col min="6153" max="6153" width="11.7109375" style="224" customWidth="1"/>
    <col min="6154" max="6154" width="8" style="224" customWidth="1"/>
    <col min="6155" max="6156" width="11.42578125" style="224" customWidth="1"/>
    <col min="6157" max="6157" width="7.7109375" style="224" customWidth="1"/>
    <col min="6158" max="6158" width="12.28515625" style="224" customWidth="1"/>
    <col min="6159" max="6159" width="11.28515625" style="224" customWidth="1"/>
    <col min="6160" max="6160" width="8.28515625" style="224" customWidth="1"/>
    <col min="6161" max="6161" width="10.5703125" style="224" customWidth="1"/>
    <col min="6162" max="6162" width="11" style="224" customWidth="1"/>
    <col min="6163" max="6400" width="9.140625" style="224"/>
    <col min="6401" max="6401" width="3.7109375" style="224" customWidth="1"/>
    <col min="6402" max="6402" width="9.140625" style="224"/>
    <col min="6403" max="6403" width="27.7109375" style="224" customWidth="1"/>
    <col min="6404" max="6404" width="9.140625" style="224"/>
    <col min="6405" max="6405" width="12" style="224" customWidth="1"/>
    <col min="6406" max="6406" width="11.140625" style="224" customWidth="1"/>
    <col min="6407" max="6407" width="12" style="224" customWidth="1"/>
    <col min="6408" max="6408" width="11" style="224" customWidth="1"/>
    <col min="6409" max="6409" width="11.7109375" style="224" customWidth="1"/>
    <col min="6410" max="6410" width="8" style="224" customWidth="1"/>
    <col min="6411" max="6412" width="11.42578125" style="224" customWidth="1"/>
    <col min="6413" max="6413" width="7.7109375" style="224" customWidth="1"/>
    <col min="6414" max="6414" width="12.28515625" style="224" customWidth="1"/>
    <col min="6415" max="6415" width="11.28515625" style="224" customWidth="1"/>
    <col min="6416" max="6416" width="8.28515625" style="224" customWidth="1"/>
    <col min="6417" max="6417" width="10.5703125" style="224" customWidth="1"/>
    <col min="6418" max="6418" width="11" style="224" customWidth="1"/>
    <col min="6419" max="6656" width="9.140625" style="224"/>
    <col min="6657" max="6657" width="3.7109375" style="224" customWidth="1"/>
    <col min="6658" max="6658" width="9.140625" style="224"/>
    <col min="6659" max="6659" width="27.7109375" style="224" customWidth="1"/>
    <col min="6660" max="6660" width="9.140625" style="224"/>
    <col min="6661" max="6661" width="12" style="224" customWidth="1"/>
    <col min="6662" max="6662" width="11.140625" style="224" customWidth="1"/>
    <col min="6663" max="6663" width="12" style="224" customWidth="1"/>
    <col min="6664" max="6664" width="11" style="224" customWidth="1"/>
    <col min="6665" max="6665" width="11.7109375" style="224" customWidth="1"/>
    <col min="6666" max="6666" width="8" style="224" customWidth="1"/>
    <col min="6667" max="6668" width="11.42578125" style="224" customWidth="1"/>
    <col min="6669" max="6669" width="7.7109375" style="224" customWidth="1"/>
    <col min="6670" max="6670" width="12.28515625" style="224" customWidth="1"/>
    <col min="6671" max="6671" width="11.28515625" style="224" customWidth="1"/>
    <col min="6672" max="6672" width="8.28515625" style="224" customWidth="1"/>
    <col min="6673" max="6673" width="10.5703125" style="224" customWidth="1"/>
    <col min="6674" max="6674" width="11" style="224" customWidth="1"/>
    <col min="6675" max="6912" width="9.140625" style="224"/>
    <col min="6913" max="6913" width="3.7109375" style="224" customWidth="1"/>
    <col min="6914" max="6914" width="9.140625" style="224"/>
    <col min="6915" max="6915" width="27.7109375" style="224" customWidth="1"/>
    <col min="6916" max="6916" width="9.140625" style="224"/>
    <col min="6917" max="6917" width="12" style="224" customWidth="1"/>
    <col min="6918" max="6918" width="11.140625" style="224" customWidth="1"/>
    <col min="6919" max="6919" width="12" style="224" customWidth="1"/>
    <col min="6920" max="6920" width="11" style="224" customWidth="1"/>
    <col min="6921" max="6921" width="11.7109375" style="224" customWidth="1"/>
    <col min="6922" max="6922" width="8" style="224" customWidth="1"/>
    <col min="6923" max="6924" width="11.42578125" style="224" customWidth="1"/>
    <col min="6925" max="6925" width="7.7109375" style="224" customWidth="1"/>
    <col min="6926" max="6926" width="12.28515625" style="224" customWidth="1"/>
    <col min="6927" max="6927" width="11.28515625" style="224" customWidth="1"/>
    <col min="6928" max="6928" width="8.28515625" style="224" customWidth="1"/>
    <col min="6929" max="6929" width="10.5703125" style="224" customWidth="1"/>
    <col min="6930" max="6930" width="11" style="224" customWidth="1"/>
    <col min="6931" max="7168" width="9.140625" style="224"/>
    <col min="7169" max="7169" width="3.7109375" style="224" customWidth="1"/>
    <col min="7170" max="7170" width="9.140625" style="224"/>
    <col min="7171" max="7171" width="27.7109375" style="224" customWidth="1"/>
    <col min="7172" max="7172" width="9.140625" style="224"/>
    <col min="7173" max="7173" width="12" style="224" customWidth="1"/>
    <col min="7174" max="7174" width="11.140625" style="224" customWidth="1"/>
    <col min="7175" max="7175" width="12" style="224" customWidth="1"/>
    <col min="7176" max="7176" width="11" style="224" customWidth="1"/>
    <col min="7177" max="7177" width="11.7109375" style="224" customWidth="1"/>
    <col min="7178" max="7178" width="8" style="224" customWidth="1"/>
    <col min="7179" max="7180" width="11.42578125" style="224" customWidth="1"/>
    <col min="7181" max="7181" width="7.7109375" style="224" customWidth="1"/>
    <col min="7182" max="7182" width="12.28515625" style="224" customWidth="1"/>
    <col min="7183" max="7183" width="11.28515625" style="224" customWidth="1"/>
    <col min="7184" max="7184" width="8.28515625" style="224" customWidth="1"/>
    <col min="7185" max="7185" width="10.5703125" style="224" customWidth="1"/>
    <col min="7186" max="7186" width="11" style="224" customWidth="1"/>
    <col min="7187" max="7424" width="9.140625" style="224"/>
    <col min="7425" max="7425" width="3.7109375" style="224" customWidth="1"/>
    <col min="7426" max="7426" width="9.140625" style="224"/>
    <col min="7427" max="7427" width="27.7109375" style="224" customWidth="1"/>
    <col min="7428" max="7428" width="9.140625" style="224"/>
    <col min="7429" max="7429" width="12" style="224" customWidth="1"/>
    <col min="7430" max="7430" width="11.140625" style="224" customWidth="1"/>
    <col min="7431" max="7431" width="12" style="224" customWidth="1"/>
    <col min="7432" max="7432" width="11" style="224" customWidth="1"/>
    <col min="7433" max="7433" width="11.7109375" style="224" customWidth="1"/>
    <col min="7434" max="7434" width="8" style="224" customWidth="1"/>
    <col min="7435" max="7436" width="11.42578125" style="224" customWidth="1"/>
    <col min="7437" max="7437" width="7.7109375" style="224" customWidth="1"/>
    <col min="7438" max="7438" width="12.28515625" style="224" customWidth="1"/>
    <col min="7439" max="7439" width="11.28515625" style="224" customWidth="1"/>
    <col min="7440" max="7440" width="8.28515625" style="224" customWidth="1"/>
    <col min="7441" max="7441" width="10.5703125" style="224" customWidth="1"/>
    <col min="7442" max="7442" width="11" style="224" customWidth="1"/>
    <col min="7443" max="7680" width="9.140625" style="224"/>
    <col min="7681" max="7681" width="3.7109375" style="224" customWidth="1"/>
    <col min="7682" max="7682" width="9.140625" style="224"/>
    <col min="7683" max="7683" width="27.7109375" style="224" customWidth="1"/>
    <col min="7684" max="7684" width="9.140625" style="224"/>
    <col min="7685" max="7685" width="12" style="224" customWidth="1"/>
    <col min="7686" max="7686" width="11.140625" style="224" customWidth="1"/>
    <col min="7687" max="7687" width="12" style="224" customWidth="1"/>
    <col min="7688" max="7688" width="11" style="224" customWidth="1"/>
    <col min="7689" max="7689" width="11.7109375" style="224" customWidth="1"/>
    <col min="7690" max="7690" width="8" style="224" customWidth="1"/>
    <col min="7691" max="7692" width="11.42578125" style="224" customWidth="1"/>
    <col min="7693" max="7693" width="7.7109375" style="224" customWidth="1"/>
    <col min="7694" max="7694" width="12.28515625" style="224" customWidth="1"/>
    <col min="7695" max="7695" width="11.28515625" style="224" customWidth="1"/>
    <col min="7696" max="7696" width="8.28515625" style="224" customWidth="1"/>
    <col min="7697" max="7697" width="10.5703125" style="224" customWidth="1"/>
    <col min="7698" max="7698" width="11" style="224" customWidth="1"/>
    <col min="7699" max="7936" width="9.140625" style="224"/>
    <col min="7937" max="7937" width="3.7109375" style="224" customWidth="1"/>
    <col min="7938" max="7938" width="9.140625" style="224"/>
    <col min="7939" max="7939" width="27.7109375" style="224" customWidth="1"/>
    <col min="7940" max="7940" width="9.140625" style="224"/>
    <col min="7941" max="7941" width="12" style="224" customWidth="1"/>
    <col min="7942" max="7942" width="11.140625" style="224" customWidth="1"/>
    <col min="7943" max="7943" width="12" style="224" customWidth="1"/>
    <col min="7944" max="7944" width="11" style="224" customWidth="1"/>
    <col min="7945" max="7945" width="11.7109375" style="224" customWidth="1"/>
    <col min="7946" max="7946" width="8" style="224" customWidth="1"/>
    <col min="7947" max="7948" width="11.42578125" style="224" customWidth="1"/>
    <col min="7949" max="7949" width="7.7109375" style="224" customWidth="1"/>
    <col min="7950" max="7950" width="12.28515625" style="224" customWidth="1"/>
    <col min="7951" max="7951" width="11.28515625" style="224" customWidth="1"/>
    <col min="7952" max="7952" width="8.28515625" style="224" customWidth="1"/>
    <col min="7953" max="7953" width="10.5703125" style="224" customWidth="1"/>
    <col min="7954" max="7954" width="11" style="224" customWidth="1"/>
    <col min="7955" max="8192" width="9.140625" style="224"/>
    <col min="8193" max="8193" width="3.7109375" style="224" customWidth="1"/>
    <col min="8194" max="8194" width="9.140625" style="224"/>
    <col min="8195" max="8195" width="27.7109375" style="224" customWidth="1"/>
    <col min="8196" max="8196" width="9.140625" style="224"/>
    <col min="8197" max="8197" width="12" style="224" customWidth="1"/>
    <col min="8198" max="8198" width="11.140625" style="224" customWidth="1"/>
    <col min="8199" max="8199" width="12" style="224" customWidth="1"/>
    <col min="8200" max="8200" width="11" style="224" customWidth="1"/>
    <col min="8201" max="8201" width="11.7109375" style="224" customWidth="1"/>
    <col min="8202" max="8202" width="8" style="224" customWidth="1"/>
    <col min="8203" max="8204" width="11.42578125" style="224" customWidth="1"/>
    <col min="8205" max="8205" width="7.7109375" style="224" customWidth="1"/>
    <col min="8206" max="8206" width="12.28515625" style="224" customWidth="1"/>
    <col min="8207" max="8207" width="11.28515625" style="224" customWidth="1"/>
    <col min="8208" max="8208" width="8.28515625" style="224" customWidth="1"/>
    <col min="8209" max="8209" width="10.5703125" style="224" customWidth="1"/>
    <col min="8210" max="8210" width="11" style="224" customWidth="1"/>
    <col min="8211" max="8448" width="9.140625" style="224"/>
    <col min="8449" max="8449" width="3.7109375" style="224" customWidth="1"/>
    <col min="8450" max="8450" width="9.140625" style="224"/>
    <col min="8451" max="8451" width="27.7109375" style="224" customWidth="1"/>
    <col min="8452" max="8452" width="9.140625" style="224"/>
    <col min="8453" max="8453" width="12" style="224" customWidth="1"/>
    <col min="8454" max="8454" width="11.140625" style="224" customWidth="1"/>
    <col min="8455" max="8455" width="12" style="224" customWidth="1"/>
    <col min="8456" max="8456" width="11" style="224" customWidth="1"/>
    <col min="8457" max="8457" width="11.7109375" style="224" customWidth="1"/>
    <col min="8458" max="8458" width="8" style="224" customWidth="1"/>
    <col min="8459" max="8460" width="11.42578125" style="224" customWidth="1"/>
    <col min="8461" max="8461" width="7.7109375" style="224" customWidth="1"/>
    <col min="8462" max="8462" width="12.28515625" style="224" customWidth="1"/>
    <col min="8463" max="8463" width="11.28515625" style="224" customWidth="1"/>
    <col min="8464" max="8464" width="8.28515625" style="224" customWidth="1"/>
    <col min="8465" max="8465" width="10.5703125" style="224" customWidth="1"/>
    <col min="8466" max="8466" width="11" style="224" customWidth="1"/>
    <col min="8467" max="8704" width="9.140625" style="224"/>
    <col min="8705" max="8705" width="3.7109375" style="224" customWidth="1"/>
    <col min="8706" max="8706" width="9.140625" style="224"/>
    <col min="8707" max="8707" width="27.7109375" style="224" customWidth="1"/>
    <col min="8708" max="8708" width="9.140625" style="224"/>
    <col min="8709" max="8709" width="12" style="224" customWidth="1"/>
    <col min="8710" max="8710" width="11.140625" style="224" customWidth="1"/>
    <col min="8711" max="8711" width="12" style="224" customWidth="1"/>
    <col min="8712" max="8712" width="11" style="224" customWidth="1"/>
    <col min="8713" max="8713" width="11.7109375" style="224" customWidth="1"/>
    <col min="8714" max="8714" width="8" style="224" customWidth="1"/>
    <col min="8715" max="8716" width="11.42578125" style="224" customWidth="1"/>
    <col min="8717" max="8717" width="7.7109375" style="224" customWidth="1"/>
    <col min="8718" max="8718" width="12.28515625" style="224" customWidth="1"/>
    <col min="8719" max="8719" width="11.28515625" style="224" customWidth="1"/>
    <col min="8720" max="8720" width="8.28515625" style="224" customWidth="1"/>
    <col min="8721" max="8721" width="10.5703125" style="224" customWidth="1"/>
    <col min="8722" max="8722" width="11" style="224" customWidth="1"/>
    <col min="8723" max="8960" width="9.140625" style="224"/>
    <col min="8961" max="8961" width="3.7109375" style="224" customWidth="1"/>
    <col min="8962" max="8962" width="9.140625" style="224"/>
    <col min="8963" max="8963" width="27.7109375" style="224" customWidth="1"/>
    <col min="8964" max="8964" width="9.140625" style="224"/>
    <col min="8965" max="8965" width="12" style="224" customWidth="1"/>
    <col min="8966" max="8966" width="11.140625" style="224" customWidth="1"/>
    <col min="8967" max="8967" width="12" style="224" customWidth="1"/>
    <col min="8968" max="8968" width="11" style="224" customWidth="1"/>
    <col min="8969" max="8969" width="11.7109375" style="224" customWidth="1"/>
    <col min="8970" max="8970" width="8" style="224" customWidth="1"/>
    <col min="8971" max="8972" width="11.42578125" style="224" customWidth="1"/>
    <col min="8973" max="8973" width="7.7109375" style="224" customWidth="1"/>
    <col min="8974" max="8974" width="12.28515625" style="224" customWidth="1"/>
    <col min="8975" max="8975" width="11.28515625" style="224" customWidth="1"/>
    <col min="8976" max="8976" width="8.28515625" style="224" customWidth="1"/>
    <col min="8977" max="8977" width="10.5703125" style="224" customWidth="1"/>
    <col min="8978" max="8978" width="11" style="224" customWidth="1"/>
    <col min="8979" max="9216" width="9.140625" style="224"/>
    <col min="9217" max="9217" width="3.7109375" style="224" customWidth="1"/>
    <col min="9218" max="9218" width="9.140625" style="224"/>
    <col min="9219" max="9219" width="27.7109375" style="224" customWidth="1"/>
    <col min="9220" max="9220" width="9.140625" style="224"/>
    <col min="9221" max="9221" width="12" style="224" customWidth="1"/>
    <col min="9222" max="9222" width="11.140625" style="224" customWidth="1"/>
    <col min="9223" max="9223" width="12" style="224" customWidth="1"/>
    <col min="9224" max="9224" width="11" style="224" customWidth="1"/>
    <col min="9225" max="9225" width="11.7109375" style="224" customWidth="1"/>
    <col min="9226" max="9226" width="8" style="224" customWidth="1"/>
    <col min="9227" max="9228" width="11.42578125" style="224" customWidth="1"/>
    <col min="9229" max="9229" width="7.7109375" style="224" customWidth="1"/>
    <col min="9230" max="9230" width="12.28515625" style="224" customWidth="1"/>
    <col min="9231" max="9231" width="11.28515625" style="224" customWidth="1"/>
    <col min="9232" max="9232" width="8.28515625" style="224" customWidth="1"/>
    <col min="9233" max="9233" width="10.5703125" style="224" customWidth="1"/>
    <col min="9234" max="9234" width="11" style="224" customWidth="1"/>
    <col min="9235" max="9472" width="9.140625" style="224"/>
    <col min="9473" max="9473" width="3.7109375" style="224" customWidth="1"/>
    <col min="9474" max="9474" width="9.140625" style="224"/>
    <col min="9475" max="9475" width="27.7109375" style="224" customWidth="1"/>
    <col min="9476" max="9476" width="9.140625" style="224"/>
    <col min="9477" max="9477" width="12" style="224" customWidth="1"/>
    <col min="9478" max="9478" width="11.140625" style="224" customWidth="1"/>
    <col min="9479" max="9479" width="12" style="224" customWidth="1"/>
    <col min="9480" max="9480" width="11" style="224" customWidth="1"/>
    <col min="9481" max="9481" width="11.7109375" style="224" customWidth="1"/>
    <col min="9482" max="9482" width="8" style="224" customWidth="1"/>
    <col min="9483" max="9484" width="11.42578125" style="224" customWidth="1"/>
    <col min="9485" max="9485" width="7.7109375" style="224" customWidth="1"/>
    <col min="9486" max="9486" width="12.28515625" style="224" customWidth="1"/>
    <col min="9487" max="9487" width="11.28515625" style="224" customWidth="1"/>
    <col min="9488" max="9488" width="8.28515625" style="224" customWidth="1"/>
    <col min="9489" max="9489" width="10.5703125" style="224" customWidth="1"/>
    <col min="9490" max="9490" width="11" style="224" customWidth="1"/>
    <col min="9491" max="9728" width="9.140625" style="224"/>
    <col min="9729" max="9729" width="3.7109375" style="224" customWidth="1"/>
    <col min="9730" max="9730" width="9.140625" style="224"/>
    <col min="9731" max="9731" width="27.7109375" style="224" customWidth="1"/>
    <col min="9732" max="9732" width="9.140625" style="224"/>
    <col min="9733" max="9733" width="12" style="224" customWidth="1"/>
    <col min="9734" max="9734" width="11.140625" style="224" customWidth="1"/>
    <col min="9735" max="9735" width="12" style="224" customWidth="1"/>
    <col min="9736" max="9736" width="11" style="224" customWidth="1"/>
    <col min="9737" max="9737" width="11.7109375" style="224" customWidth="1"/>
    <col min="9738" max="9738" width="8" style="224" customWidth="1"/>
    <col min="9739" max="9740" width="11.42578125" style="224" customWidth="1"/>
    <col min="9741" max="9741" width="7.7109375" style="224" customWidth="1"/>
    <col min="9742" max="9742" width="12.28515625" style="224" customWidth="1"/>
    <col min="9743" max="9743" width="11.28515625" style="224" customWidth="1"/>
    <col min="9744" max="9744" width="8.28515625" style="224" customWidth="1"/>
    <col min="9745" max="9745" width="10.5703125" style="224" customWidth="1"/>
    <col min="9746" max="9746" width="11" style="224" customWidth="1"/>
    <col min="9747" max="9984" width="9.140625" style="224"/>
    <col min="9985" max="9985" width="3.7109375" style="224" customWidth="1"/>
    <col min="9986" max="9986" width="9.140625" style="224"/>
    <col min="9987" max="9987" width="27.7109375" style="224" customWidth="1"/>
    <col min="9988" max="9988" width="9.140625" style="224"/>
    <col min="9989" max="9989" width="12" style="224" customWidth="1"/>
    <col min="9990" max="9990" width="11.140625" style="224" customWidth="1"/>
    <col min="9991" max="9991" width="12" style="224" customWidth="1"/>
    <col min="9992" max="9992" width="11" style="224" customWidth="1"/>
    <col min="9993" max="9993" width="11.7109375" style="224" customWidth="1"/>
    <col min="9994" max="9994" width="8" style="224" customWidth="1"/>
    <col min="9995" max="9996" width="11.42578125" style="224" customWidth="1"/>
    <col min="9997" max="9997" width="7.7109375" style="224" customWidth="1"/>
    <col min="9998" max="9998" width="12.28515625" style="224" customWidth="1"/>
    <col min="9999" max="9999" width="11.28515625" style="224" customWidth="1"/>
    <col min="10000" max="10000" width="8.28515625" style="224" customWidth="1"/>
    <col min="10001" max="10001" width="10.5703125" style="224" customWidth="1"/>
    <col min="10002" max="10002" width="11" style="224" customWidth="1"/>
    <col min="10003" max="10240" width="9.140625" style="224"/>
    <col min="10241" max="10241" width="3.7109375" style="224" customWidth="1"/>
    <col min="10242" max="10242" width="9.140625" style="224"/>
    <col min="10243" max="10243" width="27.7109375" style="224" customWidth="1"/>
    <col min="10244" max="10244" width="9.140625" style="224"/>
    <col min="10245" max="10245" width="12" style="224" customWidth="1"/>
    <col min="10246" max="10246" width="11.140625" style="224" customWidth="1"/>
    <col min="10247" max="10247" width="12" style="224" customWidth="1"/>
    <col min="10248" max="10248" width="11" style="224" customWidth="1"/>
    <col min="10249" max="10249" width="11.7109375" style="224" customWidth="1"/>
    <col min="10250" max="10250" width="8" style="224" customWidth="1"/>
    <col min="10251" max="10252" width="11.42578125" style="224" customWidth="1"/>
    <col min="10253" max="10253" width="7.7109375" style="224" customWidth="1"/>
    <col min="10254" max="10254" width="12.28515625" style="224" customWidth="1"/>
    <col min="10255" max="10255" width="11.28515625" style="224" customWidth="1"/>
    <col min="10256" max="10256" width="8.28515625" style="224" customWidth="1"/>
    <col min="10257" max="10257" width="10.5703125" style="224" customWidth="1"/>
    <col min="10258" max="10258" width="11" style="224" customWidth="1"/>
    <col min="10259" max="10496" width="9.140625" style="224"/>
    <col min="10497" max="10497" width="3.7109375" style="224" customWidth="1"/>
    <col min="10498" max="10498" width="9.140625" style="224"/>
    <col min="10499" max="10499" width="27.7109375" style="224" customWidth="1"/>
    <col min="10500" max="10500" width="9.140625" style="224"/>
    <col min="10501" max="10501" width="12" style="224" customWidth="1"/>
    <col min="10502" max="10502" width="11.140625" style="224" customWidth="1"/>
    <col min="10503" max="10503" width="12" style="224" customWidth="1"/>
    <col min="10504" max="10504" width="11" style="224" customWidth="1"/>
    <col min="10505" max="10505" width="11.7109375" style="224" customWidth="1"/>
    <col min="10506" max="10506" width="8" style="224" customWidth="1"/>
    <col min="10507" max="10508" width="11.42578125" style="224" customWidth="1"/>
    <col min="10509" max="10509" width="7.7109375" style="224" customWidth="1"/>
    <col min="10510" max="10510" width="12.28515625" style="224" customWidth="1"/>
    <col min="10511" max="10511" width="11.28515625" style="224" customWidth="1"/>
    <col min="10512" max="10512" width="8.28515625" style="224" customWidth="1"/>
    <col min="10513" max="10513" width="10.5703125" style="224" customWidth="1"/>
    <col min="10514" max="10514" width="11" style="224" customWidth="1"/>
    <col min="10515" max="10752" width="9.140625" style="224"/>
    <col min="10753" max="10753" width="3.7109375" style="224" customWidth="1"/>
    <col min="10754" max="10754" width="9.140625" style="224"/>
    <col min="10755" max="10755" width="27.7109375" style="224" customWidth="1"/>
    <col min="10756" max="10756" width="9.140625" style="224"/>
    <col min="10757" max="10757" width="12" style="224" customWidth="1"/>
    <col min="10758" max="10758" width="11.140625" style="224" customWidth="1"/>
    <col min="10759" max="10759" width="12" style="224" customWidth="1"/>
    <col min="10760" max="10760" width="11" style="224" customWidth="1"/>
    <col min="10761" max="10761" width="11.7109375" style="224" customWidth="1"/>
    <col min="10762" max="10762" width="8" style="224" customWidth="1"/>
    <col min="10763" max="10764" width="11.42578125" style="224" customWidth="1"/>
    <col min="10765" max="10765" width="7.7109375" style="224" customWidth="1"/>
    <col min="10766" max="10766" width="12.28515625" style="224" customWidth="1"/>
    <col min="10767" max="10767" width="11.28515625" style="224" customWidth="1"/>
    <col min="10768" max="10768" width="8.28515625" style="224" customWidth="1"/>
    <col min="10769" max="10769" width="10.5703125" style="224" customWidth="1"/>
    <col min="10770" max="10770" width="11" style="224" customWidth="1"/>
    <col min="10771" max="11008" width="9.140625" style="224"/>
    <col min="11009" max="11009" width="3.7109375" style="224" customWidth="1"/>
    <col min="11010" max="11010" width="9.140625" style="224"/>
    <col min="11011" max="11011" width="27.7109375" style="224" customWidth="1"/>
    <col min="11012" max="11012" width="9.140625" style="224"/>
    <col min="11013" max="11013" width="12" style="224" customWidth="1"/>
    <col min="11014" max="11014" width="11.140625" style="224" customWidth="1"/>
    <col min="11015" max="11015" width="12" style="224" customWidth="1"/>
    <col min="11016" max="11016" width="11" style="224" customWidth="1"/>
    <col min="11017" max="11017" width="11.7109375" style="224" customWidth="1"/>
    <col min="11018" max="11018" width="8" style="224" customWidth="1"/>
    <col min="11019" max="11020" width="11.42578125" style="224" customWidth="1"/>
    <col min="11021" max="11021" width="7.7109375" style="224" customWidth="1"/>
    <col min="11022" max="11022" width="12.28515625" style="224" customWidth="1"/>
    <col min="11023" max="11023" width="11.28515625" style="224" customWidth="1"/>
    <col min="11024" max="11024" width="8.28515625" style="224" customWidth="1"/>
    <col min="11025" max="11025" width="10.5703125" style="224" customWidth="1"/>
    <col min="11026" max="11026" width="11" style="224" customWidth="1"/>
    <col min="11027" max="11264" width="9.140625" style="224"/>
    <col min="11265" max="11265" width="3.7109375" style="224" customWidth="1"/>
    <col min="11266" max="11266" width="9.140625" style="224"/>
    <col min="11267" max="11267" width="27.7109375" style="224" customWidth="1"/>
    <col min="11268" max="11268" width="9.140625" style="224"/>
    <col min="11269" max="11269" width="12" style="224" customWidth="1"/>
    <col min="11270" max="11270" width="11.140625" style="224" customWidth="1"/>
    <col min="11271" max="11271" width="12" style="224" customWidth="1"/>
    <col min="11272" max="11272" width="11" style="224" customWidth="1"/>
    <col min="11273" max="11273" width="11.7109375" style="224" customWidth="1"/>
    <col min="11274" max="11274" width="8" style="224" customWidth="1"/>
    <col min="11275" max="11276" width="11.42578125" style="224" customWidth="1"/>
    <col min="11277" max="11277" width="7.7109375" style="224" customWidth="1"/>
    <col min="11278" max="11278" width="12.28515625" style="224" customWidth="1"/>
    <col min="11279" max="11279" width="11.28515625" style="224" customWidth="1"/>
    <col min="11280" max="11280" width="8.28515625" style="224" customWidth="1"/>
    <col min="11281" max="11281" width="10.5703125" style="224" customWidth="1"/>
    <col min="11282" max="11282" width="11" style="224" customWidth="1"/>
    <col min="11283" max="11520" width="9.140625" style="224"/>
    <col min="11521" max="11521" width="3.7109375" style="224" customWidth="1"/>
    <col min="11522" max="11522" width="9.140625" style="224"/>
    <col min="11523" max="11523" width="27.7109375" style="224" customWidth="1"/>
    <col min="11524" max="11524" width="9.140625" style="224"/>
    <col min="11525" max="11525" width="12" style="224" customWidth="1"/>
    <col min="11526" max="11526" width="11.140625" style="224" customWidth="1"/>
    <col min="11527" max="11527" width="12" style="224" customWidth="1"/>
    <col min="11528" max="11528" width="11" style="224" customWidth="1"/>
    <col min="11529" max="11529" width="11.7109375" style="224" customWidth="1"/>
    <col min="11530" max="11530" width="8" style="224" customWidth="1"/>
    <col min="11531" max="11532" width="11.42578125" style="224" customWidth="1"/>
    <col min="11533" max="11533" width="7.7109375" style="224" customWidth="1"/>
    <col min="11534" max="11534" width="12.28515625" style="224" customWidth="1"/>
    <col min="11535" max="11535" width="11.28515625" style="224" customWidth="1"/>
    <col min="11536" max="11536" width="8.28515625" style="224" customWidth="1"/>
    <col min="11537" max="11537" width="10.5703125" style="224" customWidth="1"/>
    <col min="11538" max="11538" width="11" style="224" customWidth="1"/>
    <col min="11539" max="11776" width="9.140625" style="224"/>
    <col min="11777" max="11777" width="3.7109375" style="224" customWidth="1"/>
    <col min="11778" max="11778" width="9.140625" style="224"/>
    <col min="11779" max="11779" width="27.7109375" style="224" customWidth="1"/>
    <col min="11780" max="11780" width="9.140625" style="224"/>
    <col min="11781" max="11781" width="12" style="224" customWidth="1"/>
    <col min="11782" max="11782" width="11.140625" style="224" customWidth="1"/>
    <col min="11783" max="11783" width="12" style="224" customWidth="1"/>
    <col min="11784" max="11784" width="11" style="224" customWidth="1"/>
    <col min="11785" max="11785" width="11.7109375" style="224" customWidth="1"/>
    <col min="11786" max="11786" width="8" style="224" customWidth="1"/>
    <col min="11787" max="11788" width="11.42578125" style="224" customWidth="1"/>
    <col min="11789" max="11789" width="7.7109375" style="224" customWidth="1"/>
    <col min="11790" max="11790" width="12.28515625" style="224" customWidth="1"/>
    <col min="11791" max="11791" width="11.28515625" style="224" customWidth="1"/>
    <col min="11792" max="11792" width="8.28515625" style="224" customWidth="1"/>
    <col min="11793" max="11793" width="10.5703125" style="224" customWidth="1"/>
    <col min="11794" max="11794" width="11" style="224" customWidth="1"/>
    <col min="11795" max="12032" width="9.140625" style="224"/>
    <col min="12033" max="12033" width="3.7109375" style="224" customWidth="1"/>
    <col min="12034" max="12034" width="9.140625" style="224"/>
    <col min="12035" max="12035" width="27.7109375" style="224" customWidth="1"/>
    <col min="12036" max="12036" width="9.140625" style="224"/>
    <col min="12037" max="12037" width="12" style="224" customWidth="1"/>
    <col min="12038" max="12038" width="11.140625" style="224" customWidth="1"/>
    <col min="12039" max="12039" width="12" style="224" customWidth="1"/>
    <col min="12040" max="12040" width="11" style="224" customWidth="1"/>
    <col min="12041" max="12041" width="11.7109375" style="224" customWidth="1"/>
    <col min="12042" max="12042" width="8" style="224" customWidth="1"/>
    <col min="12043" max="12044" width="11.42578125" style="224" customWidth="1"/>
    <col min="12045" max="12045" width="7.7109375" style="224" customWidth="1"/>
    <col min="12046" max="12046" width="12.28515625" style="224" customWidth="1"/>
    <col min="12047" max="12047" width="11.28515625" style="224" customWidth="1"/>
    <col min="12048" max="12048" width="8.28515625" style="224" customWidth="1"/>
    <col min="12049" max="12049" width="10.5703125" style="224" customWidth="1"/>
    <col min="12050" max="12050" width="11" style="224" customWidth="1"/>
    <col min="12051" max="12288" width="9.140625" style="224"/>
    <col min="12289" max="12289" width="3.7109375" style="224" customWidth="1"/>
    <col min="12290" max="12290" width="9.140625" style="224"/>
    <col min="12291" max="12291" width="27.7109375" style="224" customWidth="1"/>
    <col min="12292" max="12292" width="9.140625" style="224"/>
    <col min="12293" max="12293" width="12" style="224" customWidth="1"/>
    <col min="12294" max="12294" width="11.140625" style="224" customWidth="1"/>
    <col min="12295" max="12295" width="12" style="224" customWidth="1"/>
    <col min="12296" max="12296" width="11" style="224" customWidth="1"/>
    <col min="12297" max="12297" width="11.7109375" style="224" customWidth="1"/>
    <col min="12298" max="12298" width="8" style="224" customWidth="1"/>
    <col min="12299" max="12300" width="11.42578125" style="224" customWidth="1"/>
    <col min="12301" max="12301" width="7.7109375" style="224" customWidth="1"/>
    <col min="12302" max="12302" width="12.28515625" style="224" customWidth="1"/>
    <col min="12303" max="12303" width="11.28515625" style="224" customWidth="1"/>
    <col min="12304" max="12304" width="8.28515625" style="224" customWidth="1"/>
    <col min="12305" max="12305" width="10.5703125" style="224" customWidth="1"/>
    <col min="12306" max="12306" width="11" style="224" customWidth="1"/>
    <col min="12307" max="12544" width="9.140625" style="224"/>
    <col min="12545" max="12545" width="3.7109375" style="224" customWidth="1"/>
    <col min="12546" max="12546" width="9.140625" style="224"/>
    <col min="12547" max="12547" width="27.7109375" style="224" customWidth="1"/>
    <col min="12548" max="12548" width="9.140625" style="224"/>
    <col min="12549" max="12549" width="12" style="224" customWidth="1"/>
    <col min="12550" max="12550" width="11.140625" style="224" customWidth="1"/>
    <col min="12551" max="12551" width="12" style="224" customWidth="1"/>
    <col min="12552" max="12552" width="11" style="224" customWidth="1"/>
    <col min="12553" max="12553" width="11.7109375" style="224" customWidth="1"/>
    <col min="12554" max="12554" width="8" style="224" customWidth="1"/>
    <col min="12555" max="12556" width="11.42578125" style="224" customWidth="1"/>
    <col min="12557" max="12557" width="7.7109375" style="224" customWidth="1"/>
    <col min="12558" max="12558" width="12.28515625" style="224" customWidth="1"/>
    <col min="12559" max="12559" width="11.28515625" style="224" customWidth="1"/>
    <col min="12560" max="12560" width="8.28515625" style="224" customWidth="1"/>
    <col min="12561" max="12561" width="10.5703125" style="224" customWidth="1"/>
    <col min="12562" max="12562" width="11" style="224" customWidth="1"/>
    <col min="12563" max="12800" width="9.140625" style="224"/>
    <col min="12801" max="12801" width="3.7109375" style="224" customWidth="1"/>
    <col min="12802" max="12802" width="9.140625" style="224"/>
    <col min="12803" max="12803" width="27.7109375" style="224" customWidth="1"/>
    <col min="12804" max="12804" width="9.140625" style="224"/>
    <col min="12805" max="12805" width="12" style="224" customWidth="1"/>
    <col min="12806" max="12806" width="11.140625" style="224" customWidth="1"/>
    <col min="12807" max="12807" width="12" style="224" customWidth="1"/>
    <col min="12808" max="12808" width="11" style="224" customWidth="1"/>
    <col min="12809" max="12809" width="11.7109375" style="224" customWidth="1"/>
    <col min="12810" max="12810" width="8" style="224" customWidth="1"/>
    <col min="12811" max="12812" width="11.42578125" style="224" customWidth="1"/>
    <col min="12813" max="12813" width="7.7109375" style="224" customWidth="1"/>
    <col min="12814" max="12814" width="12.28515625" style="224" customWidth="1"/>
    <col min="12815" max="12815" width="11.28515625" style="224" customWidth="1"/>
    <col min="12816" max="12816" width="8.28515625" style="224" customWidth="1"/>
    <col min="12817" max="12817" width="10.5703125" style="224" customWidth="1"/>
    <col min="12818" max="12818" width="11" style="224" customWidth="1"/>
    <col min="12819" max="13056" width="9.140625" style="224"/>
    <col min="13057" max="13057" width="3.7109375" style="224" customWidth="1"/>
    <col min="13058" max="13058" width="9.140625" style="224"/>
    <col min="13059" max="13059" width="27.7109375" style="224" customWidth="1"/>
    <col min="13060" max="13060" width="9.140625" style="224"/>
    <col min="13061" max="13061" width="12" style="224" customWidth="1"/>
    <col min="13062" max="13062" width="11.140625" style="224" customWidth="1"/>
    <col min="13063" max="13063" width="12" style="224" customWidth="1"/>
    <col min="13064" max="13064" width="11" style="224" customWidth="1"/>
    <col min="13065" max="13065" width="11.7109375" style="224" customWidth="1"/>
    <col min="13066" max="13066" width="8" style="224" customWidth="1"/>
    <col min="13067" max="13068" width="11.42578125" style="224" customWidth="1"/>
    <col min="13069" max="13069" width="7.7109375" style="224" customWidth="1"/>
    <col min="13070" max="13070" width="12.28515625" style="224" customWidth="1"/>
    <col min="13071" max="13071" width="11.28515625" style="224" customWidth="1"/>
    <col min="13072" max="13072" width="8.28515625" style="224" customWidth="1"/>
    <col min="13073" max="13073" width="10.5703125" style="224" customWidth="1"/>
    <col min="13074" max="13074" width="11" style="224" customWidth="1"/>
    <col min="13075" max="13312" width="9.140625" style="224"/>
    <col min="13313" max="13313" width="3.7109375" style="224" customWidth="1"/>
    <col min="13314" max="13314" width="9.140625" style="224"/>
    <col min="13315" max="13315" width="27.7109375" style="224" customWidth="1"/>
    <col min="13316" max="13316" width="9.140625" style="224"/>
    <col min="13317" max="13317" width="12" style="224" customWidth="1"/>
    <col min="13318" max="13318" width="11.140625" style="224" customWidth="1"/>
    <col min="13319" max="13319" width="12" style="224" customWidth="1"/>
    <col min="13320" max="13320" width="11" style="224" customWidth="1"/>
    <col min="13321" max="13321" width="11.7109375" style="224" customWidth="1"/>
    <col min="13322" max="13322" width="8" style="224" customWidth="1"/>
    <col min="13323" max="13324" width="11.42578125" style="224" customWidth="1"/>
    <col min="13325" max="13325" width="7.7109375" style="224" customWidth="1"/>
    <col min="13326" max="13326" width="12.28515625" style="224" customWidth="1"/>
    <col min="13327" max="13327" width="11.28515625" style="224" customWidth="1"/>
    <col min="13328" max="13328" width="8.28515625" style="224" customWidth="1"/>
    <col min="13329" max="13329" width="10.5703125" style="224" customWidth="1"/>
    <col min="13330" max="13330" width="11" style="224" customWidth="1"/>
    <col min="13331" max="13568" width="9.140625" style="224"/>
    <col min="13569" max="13569" width="3.7109375" style="224" customWidth="1"/>
    <col min="13570" max="13570" width="9.140625" style="224"/>
    <col min="13571" max="13571" width="27.7109375" style="224" customWidth="1"/>
    <col min="13572" max="13572" width="9.140625" style="224"/>
    <col min="13573" max="13573" width="12" style="224" customWidth="1"/>
    <col min="13574" max="13574" width="11.140625" style="224" customWidth="1"/>
    <col min="13575" max="13575" width="12" style="224" customWidth="1"/>
    <col min="13576" max="13576" width="11" style="224" customWidth="1"/>
    <col min="13577" max="13577" width="11.7109375" style="224" customWidth="1"/>
    <col min="13578" max="13578" width="8" style="224" customWidth="1"/>
    <col min="13579" max="13580" width="11.42578125" style="224" customWidth="1"/>
    <col min="13581" max="13581" width="7.7109375" style="224" customWidth="1"/>
    <col min="13582" max="13582" width="12.28515625" style="224" customWidth="1"/>
    <col min="13583" max="13583" width="11.28515625" style="224" customWidth="1"/>
    <col min="13584" max="13584" width="8.28515625" style="224" customWidth="1"/>
    <col min="13585" max="13585" width="10.5703125" style="224" customWidth="1"/>
    <col min="13586" max="13586" width="11" style="224" customWidth="1"/>
    <col min="13587" max="13824" width="9.140625" style="224"/>
    <col min="13825" max="13825" width="3.7109375" style="224" customWidth="1"/>
    <col min="13826" max="13826" width="9.140625" style="224"/>
    <col min="13827" max="13827" width="27.7109375" style="224" customWidth="1"/>
    <col min="13828" max="13828" width="9.140625" style="224"/>
    <col min="13829" max="13829" width="12" style="224" customWidth="1"/>
    <col min="13830" max="13830" width="11.140625" style="224" customWidth="1"/>
    <col min="13831" max="13831" width="12" style="224" customWidth="1"/>
    <col min="13832" max="13832" width="11" style="224" customWidth="1"/>
    <col min="13833" max="13833" width="11.7109375" style="224" customWidth="1"/>
    <col min="13834" max="13834" width="8" style="224" customWidth="1"/>
    <col min="13835" max="13836" width="11.42578125" style="224" customWidth="1"/>
    <col min="13837" max="13837" width="7.7109375" style="224" customWidth="1"/>
    <col min="13838" max="13838" width="12.28515625" style="224" customWidth="1"/>
    <col min="13839" max="13839" width="11.28515625" style="224" customWidth="1"/>
    <col min="13840" max="13840" width="8.28515625" style="224" customWidth="1"/>
    <col min="13841" max="13841" width="10.5703125" style="224" customWidth="1"/>
    <col min="13842" max="13842" width="11" style="224" customWidth="1"/>
    <col min="13843" max="14080" width="9.140625" style="224"/>
    <col min="14081" max="14081" width="3.7109375" style="224" customWidth="1"/>
    <col min="14082" max="14082" width="9.140625" style="224"/>
    <col min="14083" max="14083" width="27.7109375" style="224" customWidth="1"/>
    <col min="14084" max="14084" width="9.140625" style="224"/>
    <col min="14085" max="14085" width="12" style="224" customWidth="1"/>
    <col min="14086" max="14086" width="11.140625" style="224" customWidth="1"/>
    <col min="14087" max="14087" width="12" style="224" customWidth="1"/>
    <col min="14088" max="14088" width="11" style="224" customWidth="1"/>
    <col min="14089" max="14089" width="11.7109375" style="224" customWidth="1"/>
    <col min="14090" max="14090" width="8" style="224" customWidth="1"/>
    <col min="14091" max="14092" width="11.42578125" style="224" customWidth="1"/>
    <col min="14093" max="14093" width="7.7109375" style="224" customWidth="1"/>
    <col min="14094" max="14094" width="12.28515625" style="224" customWidth="1"/>
    <col min="14095" max="14095" width="11.28515625" style="224" customWidth="1"/>
    <col min="14096" max="14096" width="8.28515625" style="224" customWidth="1"/>
    <col min="14097" max="14097" width="10.5703125" style="224" customWidth="1"/>
    <col min="14098" max="14098" width="11" style="224" customWidth="1"/>
    <col min="14099" max="14336" width="9.140625" style="224"/>
    <col min="14337" max="14337" width="3.7109375" style="224" customWidth="1"/>
    <col min="14338" max="14338" width="9.140625" style="224"/>
    <col min="14339" max="14339" width="27.7109375" style="224" customWidth="1"/>
    <col min="14340" max="14340" width="9.140625" style="224"/>
    <col min="14341" max="14341" width="12" style="224" customWidth="1"/>
    <col min="14342" max="14342" width="11.140625" style="224" customWidth="1"/>
    <col min="14343" max="14343" width="12" style="224" customWidth="1"/>
    <col min="14344" max="14344" width="11" style="224" customWidth="1"/>
    <col min="14345" max="14345" width="11.7109375" style="224" customWidth="1"/>
    <col min="14346" max="14346" width="8" style="224" customWidth="1"/>
    <col min="14347" max="14348" width="11.42578125" style="224" customWidth="1"/>
    <col min="14349" max="14349" width="7.7109375" style="224" customWidth="1"/>
    <col min="14350" max="14350" width="12.28515625" style="224" customWidth="1"/>
    <col min="14351" max="14351" width="11.28515625" style="224" customWidth="1"/>
    <col min="14352" max="14352" width="8.28515625" style="224" customWidth="1"/>
    <col min="14353" max="14353" width="10.5703125" style="224" customWidth="1"/>
    <col min="14354" max="14354" width="11" style="224" customWidth="1"/>
    <col min="14355" max="14592" width="9.140625" style="224"/>
    <col min="14593" max="14593" width="3.7109375" style="224" customWidth="1"/>
    <col min="14594" max="14594" width="9.140625" style="224"/>
    <col min="14595" max="14595" width="27.7109375" style="224" customWidth="1"/>
    <col min="14596" max="14596" width="9.140625" style="224"/>
    <col min="14597" max="14597" width="12" style="224" customWidth="1"/>
    <col min="14598" max="14598" width="11.140625" style="224" customWidth="1"/>
    <col min="14599" max="14599" width="12" style="224" customWidth="1"/>
    <col min="14600" max="14600" width="11" style="224" customWidth="1"/>
    <col min="14601" max="14601" width="11.7109375" style="224" customWidth="1"/>
    <col min="14602" max="14602" width="8" style="224" customWidth="1"/>
    <col min="14603" max="14604" width="11.42578125" style="224" customWidth="1"/>
    <col min="14605" max="14605" width="7.7109375" style="224" customWidth="1"/>
    <col min="14606" max="14606" width="12.28515625" style="224" customWidth="1"/>
    <col min="14607" max="14607" width="11.28515625" style="224" customWidth="1"/>
    <col min="14608" max="14608" width="8.28515625" style="224" customWidth="1"/>
    <col min="14609" max="14609" width="10.5703125" style="224" customWidth="1"/>
    <col min="14610" max="14610" width="11" style="224" customWidth="1"/>
    <col min="14611" max="14848" width="9.140625" style="224"/>
    <col min="14849" max="14849" width="3.7109375" style="224" customWidth="1"/>
    <col min="14850" max="14850" width="9.140625" style="224"/>
    <col min="14851" max="14851" width="27.7109375" style="224" customWidth="1"/>
    <col min="14852" max="14852" width="9.140625" style="224"/>
    <col min="14853" max="14853" width="12" style="224" customWidth="1"/>
    <col min="14854" max="14854" width="11.140625" style="224" customWidth="1"/>
    <col min="14855" max="14855" width="12" style="224" customWidth="1"/>
    <col min="14856" max="14856" width="11" style="224" customWidth="1"/>
    <col min="14857" max="14857" width="11.7109375" style="224" customWidth="1"/>
    <col min="14858" max="14858" width="8" style="224" customWidth="1"/>
    <col min="14859" max="14860" width="11.42578125" style="224" customWidth="1"/>
    <col min="14861" max="14861" width="7.7109375" style="224" customWidth="1"/>
    <col min="14862" max="14862" width="12.28515625" style="224" customWidth="1"/>
    <col min="14863" max="14863" width="11.28515625" style="224" customWidth="1"/>
    <col min="14864" max="14864" width="8.28515625" style="224" customWidth="1"/>
    <col min="14865" max="14865" width="10.5703125" style="224" customWidth="1"/>
    <col min="14866" max="14866" width="11" style="224" customWidth="1"/>
    <col min="14867" max="15104" width="9.140625" style="224"/>
    <col min="15105" max="15105" width="3.7109375" style="224" customWidth="1"/>
    <col min="15106" max="15106" width="9.140625" style="224"/>
    <col min="15107" max="15107" width="27.7109375" style="224" customWidth="1"/>
    <col min="15108" max="15108" width="9.140625" style="224"/>
    <col min="15109" max="15109" width="12" style="224" customWidth="1"/>
    <col min="15110" max="15110" width="11.140625" style="224" customWidth="1"/>
    <col min="15111" max="15111" width="12" style="224" customWidth="1"/>
    <col min="15112" max="15112" width="11" style="224" customWidth="1"/>
    <col min="15113" max="15113" width="11.7109375" style="224" customWidth="1"/>
    <col min="15114" max="15114" width="8" style="224" customWidth="1"/>
    <col min="15115" max="15116" width="11.42578125" style="224" customWidth="1"/>
    <col min="15117" max="15117" width="7.7109375" style="224" customWidth="1"/>
    <col min="15118" max="15118" width="12.28515625" style="224" customWidth="1"/>
    <col min="15119" max="15119" width="11.28515625" style="224" customWidth="1"/>
    <col min="15120" max="15120" width="8.28515625" style="224" customWidth="1"/>
    <col min="15121" max="15121" width="10.5703125" style="224" customWidth="1"/>
    <col min="15122" max="15122" width="11" style="224" customWidth="1"/>
    <col min="15123" max="15360" width="9.140625" style="224"/>
    <col min="15361" max="15361" width="3.7109375" style="224" customWidth="1"/>
    <col min="15362" max="15362" width="9.140625" style="224"/>
    <col min="15363" max="15363" width="27.7109375" style="224" customWidth="1"/>
    <col min="15364" max="15364" width="9.140625" style="224"/>
    <col min="15365" max="15365" width="12" style="224" customWidth="1"/>
    <col min="15366" max="15366" width="11.140625" style="224" customWidth="1"/>
    <col min="15367" max="15367" width="12" style="224" customWidth="1"/>
    <col min="15368" max="15368" width="11" style="224" customWidth="1"/>
    <col min="15369" max="15369" width="11.7109375" style="224" customWidth="1"/>
    <col min="15370" max="15370" width="8" style="224" customWidth="1"/>
    <col min="15371" max="15372" width="11.42578125" style="224" customWidth="1"/>
    <col min="15373" max="15373" width="7.7109375" style="224" customWidth="1"/>
    <col min="15374" max="15374" width="12.28515625" style="224" customWidth="1"/>
    <col min="15375" max="15375" width="11.28515625" style="224" customWidth="1"/>
    <col min="15376" max="15376" width="8.28515625" style="224" customWidth="1"/>
    <col min="15377" max="15377" width="10.5703125" style="224" customWidth="1"/>
    <col min="15378" max="15378" width="11" style="224" customWidth="1"/>
    <col min="15379" max="15616" width="9.140625" style="224"/>
    <col min="15617" max="15617" width="3.7109375" style="224" customWidth="1"/>
    <col min="15618" max="15618" width="9.140625" style="224"/>
    <col min="15619" max="15619" width="27.7109375" style="224" customWidth="1"/>
    <col min="15620" max="15620" width="9.140625" style="224"/>
    <col min="15621" max="15621" width="12" style="224" customWidth="1"/>
    <col min="15622" max="15622" width="11.140625" style="224" customWidth="1"/>
    <col min="15623" max="15623" width="12" style="224" customWidth="1"/>
    <col min="15624" max="15624" width="11" style="224" customWidth="1"/>
    <col min="15625" max="15625" width="11.7109375" style="224" customWidth="1"/>
    <col min="15626" max="15626" width="8" style="224" customWidth="1"/>
    <col min="15627" max="15628" width="11.42578125" style="224" customWidth="1"/>
    <col min="15629" max="15629" width="7.7109375" style="224" customWidth="1"/>
    <col min="15630" max="15630" width="12.28515625" style="224" customWidth="1"/>
    <col min="15631" max="15631" width="11.28515625" style="224" customWidth="1"/>
    <col min="15632" max="15632" width="8.28515625" style="224" customWidth="1"/>
    <col min="15633" max="15633" width="10.5703125" style="224" customWidth="1"/>
    <col min="15634" max="15634" width="11" style="224" customWidth="1"/>
    <col min="15635" max="15872" width="9.140625" style="224"/>
    <col min="15873" max="15873" width="3.7109375" style="224" customWidth="1"/>
    <col min="15874" max="15874" width="9.140625" style="224"/>
    <col min="15875" max="15875" width="27.7109375" style="224" customWidth="1"/>
    <col min="15876" max="15876" width="9.140625" style="224"/>
    <col min="15877" max="15877" width="12" style="224" customWidth="1"/>
    <col min="15878" max="15878" width="11.140625" style="224" customWidth="1"/>
    <col min="15879" max="15879" width="12" style="224" customWidth="1"/>
    <col min="15880" max="15880" width="11" style="224" customWidth="1"/>
    <col min="15881" max="15881" width="11.7109375" style="224" customWidth="1"/>
    <col min="15882" max="15882" width="8" style="224" customWidth="1"/>
    <col min="15883" max="15884" width="11.42578125" style="224" customWidth="1"/>
    <col min="15885" max="15885" width="7.7109375" style="224" customWidth="1"/>
    <col min="15886" max="15886" width="12.28515625" style="224" customWidth="1"/>
    <col min="15887" max="15887" width="11.28515625" style="224" customWidth="1"/>
    <col min="15888" max="15888" width="8.28515625" style="224" customWidth="1"/>
    <col min="15889" max="15889" width="10.5703125" style="224" customWidth="1"/>
    <col min="15890" max="15890" width="11" style="224" customWidth="1"/>
    <col min="15891" max="16128" width="9.140625" style="224"/>
    <col min="16129" max="16129" width="3.7109375" style="224" customWidth="1"/>
    <col min="16130" max="16130" width="9.140625" style="224"/>
    <col min="16131" max="16131" width="27.7109375" style="224" customWidth="1"/>
    <col min="16132" max="16132" width="9.140625" style="224"/>
    <col min="16133" max="16133" width="12" style="224" customWidth="1"/>
    <col min="16134" max="16134" width="11.140625" style="224" customWidth="1"/>
    <col min="16135" max="16135" width="12" style="224" customWidth="1"/>
    <col min="16136" max="16136" width="11" style="224" customWidth="1"/>
    <col min="16137" max="16137" width="11.7109375" style="224" customWidth="1"/>
    <col min="16138" max="16138" width="8" style="224" customWidth="1"/>
    <col min="16139" max="16140" width="11.42578125" style="224" customWidth="1"/>
    <col min="16141" max="16141" width="7.7109375" style="224" customWidth="1"/>
    <col min="16142" max="16142" width="12.28515625" style="224" customWidth="1"/>
    <col min="16143" max="16143" width="11.28515625" style="224" customWidth="1"/>
    <col min="16144" max="16144" width="8.28515625" style="224" customWidth="1"/>
    <col min="16145" max="16145" width="10.5703125" style="224" customWidth="1"/>
    <col min="16146" max="16146" width="11" style="224" customWidth="1"/>
    <col min="16147" max="16384" width="9.140625" style="224"/>
  </cols>
  <sheetData>
    <row r="1" spans="1:18" s="228" customFormat="1" ht="15.75" x14ac:dyDescent="0.25">
      <c r="C1" s="1182" t="s">
        <v>555</v>
      </c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229"/>
      <c r="R1" s="230"/>
    </row>
    <row r="3" spans="1:18" x14ac:dyDescent="0.2">
      <c r="A3" s="1183" t="s">
        <v>0</v>
      </c>
      <c r="B3" s="1184" t="s">
        <v>106</v>
      </c>
      <c r="C3" s="1187" t="s">
        <v>107</v>
      </c>
      <c r="D3" s="1190" t="s">
        <v>556</v>
      </c>
      <c r="E3" s="1193" t="s">
        <v>557</v>
      </c>
      <c r="F3" s="1194"/>
      <c r="G3" s="1194"/>
      <c r="H3" s="1194"/>
      <c r="I3" s="1195"/>
      <c r="J3" s="1196" t="s">
        <v>558</v>
      </c>
      <c r="K3" s="1196"/>
      <c r="L3" s="1196"/>
      <c r="M3" s="1196"/>
      <c r="N3" s="1196"/>
      <c r="O3" s="1196"/>
      <c r="P3" s="1196"/>
      <c r="Q3" s="1196"/>
      <c r="R3" s="1196"/>
    </row>
    <row r="4" spans="1:18" ht="11.25" customHeight="1" x14ac:dyDescent="0.2">
      <c r="A4" s="1183"/>
      <c r="B4" s="1185"/>
      <c r="C4" s="1188"/>
      <c r="D4" s="1191"/>
      <c r="E4" s="1197" t="s">
        <v>559</v>
      </c>
      <c r="F4" s="1198" t="s">
        <v>560</v>
      </c>
      <c r="G4" s="1198"/>
      <c r="H4" s="1198"/>
      <c r="I4" s="1198"/>
      <c r="J4" s="1199" t="s">
        <v>1</v>
      </c>
      <c r="K4" s="1172" t="s">
        <v>561</v>
      </c>
      <c r="L4" s="1173"/>
      <c r="M4" s="1174" t="s">
        <v>559</v>
      </c>
      <c r="N4" s="1175"/>
      <c r="O4" s="1175"/>
      <c r="P4" s="1175"/>
      <c r="Q4" s="1175"/>
      <c r="R4" s="1176"/>
    </row>
    <row r="5" spans="1:18" ht="48" customHeight="1" x14ac:dyDescent="0.2">
      <c r="A5" s="1183"/>
      <c r="B5" s="1185"/>
      <c r="C5" s="1188"/>
      <c r="D5" s="1191"/>
      <c r="E5" s="1197"/>
      <c r="F5" s="1198"/>
      <c r="G5" s="1198"/>
      <c r="H5" s="1198"/>
      <c r="I5" s="1198"/>
      <c r="J5" s="1200"/>
      <c r="K5" s="222" t="s">
        <v>562</v>
      </c>
      <c r="L5" s="222" t="s">
        <v>560</v>
      </c>
      <c r="M5" s="1177"/>
      <c r="N5" s="1178"/>
      <c r="O5" s="1178"/>
      <c r="P5" s="1178"/>
      <c r="Q5" s="1178"/>
      <c r="R5" s="1179"/>
    </row>
    <row r="6" spans="1:18" ht="27" customHeight="1" x14ac:dyDescent="0.2">
      <c r="A6" s="1183"/>
      <c r="B6" s="1185"/>
      <c r="C6" s="1188"/>
      <c r="D6" s="1191"/>
      <c r="E6" s="1170" t="s">
        <v>563</v>
      </c>
      <c r="F6" s="1170" t="s">
        <v>564</v>
      </c>
      <c r="G6" s="1169" t="s">
        <v>563</v>
      </c>
      <c r="H6" s="1169" t="s">
        <v>565</v>
      </c>
      <c r="I6" s="1169"/>
      <c r="J6" s="1200"/>
      <c r="K6" s="1167" t="s">
        <v>563</v>
      </c>
      <c r="L6" s="1167" t="s">
        <v>566</v>
      </c>
      <c r="M6" s="1180" t="s">
        <v>329</v>
      </c>
      <c r="N6" s="1167" t="s">
        <v>567</v>
      </c>
      <c r="O6" s="1167" t="s">
        <v>566</v>
      </c>
      <c r="P6" s="1167" t="s">
        <v>568</v>
      </c>
      <c r="Q6" s="1169" t="s">
        <v>569</v>
      </c>
      <c r="R6" s="1170" t="s">
        <v>564</v>
      </c>
    </row>
    <row r="7" spans="1:18" ht="33.75" customHeight="1" x14ac:dyDescent="0.2">
      <c r="A7" s="1183"/>
      <c r="B7" s="1186"/>
      <c r="C7" s="1189"/>
      <c r="D7" s="1192"/>
      <c r="E7" s="1171"/>
      <c r="F7" s="1171"/>
      <c r="G7" s="1169"/>
      <c r="H7" s="231" t="s">
        <v>570</v>
      </c>
      <c r="I7" s="231" t="s">
        <v>571</v>
      </c>
      <c r="J7" s="1201"/>
      <c r="K7" s="1168"/>
      <c r="L7" s="1168"/>
      <c r="M7" s="1181"/>
      <c r="N7" s="1168"/>
      <c r="O7" s="1168"/>
      <c r="P7" s="1168"/>
      <c r="Q7" s="1169"/>
      <c r="R7" s="1171"/>
    </row>
    <row r="8" spans="1:18" x14ac:dyDescent="0.2">
      <c r="A8" s="225"/>
      <c r="B8" s="225"/>
      <c r="C8" s="226" t="s">
        <v>337</v>
      </c>
      <c r="D8" s="221">
        <f t="shared" ref="D8:R8" si="0">SUM(D11:D26)</f>
        <v>190414</v>
      </c>
      <c r="E8" s="221">
        <f t="shared" si="0"/>
        <v>736</v>
      </c>
      <c r="F8" s="221">
        <f t="shared" si="0"/>
        <v>10</v>
      </c>
      <c r="G8" s="221">
        <f t="shared" si="0"/>
        <v>490</v>
      </c>
      <c r="H8" s="221">
        <f t="shared" si="0"/>
        <v>407</v>
      </c>
      <c r="I8" s="221">
        <f t="shared" si="0"/>
        <v>15</v>
      </c>
      <c r="J8" s="221">
        <f t="shared" si="0"/>
        <v>188756</v>
      </c>
      <c r="K8" s="221">
        <f t="shared" si="0"/>
        <v>480</v>
      </c>
      <c r="L8" s="221">
        <f t="shared" si="0"/>
        <v>2000</v>
      </c>
      <c r="M8" s="221">
        <f t="shared" si="0"/>
        <v>186276</v>
      </c>
      <c r="N8" s="221">
        <f t="shared" si="0"/>
        <v>10027</v>
      </c>
      <c r="O8" s="221">
        <f t="shared" si="0"/>
        <v>143271</v>
      </c>
      <c r="P8" s="221">
        <f t="shared" si="0"/>
        <v>29318</v>
      </c>
      <c r="Q8" s="221">
        <f t="shared" si="0"/>
        <v>1440</v>
      </c>
      <c r="R8" s="221">
        <f t="shared" si="0"/>
        <v>2220</v>
      </c>
    </row>
    <row r="9" spans="1:18" ht="13.5" customHeight="1" x14ac:dyDescent="0.2">
      <c r="A9" s="220"/>
      <c r="B9" s="220"/>
      <c r="C9" s="219" t="s">
        <v>579</v>
      </c>
      <c r="D9" s="221">
        <f>E9+F9+G9+H9+I9+J9</f>
        <v>17332</v>
      </c>
      <c r="E9" s="223"/>
      <c r="F9" s="223"/>
      <c r="G9" s="223"/>
      <c r="H9" s="223"/>
      <c r="I9" s="223"/>
      <c r="J9" s="221">
        <f>K9+L9+M9</f>
        <v>17332</v>
      </c>
      <c r="K9" s="223"/>
      <c r="L9" s="223"/>
      <c r="M9" s="221">
        <f>N9+O9+P9+R9+Q9</f>
        <v>17332</v>
      </c>
      <c r="N9" s="222"/>
      <c r="O9" s="222">
        <f>18564-80-1152</f>
        <v>17332</v>
      </c>
      <c r="P9" s="222"/>
      <c r="Q9" s="222"/>
      <c r="R9" s="222"/>
    </row>
    <row r="10" spans="1:18" ht="25.5" customHeight="1" x14ac:dyDescent="0.2">
      <c r="A10" s="220"/>
      <c r="B10" s="220"/>
      <c r="C10" s="227" t="s">
        <v>580</v>
      </c>
      <c r="D10" s="221">
        <f>D8+D9</f>
        <v>207746</v>
      </c>
      <c r="E10" s="221">
        <f t="shared" ref="E10:R10" si="1">E8+E9</f>
        <v>736</v>
      </c>
      <c r="F10" s="221">
        <f t="shared" si="1"/>
        <v>10</v>
      </c>
      <c r="G10" s="221">
        <f t="shared" si="1"/>
        <v>490</v>
      </c>
      <c r="H10" s="221">
        <f t="shared" si="1"/>
        <v>407</v>
      </c>
      <c r="I10" s="221">
        <f t="shared" si="1"/>
        <v>15</v>
      </c>
      <c r="J10" s="221">
        <f t="shared" si="1"/>
        <v>206088</v>
      </c>
      <c r="K10" s="221">
        <f t="shared" si="1"/>
        <v>480</v>
      </c>
      <c r="L10" s="221">
        <f t="shared" si="1"/>
        <v>2000</v>
      </c>
      <c r="M10" s="221">
        <f t="shared" si="1"/>
        <v>203608</v>
      </c>
      <c r="N10" s="221">
        <f t="shared" si="1"/>
        <v>10027</v>
      </c>
      <c r="O10" s="221">
        <f t="shared" si="1"/>
        <v>160603</v>
      </c>
      <c r="P10" s="221">
        <f t="shared" si="1"/>
        <v>29318</v>
      </c>
      <c r="Q10" s="221"/>
      <c r="R10" s="221">
        <f t="shared" si="1"/>
        <v>2220</v>
      </c>
    </row>
    <row r="11" spans="1:18" ht="15" customHeight="1" x14ac:dyDescent="0.2">
      <c r="A11" s="220">
        <v>1</v>
      </c>
      <c r="B11" s="214" t="s">
        <v>272</v>
      </c>
      <c r="C11" s="219" t="s">
        <v>444</v>
      </c>
      <c r="D11" s="221">
        <f t="shared" ref="D11:D25" si="2">E11+F11+G11+H11+I11+J11</f>
        <v>3753</v>
      </c>
      <c r="E11" s="222"/>
      <c r="F11" s="222"/>
      <c r="G11" s="222">
        <v>400</v>
      </c>
      <c r="H11" s="222">
        <v>30</v>
      </c>
      <c r="I11" s="222">
        <v>15</v>
      </c>
      <c r="J11" s="221">
        <f t="shared" ref="J11:J25" si="3">K11+L11+M11</f>
        <v>3308</v>
      </c>
      <c r="K11" s="232">
        <v>480</v>
      </c>
      <c r="L11" s="222">
        <v>2000</v>
      </c>
      <c r="M11" s="221">
        <f>N11+O11+P11+R11+Q11</f>
        <v>828</v>
      </c>
      <c r="N11" s="222"/>
      <c r="O11" s="222">
        <f>1875-1520</f>
        <v>355</v>
      </c>
      <c r="P11" s="222">
        <f>981-868</f>
        <v>113</v>
      </c>
      <c r="Q11" s="222"/>
      <c r="R11" s="222">
        <f>720-360</f>
        <v>360</v>
      </c>
    </row>
    <row r="12" spans="1:18" x14ac:dyDescent="0.2">
      <c r="A12" s="220">
        <v>2</v>
      </c>
      <c r="B12" s="215" t="s">
        <v>277</v>
      </c>
      <c r="C12" s="216" t="s">
        <v>2</v>
      </c>
      <c r="D12" s="221">
        <f t="shared" si="2"/>
        <v>3652</v>
      </c>
      <c r="E12" s="222"/>
      <c r="F12" s="222"/>
      <c r="G12" s="222">
        <v>30</v>
      </c>
      <c r="H12" s="222">
        <v>10</v>
      </c>
      <c r="I12" s="222"/>
      <c r="J12" s="221">
        <f t="shared" si="3"/>
        <v>3612</v>
      </c>
      <c r="K12" s="223"/>
      <c r="L12" s="223"/>
      <c r="M12" s="221">
        <f>N12+O12+P12+R12+Q12</f>
        <v>3612</v>
      </c>
      <c r="N12" s="222"/>
      <c r="O12" s="222">
        <v>789</v>
      </c>
      <c r="P12" s="222">
        <v>303</v>
      </c>
      <c r="Q12" s="222">
        <v>720</v>
      </c>
      <c r="R12" s="222">
        <v>1800</v>
      </c>
    </row>
    <row r="13" spans="1:18" x14ac:dyDescent="0.2">
      <c r="A13" s="220">
        <v>3</v>
      </c>
      <c r="B13" s="214" t="s">
        <v>275</v>
      </c>
      <c r="C13" s="216" t="s">
        <v>276</v>
      </c>
      <c r="D13" s="221">
        <f t="shared" si="2"/>
        <v>85</v>
      </c>
      <c r="E13" s="222"/>
      <c r="F13" s="222">
        <v>10</v>
      </c>
      <c r="G13" s="222"/>
      <c r="H13" s="222">
        <v>75</v>
      </c>
      <c r="I13" s="222"/>
      <c r="J13" s="221">
        <f t="shared" si="3"/>
        <v>0</v>
      </c>
      <c r="K13" s="223"/>
      <c r="L13" s="223"/>
      <c r="M13" s="221">
        <f t="shared" ref="M13:M21" si="4">N13+O13+P13+R13+Q13</f>
        <v>0</v>
      </c>
      <c r="N13" s="222"/>
      <c r="O13" s="222"/>
      <c r="P13" s="222"/>
      <c r="Q13" s="222"/>
      <c r="R13" s="222"/>
    </row>
    <row r="14" spans="1:18" x14ac:dyDescent="0.2">
      <c r="A14" s="220">
        <v>4</v>
      </c>
      <c r="B14" s="217" t="s">
        <v>159</v>
      </c>
      <c r="C14" s="216" t="s">
        <v>390</v>
      </c>
      <c r="D14" s="221">
        <f t="shared" si="2"/>
        <v>5</v>
      </c>
      <c r="E14" s="222"/>
      <c r="F14" s="222"/>
      <c r="G14" s="222"/>
      <c r="H14" s="222">
        <v>5</v>
      </c>
      <c r="I14" s="222"/>
      <c r="J14" s="221">
        <f t="shared" si="3"/>
        <v>0</v>
      </c>
      <c r="K14" s="223"/>
      <c r="L14" s="223"/>
      <c r="M14" s="221">
        <f t="shared" si="4"/>
        <v>0</v>
      </c>
      <c r="N14" s="222"/>
      <c r="O14" s="222"/>
      <c r="P14" s="222"/>
      <c r="Q14" s="222"/>
      <c r="R14" s="222"/>
    </row>
    <row r="15" spans="1:18" x14ac:dyDescent="0.2">
      <c r="A15" s="220">
        <v>5</v>
      </c>
      <c r="B15" s="218" t="s">
        <v>113</v>
      </c>
      <c r="C15" s="216" t="s">
        <v>572</v>
      </c>
      <c r="D15" s="221">
        <f t="shared" si="2"/>
        <v>15</v>
      </c>
      <c r="E15" s="222"/>
      <c r="F15" s="222"/>
      <c r="G15" s="222"/>
      <c r="H15" s="222">
        <v>15</v>
      </c>
      <c r="I15" s="222"/>
      <c r="J15" s="221">
        <f t="shared" si="3"/>
        <v>0</v>
      </c>
      <c r="K15" s="223"/>
      <c r="L15" s="223"/>
      <c r="M15" s="221">
        <f t="shared" si="4"/>
        <v>0</v>
      </c>
      <c r="N15" s="222"/>
      <c r="O15" s="222"/>
      <c r="P15" s="222"/>
      <c r="Q15" s="222"/>
      <c r="R15" s="222"/>
    </row>
    <row r="16" spans="1:18" x14ac:dyDescent="0.2">
      <c r="A16" s="220">
        <v>6</v>
      </c>
      <c r="B16" s="215" t="s">
        <v>287</v>
      </c>
      <c r="C16" s="219" t="s">
        <v>288</v>
      </c>
      <c r="D16" s="221">
        <f t="shared" si="2"/>
        <v>50</v>
      </c>
      <c r="E16" s="222"/>
      <c r="F16" s="222"/>
      <c r="G16" s="222"/>
      <c r="H16" s="222">
        <v>50</v>
      </c>
      <c r="I16" s="222"/>
      <c r="J16" s="221">
        <f t="shared" si="3"/>
        <v>0</v>
      </c>
      <c r="K16" s="223"/>
      <c r="L16" s="223"/>
      <c r="M16" s="221">
        <f t="shared" si="4"/>
        <v>0</v>
      </c>
      <c r="N16" s="222"/>
      <c r="O16" s="222"/>
      <c r="P16" s="222"/>
      <c r="Q16" s="222"/>
      <c r="R16" s="222"/>
    </row>
    <row r="17" spans="1:18" x14ac:dyDescent="0.2">
      <c r="A17" s="220">
        <v>7</v>
      </c>
      <c r="B17" s="215" t="s">
        <v>144</v>
      </c>
      <c r="C17" s="216" t="s">
        <v>573</v>
      </c>
      <c r="D17" s="221">
        <f t="shared" si="2"/>
        <v>160</v>
      </c>
      <c r="E17" s="222"/>
      <c r="F17" s="222"/>
      <c r="G17" s="222"/>
      <c r="H17" s="222">
        <v>160</v>
      </c>
      <c r="I17" s="222"/>
      <c r="J17" s="221">
        <f t="shared" si="3"/>
        <v>0</v>
      </c>
      <c r="K17" s="223"/>
      <c r="L17" s="223"/>
      <c r="M17" s="221">
        <f t="shared" si="4"/>
        <v>0</v>
      </c>
      <c r="N17" s="222"/>
      <c r="O17" s="222"/>
      <c r="P17" s="222"/>
      <c r="Q17" s="222"/>
      <c r="R17" s="222"/>
    </row>
    <row r="18" spans="1:18" ht="13.5" customHeight="1" x14ac:dyDescent="0.2">
      <c r="A18" s="220">
        <v>8</v>
      </c>
      <c r="B18" s="215" t="s">
        <v>157</v>
      </c>
      <c r="C18" s="219" t="s">
        <v>17</v>
      </c>
      <c r="D18" s="221">
        <f t="shared" si="2"/>
        <v>25</v>
      </c>
      <c r="E18" s="222"/>
      <c r="F18" s="222"/>
      <c r="G18" s="222"/>
      <c r="H18" s="222">
        <v>25</v>
      </c>
      <c r="I18" s="222"/>
      <c r="J18" s="221">
        <f t="shared" si="3"/>
        <v>0</v>
      </c>
      <c r="K18" s="223"/>
      <c r="L18" s="223"/>
      <c r="M18" s="221">
        <f t="shared" si="4"/>
        <v>0</v>
      </c>
      <c r="N18" s="222"/>
      <c r="O18" s="222"/>
      <c r="P18" s="222"/>
      <c r="Q18" s="222"/>
      <c r="R18" s="222"/>
    </row>
    <row r="19" spans="1:18" x14ac:dyDescent="0.2">
      <c r="A19" s="220">
        <v>9</v>
      </c>
      <c r="B19" s="214" t="s">
        <v>73</v>
      </c>
      <c r="C19" s="216" t="s">
        <v>574</v>
      </c>
      <c r="D19" s="221">
        <f t="shared" si="2"/>
        <v>15</v>
      </c>
      <c r="E19" s="222"/>
      <c r="F19" s="222"/>
      <c r="G19" s="222"/>
      <c r="H19" s="222">
        <v>15</v>
      </c>
      <c r="I19" s="222"/>
      <c r="J19" s="221">
        <f t="shared" si="3"/>
        <v>0</v>
      </c>
      <c r="K19" s="223"/>
      <c r="L19" s="223"/>
      <c r="M19" s="221">
        <f t="shared" si="4"/>
        <v>0</v>
      </c>
      <c r="N19" s="222"/>
      <c r="O19" s="222"/>
      <c r="P19" s="222"/>
      <c r="Q19" s="222"/>
      <c r="R19" s="222"/>
    </row>
    <row r="20" spans="1:18" ht="13.5" customHeight="1" x14ac:dyDescent="0.2">
      <c r="A20" s="220">
        <v>10</v>
      </c>
      <c r="B20" s="215" t="s">
        <v>123</v>
      </c>
      <c r="C20" s="219" t="s">
        <v>404</v>
      </c>
      <c r="D20" s="221">
        <f t="shared" si="2"/>
        <v>72</v>
      </c>
      <c r="E20" s="222"/>
      <c r="F20" s="222"/>
      <c r="G20" s="222">
        <v>60</v>
      </c>
      <c r="H20" s="222">
        <v>12</v>
      </c>
      <c r="I20" s="222"/>
      <c r="J20" s="221">
        <f t="shared" si="3"/>
        <v>0</v>
      </c>
      <c r="K20" s="223"/>
      <c r="L20" s="223"/>
      <c r="M20" s="221">
        <f t="shared" si="4"/>
        <v>0</v>
      </c>
      <c r="N20" s="222"/>
      <c r="O20" s="222"/>
      <c r="P20" s="222"/>
      <c r="Q20" s="222"/>
      <c r="R20" s="222"/>
    </row>
    <row r="21" spans="1:18" ht="13.5" customHeight="1" x14ac:dyDescent="0.2">
      <c r="A21" s="220">
        <v>11</v>
      </c>
      <c r="B21" s="215" t="s">
        <v>121</v>
      </c>
      <c r="C21" s="219" t="s">
        <v>575</v>
      </c>
      <c r="D21" s="221">
        <f t="shared" si="2"/>
        <v>10</v>
      </c>
      <c r="E21" s="222"/>
      <c r="F21" s="222"/>
      <c r="G21" s="222"/>
      <c r="H21" s="222">
        <v>10</v>
      </c>
      <c r="I21" s="222"/>
      <c r="J21" s="221">
        <f t="shared" si="3"/>
        <v>0</v>
      </c>
      <c r="K21" s="223"/>
      <c r="L21" s="223"/>
      <c r="M21" s="221">
        <f t="shared" si="4"/>
        <v>0</v>
      </c>
      <c r="N21" s="222"/>
      <c r="O21" s="222"/>
      <c r="P21" s="222"/>
      <c r="Q21" s="222"/>
      <c r="R21" s="222"/>
    </row>
    <row r="22" spans="1:18" x14ac:dyDescent="0.2">
      <c r="A22" s="220">
        <v>12</v>
      </c>
      <c r="B22" s="214" t="s">
        <v>233</v>
      </c>
      <c r="C22" s="216" t="s">
        <v>576</v>
      </c>
      <c r="D22" s="221">
        <f>E22+F22+G22+H22+I22+J22</f>
        <v>7072</v>
      </c>
      <c r="E22" s="222"/>
      <c r="F22" s="222"/>
      <c r="G22" s="222"/>
      <c r="H22" s="222"/>
      <c r="I22" s="222"/>
      <c r="J22" s="221">
        <f>K22+L22+M22</f>
        <v>7072</v>
      </c>
      <c r="K22" s="223"/>
      <c r="L22" s="223"/>
      <c r="M22" s="221">
        <f>N22+O22+P22+R22+Q22</f>
        <v>7072</v>
      </c>
      <c r="N22" s="222"/>
      <c r="O22" s="222">
        <f>8072-740-260</f>
        <v>7072</v>
      </c>
      <c r="P22" s="222"/>
      <c r="Q22" s="222"/>
      <c r="R22" s="222"/>
    </row>
    <row r="23" spans="1:18" ht="12" customHeight="1" x14ac:dyDescent="0.2">
      <c r="A23" s="220">
        <v>13</v>
      </c>
      <c r="B23" s="214" t="s">
        <v>243</v>
      </c>
      <c r="C23" s="219" t="s">
        <v>244</v>
      </c>
      <c r="D23" s="221">
        <f t="shared" si="2"/>
        <v>103018</v>
      </c>
      <c r="E23" s="222">
        <v>586</v>
      </c>
      <c r="F23" s="222"/>
      <c r="G23" s="222"/>
      <c r="H23" s="222"/>
      <c r="I23" s="222"/>
      <c r="J23" s="221">
        <f t="shared" si="3"/>
        <v>102432</v>
      </c>
      <c r="K23" s="223"/>
      <c r="L23" s="223"/>
      <c r="M23" s="221">
        <f>N23+O23+P23+R23+Q23</f>
        <v>102432</v>
      </c>
      <c r="N23" s="222"/>
      <c r="O23" s="222">
        <f>81786-1210+3120</f>
        <v>83696</v>
      </c>
      <c r="P23" s="222">
        <v>17956</v>
      </c>
      <c r="Q23" s="222">
        <f>360+360</f>
        <v>720</v>
      </c>
      <c r="R23" s="222">
        <v>60</v>
      </c>
    </row>
    <row r="24" spans="1:18" x14ac:dyDescent="0.2">
      <c r="A24" s="220">
        <v>14</v>
      </c>
      <c r="B24" s="215" t="s">
        <v>229</v>
      </c>
      <c r="C24" s="216" t="s">
        <v>577</v>
      </c>
      <c r="D24" s="221">
        <f t="shared" si="2"/>
        <v>27846</v>
      </c>
      <c r="E24" s="222"/>
      <c r="F24" s="222"/>
      <c r="G24" s="222"/>
      <c r="H24" s="222"/>
      <c r="I24" s="222"/>
      <c r="J24" s="221">
        <f t="shared" si="3"/>
        <v>27846</v>
      </c>
      <c r="K24" s="223"/>
      <c r="L24" s="223"/>
      <c r="M24" s="221">
        <f>N24+O24+P24+R24+Q24</f>
        <v>27846</v>
      </c>
      <c r="N24" s="222"/>
      <c r="O24" s="222">
        <f>18496+2652+1300</f>
        <v>22448</v>
      </c>
      <c r="P24" s="222">
        <v>5398</v>
      </c>
      <c r="Q24" s="222"/>
      <c r="R24" s="222"/>
    </row>
    <row r="25" spans="1:18" x14ac:dyDescent="0.2">
      <c r="A25" s="220">
        <v>15</v>
      </c>
      <c r="B25" s="215" t="s">
        <v>264</v>
      </c>
      <c r="C25" s="216" t="s">
        <v>578</v>
      </c>
      <c r="D25" s="221">
        <f t="shared" si="2"/>
        <v>7488</v>
      </c>
      <c r="E25" s="222"/>
      <c r="F25" s="222"/>
      <c r="G25" s="222"/>
      <c r="H25" s="222"/>
      <c r="I25" s="222"/>
      <c r="J25" s="221">
        <f t="shared" si="3"/>
        <v>7488</v>
      </c>
      <c r="K25" s="223"/>
      <c r="L25" s="223"/>
      <c r="M25" s="221">
        <f>N25+O25+P25+R25+Q25</f>
        <v>7488</v>
      </c>
      <c r="N25" s="222"/>
      <c r="O25" s="222">
        <f>6763-982</f>
        <v>5781</v>
      </c>
      <c r="P25" s="222">
        <v>1707</v>
      </c>
      <c r="Q25" s="222"/>
      <c r="R25" s="222"/>
    </row>
    <row r="26" spans="1:18" x14ac:dyDescent="0.2">
      <c r="A26" s="220">
        <v>16</v>
      </c>
      <c r="B26" s="214" t="s">
        <v>268</v>
      </c>
      <c r="C26" s="216" t="s">
        <v>269</v>
      </c>
      <c r="D26" s="221">
        <f>E26+F26+G26+H26+I26+J26</f>
        <v>37148</v>
      </c>
      <c r="E26" s="222">
        <v>150</v>
      </c>
      <c r="F26" s="222"/>
      <c r="G26" s="222"/>
      <c r="H26" s="222"/>
      <c r="I26" s="222"/>
      <c r="J26" s="221">
        <f>K26+L26+M26</f>
        <v>36998</v>
      </c>
      <c r="K26" s="223"/>
      <c r="L26" s="223"/>
      <c r="M26" s="221">
        <f>N26+O26+P26+R26+Q26</f>
        <v>36998</v>
      </c>
      <c r="N26" s="222">
        <v>10027</v>
      </c>
      <c r="O26" s="222">
        <f>23390-260</f>
        <v>23130</v>
      </c>
      <c r="P26" s="222">
        <v>3841</v>
      </c>
      <c r="Q26" s="222"/>
      <c r="R26" s="222"/>
    </row>
  </sheetData>
  <mergeCells count="24"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  <mergeCell ref="E6:E7"/>
    <mergeCell ref="F6:F7"/>
    <mergeCell ref="G6:G7"/>
    <mergeCell ref="H6:I6"/>
    <mergeCell ref="K6:K7"/>
    <mergeCell ref="O6:O7"/>
    <mergeCell ref="P6:P7"/>
    <mergeCell ref="Q6:Q7"/>
    <mergeCell ref="R6:R7"/>
    <mergeCell ref="K4:L4"/>
    <mergeCell ref="M4:R5"/>
    <mergeCell ref="L6:L7"/>
    <mergeCell ref="M6:M7"/>
    <mergeCell ref="N6:N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7"/>
  <sheetViews>
    <sheetView zoomScaleNormal="100" zoomScaleSheetLayoutView="73" workbookViewId="0">
      <pane xSplit="3" ySplit="5" topLeftCell="F126" activePane="bottomRight" state="frozen"/>
      <selection pane="topRight" activeCell="E1" sqref="E1"/>
      <selection pane="bottomLeft" activeCell="A9" sqref="A9"/>
      <selection pane="bottomRight" activeCell="I30" sqref="I30"/>
    </sheetView>
  </sheetViews>
  <sheetFormatPr defaultRowHeight="12.75" x14ac:dyDescent="0.2"/>
  <cols>
    <col min="1" max="1" width="5.7109375" style="173" customWidth="1"/>
    <col min="2" max="2" width="9.85546875" style="173" customWidth="1"/>
    <col min="3" max="3" width="49.5703125" style="212" customWidth="1"/>
    <col min="4" max="4" width="12.140625" style="173" customWidth="1"/>
    <col min="5" max="5" width="9.42578125" style="173" customWidth="1"/>
    <col min="6" max="6" width="15.7109375" style="173" customWidth="1"/>
    <col min="7" max="7" width="9" style="173" customWidth="1"/>
    <col min="8" max="8" width="9.85546875" style="173" customWidth="1"/>
    <col min="9" max="9" width="9.5703125" style="173" customWidth="1"/>
    <col min="10" max="11" width="12.42578125" style="173" customWidth="1"/>
    <col min="12" max="12" width="14" style="173" customWidth="1"/>
    <col min="13" max="16384" width="9.140625" style="173"/>
  </cols>
  <sheetData>
    <row r="1" spans="1:12" s="172" customFormat="1" ht="15.75" customHeight="1" x14ac:dyDescent="0.25">
      <c r="A1" s="857" t="s">
        <v>531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</row>
    <row r="2" spans="1:12" x14ac:dyDescent="0.2">
      <c r="B2" s="174"/>
      <c r="C2" s="174"/>
      <c r="D2" s="175"/>
      <c r="E2" s="175"/>
      <c r="F2" s="175"/>
      <c r="G2" s="175"/>
      <c r="H2" s="175"/>
      <c r="I2" s="174"/>
      <c r="J2" s="174"/>
      <c r="K2" s="176"/>
    </row>
    <row r="3" spans="1:12" s="177" customFormat="1" ht="18" customHeight="1" x14ac:dyDescent="0.2">
      <c r="A3" s="858" t="s">
        <v>0</v>
      </c>
      <c r="B3" s="859" t="s">
        <v>532</v>
      </c>
      <c r="C3" s="858" t="s">
        <v>374</v>
      </c>
      <c r="D3" s="860" t="s">
        <v>533</v>
      </c>
      <c r="E3" s="861" t="s">
        <v>534</v>
      </c>
      <c r="F3" s="862" t="s">
        <v>164</v>
      </c>
      <c r="G3" s="863"/>
      <c r="H3" s="863"/>
      <c r="I3" s="863"/>
      <c r="J3" s="863"/>
      <c r="K3" s="863"/>
      <c r="L3" s="864" t="s">
        <v>535</v>
      </c>
    </row>
    <row r="4" spans="1:12" s="177" customFormat="1" ht="71.25" customHeight="1" x14ac:dyDescent="0.2">
      <c r="A4" s="858"/>
      <c r="B4" s="859"/>
      <c r="C4" s="858"/>
      <c r="D4" s="860"/>
      <c r="E4" s="861"/>
      <c r="F4" s="178" t="s">
        <v>536</v>
      </c>
      <c r="G4" s="179" t="s">
        <v>537</v>
      </c>
      <c r="H4" s="178" t="s">
        <v>538</v>
      </c>
      <c r="I4" s="178" t="s">
        <v>539</v>
      </c>
      <c r="J4" s="180" t="s">
        <v>540</v>
      </c>
      <c r="K4" s="181" t="s">
        <v>541</v>
      </c>
      <c r="L4" s="865"/>
    </row>
    <row r="5" spans="1:12" s="184" customFormat="1" ht="14.25" customHeight="1" x14ac:dyDescent="0.2">
      <c r="A5" s="182">
        <v>1</v>
      </c>
      <c r="B5" s="183">
        <v>2</v>
      </c>
      <c r="C5" s="182">
        <v>3</v>
      </c>
      <c r="D5" s="183">
        <v>4</v>
      </c>
      <c r="E5" s="182">
        <v>5</v>
      </c>
      <c r="F5" s="183">
        <v>6</v>
      </c>
      <c r="G5" s="182">
        <v>7</v>
      </c>
      <c r="H5" s="183">
        <v>8</v>
      </c>
      <c r="I5" s="182">
        <v>9</v>
      </c>
      <c r="J5" s="183">
        <v>10</v>
      </c>
      <c r="K5" s="182">
        <v>11</v>
      </c>
      <c r="L5" s="182">
        <v>13</v>
      </c>
    </row>
    <row r="6" spans="1:12" s="190" customFormat="1" ht="13.5" customHeight="1" x14ac:dyDescent="0.2">
      <c r="A6" s="185">
        <v>1</v>
      </c>
      <c r="B6" s="186" t="s">
        <v>69</v>
      </c>
      <c r="C6" s="187" t="s">
        <v>29</v>
      </c>
      <c r="D6" s="188">
        <f t="shared" ref="D6:D69" si="0">E6+L6</f>
        <v>1093</v>
      </c>
      <c r="E6" s="188">
        <f>SUM(F6:K6)</f>
        <v>1093</v>
      </c>
      <c r="F6" s="188">
        <v>1093</v>
      </c>
      <c r="G6" s="188"/>
      <c r="H6" s="188"/>
      <c r="I6" s="188"/>
      <c r="J6" s="188"/>
      <c r="K6" s="188"/>
      <c r="L6" s="189"/>
    </row>
    <row r="7" spans="1:12" s="190" customFormat="1" ht="13.5" customHeight="1" x14ac:dyDescent="0.2">
      <c r="A7" s="185">
        <v>2</v>
      </c>
      <c r="B7" s="186" t="s">
        <v>70</v>
      </c>
      <c r="C7" s="191" t="s">
        <v>31</v>
      </c>
      <c r="D7" s="188">
        <f t="shared" si="0"/>
        <v>1111</v>
      </c>
      <c r="E7" s="188">
        <f t="shared" ref="E7:E70" si="1">SUM(F7:K7)</f>
        <v>1111</v>
      </c>
      <c r="F7" s="188">
        <v>1111</v>
      </c>
      <c r="G7" s="188"/>
      <c r="H7" s="188"/>
      <c r="I7" s="188"/>
      <c r="J7" s="188"/>
      <c r="K7" s="188"/>
      <c r="L7" s="189"/>
    </row>
    <row r="8" spans="1:12" s="190" customFormat="1" ht="13.5" customHeight="1" x14ac:dyDescent="0.2">
      <c r="A8" s="185">
        <v>3</v>
      </c>
      <c r="B8" s="192" t="s">
        <v>71</v>
      </c>
      <c r="C8" s="193" t="s">
        <v>5</v>
      </c>
      <c r="D8" s="188">
        <f t="shared" si="0"/>
        <v>3166</v>
      </c>
      <c r="E8" s="188">
        <f t="shared" si="1"/>
        <v>3166</v>
      </c>
      <c r="F8" s="188">
        <v>3160</v>
      </c>
      <c r="G8" s="188"/>
      <c r="H8" s="188"/>
      <c r="I8" s="188"/>
      <c r="J8" s="188">
        <v>6</v>
      </c>
      <c r="K8" s="188"/>
      <c r="L8" s="189"/>
    </row>
    <row r="9" spans="1:12" s="190" customFormat="1" ht="13.5" customHeight="1" x14ac:dyDescent="0.2">
      <c r="A9" s="185">
        <v>4</v>
      </c>
      <c r="B9" s="186" t="s">
        <v>72</v>
      </c>
      <c r="C9" s="191" t="s">
        <v>35</v>
      </c>
      <c r="D9" s="188">
        <f>E9+L9</f>
        <v>1167</v>
      </c>
      <c r="E9" s="188">
        <f t="shared" si="1"/>
        <v>1167</v>
      </c>
      <c r="F9" s="188">
        <v>1167</v>
      </c>
      <c r="G9" s="188"/>
      <c r="H9" s="188"/>
      <c r="I9" s="188"/>
      <c r="J9" s="188"/>
      <c r="K9" s="188"/>
      <c r="L9" s="189"/>
    </row>
    <row r="10" spans="1:12" s="190" customFormat="1" ht="13.5" customHeight="1" x14ac:dyDescent="0.2">
      <c r="A10" s="185">
        <v>5</v>
      </c>
      <c r="B10" s="186" t="s">
        <v>108</v>
      </c>
      <c r="C10" s="191" t="s">
        <v>37</v>
      </c>
      <c r="D10" s="188">
        <f t="shared" si="0"/>
        <v>1256</v>
      </c>
      <c r="E10" s="188">
        <f t="shared" si="1"/>
        <v>1256</v>
      </c>
      <c r="F10" s="188">
        <v>1256</v>
      </c>
      <c r="G10" s="188"/>
      <c r="H10" s="188"/>
      <c r="I10" s="188"/>
      <c r="J10" s="188"/>
      <c r="K10" s="188"/>
      <c r="L10" s="189"/>
    </row>
    <row r="11" spans="1:12" s="184" customFormat="1" ht="13.5" customHeight="1" x14ac:dyDescent="0.2">
      <c r="A11" s="185">
        <v>6</v>
      </c>
      <c r="B11" s="192" t="s">
        <v>73</v>
      </c>
      <c r="C11" s="193" t="s">
        <v>6</v>
      </c>
      <c r="D11" s="188">
        <f t="shared" si="0"/>
        <v>8717</v>
      </c>
      <c r="E11" s="188">
        <f t="shared" si="1"/>
        <v>8435</v>
      </c>
      <c r="F11" s="188">
        <v>8425</v>
      </c>
      <c r="G11" s="188"/>
      <c r="H11" s="188"/>
      <c r="I11" s="188"/>
      <c r="J11" s="188">
        <v>10</v>
      </c>
      <c r="K11" s="188"/>
      <c r="L11" s="182">
        <v>282</v>
      </c>
    </row>
    <row r="12" spans="1:12" s="184" customFormat="1" ht="13.5" customHeight="1" x14ac:dyDescent="0.2">
      <c r="A12" s="185">
        <v>7</v>
      </c>
      <c r="B12" s="194" t="s">
        <v>109</v>
      </c>
      <c r="C12" s="195" t="s">
        <v>23</v>
      </c>
      <c r="D12" s="188">
        <f t="shared" si="0"/>
        <v>3124</v>
      </c>
      <c r="E12" s="188">
        <f t="shared" si="1"/>
        <v>3124</v>
      </c>
      <c r="F12" s="188">
        <v>3118</v>
      </c>
      <c r="G12" s="188"/>
      <c r="H12" s="188"/>
      <c r="I12" s="188"/>
      <c r="J12" s="188">
        <v>6</v>
      </c>
      <c r="K12" s="188"/>
      <c r="L12" s="182"/>
    </row>
    <row r="13" spans="1:12" s="184" customFormat="1" ht="13.5" customHeight="1" x14ac:dyDescent="0.2">
      <c r="A13" s="185">
        <v>8</v>
      </c>
      <c r="B13" s="192" t="s">
        <v>110</v>
      </c>
      <c r="C13" s="193" t="s">
        <v>44</v>
      </c>
      <c r="D13" s="188">
        <f t="shared" si="0"/>
        <v>1341</v>
      </c>
      <c r="E13" s="188">
        <f t="shared" si="1"/>
        <v>1341</v>
      </c>
      <c r="F13" s="188">
        <v>1341</v>
      </c>
      <c r="G13" s="188"/>
      <c r="H13" s="188"/>
      <c r="I13" s="188"/>
      <c r="J13" s="188"/>
      <c r="K13" s="188"/>
      <c r="L13" s="182"/>
    </row>
    <row r="14" spans="1:12" s="184" customFormat="1" ht="13.5" customHeight="1" x14ac:dyDescent="0.2">
      <c r="A14" s="185">
        <v>9</v>
      </c>
      <c r="B14" s="192" t="s">
        <v>74</v>
      </c>
      <c r="C14" s="193" t="s">
        <v>45</v>
      </c>
      <c r="D14" s="188">
        <f t="shared" si="0"/>
        <v>1239</v>
      </c>
      <c r="E14" s="188">
        <f t="shared" si="1"/>
        <v>1239</v>
      </c>
      <c r="F14" s="188">
        <v>1239</v>
      </c>
      <c r="G14" s="188"/>
      <c r="H14" s="188"/>
      <c r="I14" s="188"/>
      <c r="J14" s="188"/>
      <c r="K14" s="188"/>
      <c r="L14" s="182"/>
    </row>
    <row r="15" spans="1:12" s="184" customFormat="1" ht="13.5" customHeight="1" x14ac:dyDescent="0.2">
      <c r="A15" s="185">
        <v>10</v>
      </c>
      <c r="B15" s="192" t="s">
        <v>111</v>
      </c>
      <c r="C15" s="193" t="s">
        <v>48</v>
      </c>
      <c r="D15" s="188">
        <f t="shared" si="0"/>
        <v>1447</v>
      </c>
      <c r="E15" s="188">
        <f t="shared" si="1"/>
        <v>1447</v>
      </c>
      <c r="F15" s="188">
        <v>1447</v>
      </c>
      <c r="G15" s="188"/>
      <c r="H15" s="188"/>
      <c r="I15" s="188"/>
      <c r="J15" s="188"/>
      <c r="K15" s="188"/>
      <c r="L15" s="182"/>
    </row>
    <row r="16" spans="1:12" s="184" customFormat="1" ht="13.5" customHeight="1" x14ac:dyDescent="0.2">
      <c r="A16" s="185">
        <v>11</v>
      </c>
      <c r="B16" s="192" t="s">
        <v>75</v>
      </c>
      <c r="C16" s="193" t="s">
        <v>52</v>
      </c>
      <c r="D16" s="188">
        <f t="shared" si="0"/>
        <v>1255</v>
      </c>
      <c r="E16" s="188">
        <f t="shared" si="1"/>
        <v>1255</v>
      </c>
      <c r="F16" s="188">
        <v>1255</v>
      </c>
      <c r="G16" s="188"/>
      <c r="H16" s="188"/>
      <c r="I16" s="188"/>
      <c r="J16" s="188"/>
      <c r="K16" s="188"/>
      <c r="L16" s="182"/>
    </row>
    <row r="17" spans="1:12" s="184" customFormat="1" ht="13.5" customHeight="1" x14ac:dyDescent="0.2">
      <c r="A17" s="185">
        <v>12</v>
      </c>
      <c r="B17" s="192" t="s">
        <v>112</v>
      </c>
      <c r="C17" s="193" t="s">
        <v>63</v>
      </c>
      <c r="D17" s="188">
        <f t="shared" si="0"/>
        <v>2348</v>
      </c>
      <c r="E17" s="188">
        <f t="shared" si="1"/>
        <v>2348</v>
      </c>
      <c r="F17" s="188">
        <v>2348</v>
      </c>
      <c r="G17" s="188"/>
      <c r="H17" s="188"/>
      <c r="I17" s="188"/>
      <c r="J17" s="188"/>
      <c r="K17" s="188"/>
      <c r="L17" s="182"/>
    </row>
    <row r="18" spans="1:12" s="184" customFormat="1" ht="13.5" customHeight="1" x14ac:dyDescent="0.2">
      <c r="A18" s="185">
        <v>13</v>
      </c>
      <c r="B18" s="196" t="s">
        <v>292</v>
      </c>
      <c r="C18" s="197" t="s">
        <v>293</v>
      </c>
      <c r="D18" s="188">
        <f>E18+L18</f>
        <v>0</v>
      </c>
      <c r="E18" s="188">
        <f>SUM(F18:K18)</f>
        <v>0</v>
      </c>
      <c r="F18" s="188">
        <v>0</v>
      </c>
      <c r="G18" s="188"/>
      <c r="H18" s="188"/>
      <c r="I18" s="188"/>
      <c r="J18" s="188"/>
      <c r="K18" s="188"/>
      <c r="L18" s="182"/>
    </row>
    <row r="19" spans="1:12" s="184" customFormat="1" ht="13.5" customHeight="1" x14ac:dyDescent="0.2">
      <c r="A19" s="185">
        <v>14</v>
      </c>
      <c r="B19" s="186" t="s">
        <v>176</v>
      </c>
      <c r="C19" s="193" t="s">
        <v>177</v>
      </c>
      <c r="D19" s="188">
        <f t="shared" si="0"/>
        <v>5</v>
      </c>
      <c r="E19" s="188">
        <f t="shared" si="1"/>
        <v>5</v>
      </c>
      <c r="F19" s="188">
        <v>5</v>
      </c>
      <c r="G19" s="188"/>
      <c r="H19" s="188"/>
      <c r="I19" s="188"/>
      <c r="J19" s="188"/>
      <c r="K19" s="188"/>
      <c r="L19" s="182"/>
    </row>
    <row r="20" spans="1:12" s="184" customFormat="1" ht="13.5" customHeight="1" x14ac:dyDescent="0.2">
      <c r="A20" s="185">
        <v>15</v>
      </c>
      <c r="B20" s="192" t="s">
        <v>115</v>
      </c>
      <c r="C20" s="193" t="s">
        <v>26</v>
      </c>
      <c r="D20" s="188">
        <f t="shared" si="0"/>
        <v>1605</v>
      </c>
      <c r="E20" s="188">
        <f t="shared" si="1"/>
        <v>1605</v>
      </c>
      <c r="F20" s="188">
        <v>1605</v>
      </c>
      <c r="G20" s="188"/>
      <c r="H20" s="188"/>
      <c r="I20" s="188"/>
      <c r="J20" s="188"/>
      <c r="K20" s="188"/>
      <c r="L20" s="182"/>
    </row>
    <row r="21" spans="1:12" s="184" customFormat="1" ht="13.5" customHeight="1" x14ac:dyDescent="0.2">
      <c r="A21" s="185">
        <v>16</v>
      </c>
      <c r="B21" s="192" t="s">
        <v>116</v>
      </c>
      <c r="C21" s="193" t="s">
        <v>28</v>
      </c>
      <c r="D21" s="188">
        <f t="shared" si="0"/>
        <v>2212</v>
      </c>
      <c r="E21" s="188">
        <f t="shared" si="1"/>
        <v>2212</v>
      </c>
      <c r="F21" s="188">
        <v>2212</v>
      </c>
      <c r="G21" s="188"/>
      <c r="H21" s="188"/>
      <c r="I21" s="188"/>
      <c r="J21" s="188"/>
      <c r="K21" s="188"/>
      <c r="L21" s="182"/>
    </row>
    <row r="22" spans="1:12" s="184" customFormat="1" ht="13.5" customHeight="1" x14ac:dyDescent="0.2">
      <c r="A22" s="185">
        <v>17</v>
      </c>
      <c r="B22" s="192" t="s">
        <v>117</v>
      </c>
      <c r="C22" s="193" t="s">
        <v>24</v>
      </c>
      <c r="D22" s="188">
        <f t="shared" si="0"/>
        <v>3156</v>
      </c>
      <c r="E22" s="188">
        <f t="shared" si="1"/>
        <v>3156</v>
      </c>
      <c r="F22" s="188">
        <v>3156</v>
      </c>
      <c r="G22" s="188"/>
      <c r="H22" s="188"/>
      <c r="I22" s="188"/>
      <c r="J22" s="188"/>
      <c r="K22" s="188"/>
      <c r="L22" s="182"/>
    </row>
    <row r="23" spans="1:12" s="184" customFormat="1" ht="13.5" customHeight="1" x14ac:dyDescent="0.2">
      <c r="A23" s="185">
        <v>18</v>
      </c>
      <c r="B23" s="192" t="s">
        <v>76</v>
      </c>
      <c r="C23" s="193" t="s">
        <v>7</v>
      </c>
      <c r="D23" s="188">
        <f t="shared" si="0"/>
        <v>5609</v>
      </c>
      <c r="E23" s="188">
        <f t="shared" si="1"/>
        <v>5496</v>
      </c>
      <c r="F23" s="188">
        <v>5351</v>
      </c>
      <c r="G23" s="188"/>
      <c r="H23" s="188"/>
      <c r="I23" s="188"/>
      <c r="J23" s="188">
        <v>10</v>
      </c>
      <c r="K23" s="188">
        <v>135</v>
      </c>
      <c r="L23" s="182">
        <v>113</v>
      </c>
    </row>
    <row r="24" spans="1:12" s="184" customFormat="1" ht="13.5" customHeight="1" x14ac:dyDescent="0.2">
      <c r="A24" s="185">
        <v>19</v>
      </c>
      <c r="B24" s="186" t="s">
        <v>118</v>
      </c>
      <c r="C24" s="191" t="s">
        <v>36</v>
      </c>
      <c r="D24" s="188">
        <f t="shared" si="0"/>
        <v>936</v>
      </c>
      <c r="E24" s="188">
        <f t="shared" si="1"/>
        <v>936</v>
      </c>
      <c r="F24" s="188">
        <v>936</v>
      </c>
      <c r="G24" s="188"/>
      <c r="H24" s="188"/>
      <c r="I24" s="188"/>
      <c r="J24" s="188"/>
      <c r="K24" s="188"/>
      <c r="L24" s="182"/>
    </row>
    <row r="25" spans="1:12" s="184" customFormat="1" ht="13.5" customHeight="1" x14ac:dyDescent="0.2">
      <c r="A25" s="185">
        <v>20</v>
      </c>
      <c r="B25" s="186" t="s">
        <v>119</v>
      </c>
      <c r="C25" s="191" t="s">
        <v>41</v>
      </c>
      <c r="D25" s="188">
        <f t="shared" si="0"/>
        <v>823</v>
      </c>
      <c r="E25" s="188">
        <f t="shared" si="1"/>
        <v>823</v>
      </c>
      <c r="F25" s="188">
        <v>823</v>
      </c>
      <c r="G25" s="188"/>
      <c r="H25" s="188"/>
      <c r="I25" s="188"/>
      <c r="J25" s="188"/>
      <c r="K25" s="188"/>
      <c r="L25" s="182"/>
    </row>
    <row r="26" spans="1:12" s="184" customFormat="1" ht="13.5" customHeight="1" x14ac:dyDescent="0.2">
      <c r="A26" s="185">
        <v>21</v>
      </c>
      <c r="B26" s="186" t="s">
        <v>120</v>
      </c>
      <c r="C26" s="191" t="s">
        <v>8</v>
      </c>
      <c r="D26" s="188">
        <f t="shared" si="0"/>
        <v>3789</v>
      </c>
      <c r="E26" s="188">
        <f t="shared" si="1"/>
        <v>3761</v>
      </c>
      <c r="F26" s="188">
        <v>3761</v>
      </c>
      <c r="G26" s="188"/>
      <c r="H26" s="188"/>
      <c r="I26" s="188"/>
      <c r="J26" s="188"/>
      <c r="K26" s="188"/>
      <c r="L26" s="182">
        <v>28</v>
      </c>
    </row>
    <row r="27" spans="1:12" s="184" customFormat="1" ht="13.5" customHeight="1" x14ac:dyDescent="0.2">
      <c r="A27" s="185">
        <v>22</v>
      </c>
      <c r="B27" s="186" t="s">
        <v>77</v>
      </c>
      <c r="C27" s="191" t="s">
        <v>9</v>
      </c>
      <c r="D27" s="188">
        <f t="shared" si="0"/>
        <v>3139</v>
      </c>
      <c r="E27" s="188">
        <f t="shared" si="1"/>
        <v>3139</v>
      </c>
      <c r="F27" s="188">
        <v>3130</v>
      </c>
      <c r="G27" s="188"/>
      <c r="H27" s="188"/>
      <c r="I27" s="188"/>
      <c r="J27" s="188">
        <v>9</v>
      </c>
      <c r="K27" s="188"/>
      <c r="L27" s="182"/>
    </row>
    <row r="28" spans="1:12" s="184" customFormat="1" ht="13.5" customHeight="1" x14ac:dyDescent="0.2">
      <c r="A28" s="185">
        <v>23</v>
      </c>
      <c r="B28" s="192" t="s">
        <v>78</v>
      </c>
      <c r="C28" s="193" t="s">
        <v>79</v>
      </c>
      <c r="D28" s="188">
        <f t="shared" si="0"/>
        <v>274</v>
      </c>
      <c r="E28" s="188">
        <f t="shared" si="1"/>
        <v>274</v>
      </c>
      <c r="F28" s="188">
        <v>274</v>
      </c>
      <c r="G28" s="188"/>
      <c r="H28" s="188"/>
      <c r="I28" s="188"/>
      <c r="J28" s="188"/>
      <c r="K28" s="188"/>
      <c r="L28" s="182"/>
    </row>
    <row r="29" spans="1:12" s="184" customFormat="1" ht="13.5" customHeight="1" x14ac:dyDescent="0.2">
      <c r="A29" s="185">
        <v>24</v>
      </c>
      <c r="B29" s="198" t="s">
        <v>178</v>
      </c>
      <c r="C29" s="197" t="s">
        <v>179</v>
      </c>
      <c r="D29" s="188">
        <f t="shared" si="0"/>
        <v>0</v>
      </c>
      <c r="E29" s="188">
        <f t="shared" si="1"/>
        <v>0</v>
      </c>
      <c r="F29" s="188">
        <v>0</v>
      </c>
      <c r="G29" s="188"/>
      <c r="H29" s="188"/>
      <c r="I29" s="188"/>
      <c r="J29" s="188"/>
      <c r="K29" s="188"/>
      <c r="L29" s="182"/>
    </row>
    <row r="30" spans="1:12" s="184" customFormat="1" ht="13.5" customHeight="1" x14ac:dyDescent="0.2">
      <c r="A30" s="185">
        <v>25</v>
      </c>
      <c r="B30" s="192" t="s">
        <v>180</v>
      </c>
      <c r="C30" s="193" t="s">
        <v>181</v>
      </c>
      <c r="D30" s="188">
        <f t="shared" si="0"/>
        <v>432</v>
      </c>
      <c r="E30" s="188">
        <f t="shared" si="1"/>
        <v>432</v>
      </c>
      <c r="F30" s="188">
        <v>0</v>
      </c>
      <c r="G30" s="188"/>
      <c r="H30" s="188"/>
      <c r="I30" s="188"/>
      <c r="J30" s="188"/>
      <c r="K30" s="188">
        <v>432</v>
      </c>
      <c r="L30" s="182"/>
    </row>
    <row r="31" spans="1:12" s="184" customFormat="1" ht="13.5" customHeight="1" x14ac:dyDescent="0.2">
      <c r="A31" s="185">
        <v>26</v>
      </c>
      <c r="B31" s="186" t="s">
        <v>123</v>
      </c>
      <c r="C31" s="195" t="s">
        <v>124</v>
      </c>
      <c r="D31" s="188">
        <f t="shared" si="0"/>
        <v>5789</v>
      </c>
      <c r="E31" s="188">
        <f t="shared" si="1"/>
        <v>5789</v>
      </c>
      <c r="F31" s="188">
        <v>5789</v>
      </c>
      <c r="G31" s="188"/>
      <c r="H31" s="188">
        <v>0</v>
      </c>
      <c r="I31" s="188"/>
      <c r="J31" s="188"/>
      <c r="K31" s="188"/>
      <c r="L31" s="182"/>
    </row>
    <row r="32" spans="1:12" s="184" customFormat="1" ht="13.5" customHeight="1" x14ac:dyDescent="0.2">
      <c r="A32" s="185">
        <v>27</v>
      </c>
      <c r="B32" s="192" t="s">
        <v>121</v>
      </c>
      <c r="C32" s="193" t="s">
        <v>122</v>
      </c>
      <c r="D32" s="188">
        <f t="shared" si="0"/>
        <v>7226</v>
      </c>
      <c r="E32" s="188">
        <f t="shared" si="1"/>
        <v>7226</v>
      </c>
      <c r="F32" s="188">
        <v>7226</v>
      </c>
      <c r="G32" s="188"/>
      <c r="H32" s="188"/>
      <c r="I32" s="188"/>
      <c r="J32" s="188"/>
      <c r="K32" s="188"/>
      <c r="L32" s="182"/>
    </row>
    <row r="33" spans="1:12" s="184" customFormat="1" ht="13.5" customHeight="1" x14ac:dyDescent="0.2">
      <c r="A33" s="185">
        <v>28</v>
      </c>
      <c r="B33" s="192" t="s">
        <v>182</v>
      </c>
      <c r="C33" s="193" t="s">
        <v>183</v>
      </c>
      <c r="D33" s="188">
        <f t="shared" si="0"/>
        <v>2016</v>
      </c>
      <c r="E33" s="188">
        <f t="shared" si="1"/>
        <v>2016</v>
      </c>
      <c r="F33" s="188">
        <v>1972</v>
      </c>
      <c r="G33" s="188"/>
      <c r="H33" s="188"/>
      <c r="I33" s="188"/>
      <c r="J33" s="188">
        <v>44</v>
      </c>
      <c r="K33" s="188"/>
      <c r="L33" s="182"/>
    </row>
    <row r="34" spans="1:12" s="184" customFormat="1" ht="13.5" customHeight="1" x14ac:dyDescent="0.2">
      <c r="A34" s="185">
        <v>29</v>
      </c>
      <c r="B34" s="186" t="s">
        <v>184</v>
      </c>
      <c r="C34" s="191" t="s">
        <v>65</v>
      </c>
      <c r="D34" s="188">
        <f t="shared" si="0"/>
        <v>0</v>
      </c>
      <c r="E34" s="188">
        <f t="shared" si="1"/>
        <v>0</v>
      </c>
      <c r="F34" s="188">
        <v>0</v>
      </c>
      <c r="G34" s="188"/>
      <c r="H34" s="188"/>
      <c r="I34" s="188"/>
      <c r="J34" s="188"/>
      <c r="K34" s="188"/>
      <c r="L34" s="182"/>
    </row>
    <row r="35" spans="1:12" s="184" customFormat="1" ht="10.5" customHeight="1" x14ac:dyDescent="0.2">
      <c r="A35" s="185">
        <v>30</v>
      </c>
      <c r="B35" s="186" t="s">
        <v>80</v>
      </c>
      <c r="C35" s="195" t="s">
        <v>542</v>
      </c>
      <c r="D35" s="188">
        <f t="shared" si="0"/>
        <v>0</v>
      </c>
      <c r="E35" s="188">
        <f t="shared" si="1"/>
        <v>0</v>
      </c>
      <c r="F35" s="188">
        <v>0</v>
      </c>
      <c r="G35" s="188"/>
      <c r="H35" s="188"/>
      <c r="I35" s="188"/>
      <c r="J35" s="188"/>
      <c r="K35" s="188"/>
      <c r="L35" s="182"/>
    </row>
    <row r="36" spans="1:12" s="184" customFormat="1" ht="13.5" customHeight="1" x14ac:dyDescent="0.2">
      <c r="A36" s="185">
        <v>31</v>
      </c>
      <c r="B36" s="186" t="s">
        <v>131</v>
      </c>
      <c r="C36" s="191" t="s">
        <v>185</v>
      </c>
      <c r="D36" s="188">
        <f t="shared" si="0"/>
        <v>415</v>
      </c>
      <c r="E36" s="188">
        <f t="shared" si="1"/>
        <v>415</v>
      </c>
      <c r="F36" s="188">
        <v>415</v>
      </c>
      <c r="G36" s="188"/>
      <c r="H36" s="188"/>
      <c r="I36" s="188"/>
      <c r="J36" s="188"/>
      <c r="K36" s="188"/>
      <c r="L36" s="182"/>
    </row>
    <row r="37" spans="1:12" s="184" customFormat="1" ht="13.5" customHeight="1" x14ac:dyDescent="0.2">
      <c r="A37" s="185">
        <v>32</v>
      </c>
      <c r="B37" s="192" t="s">
        <v>82</v>
      </c>
      <c r="C37" s="193" t="s">
        <v>10</v>
      </c>
      <c r="D37" s="188">
        <f t="shared" si="0"/>
        <v>4555</v>
      </c>
      <c r="E37" s="188">
        <f t="shared" si="1"/>
        <v>4555</v>
      </c>
      <c r="F37" s="188">
        <v>4549</v>
      </c>
      <c r="G37" s="188"/>
      <c r="H37" s="188"/>
      <c r="I37" s="188"/>
      <c r="J37" s="188">
        <v>6</v>
      </c>
      <c r="K37" s="188"/>
      <c r="L37" s="182"/>
    </row>
    <row r="38" spans="1:12" s="184" customFormat="1" ht="13.5" customHeight="1" x14ac:dyDescent="0.2">
      <c r="A38" s="185">
        <v>33</v>
      </c>
      <c r="B38" s="186" t="s">
        <v>83</v>
      </c>
      <c r="C38" s="191" t="s">
        <v>11</v>
      </c>
      <c r="D38" s="188">
        <f t="shared" si="0"/>
        <v>6370</v>
      </c>
      <c r="E38" s="188">
        <f t="shared" si="1"/>
        <v>6370</v>
      </c>
      <c r="F38" s="188">
        <v>6362</v>
      </c>
      <c r="G38" s="188"/>
      <c r="H38" s="188">
        <v>0</v>
      </c>
      <c r="I38" s="188"/>
      <c r="J38" s="188">
        <v>8</v>
      </c>
      <c r="K38" s="188"/>
      <c r="L38" s="182"/>
    </row>
    <row r="39" spans="1:12" s="184" customFormat="1" ht="13.5" customHeight="1" x14ac:dyDescent="0.2">
      <c r="A39" s="185">
        <v>34</v>
      </c>
      <c r="B39" s="194" t="s">
        <v>125</v>
      </c>
      <c r="C39" s="195" t="s">
        <v>43</v>
      </c>
      <c r="D39" s="188">
        <f t="shared" si="0"/>
        <v>1356</v>
      </c>
      <c r="E39" s="188">
        <f t="shared" si="1"/>
        <v>1356</v>
      </c>
      <c r="F39" s="188">
        <v>1356</v>
      </c>
      <c r="G39" s="188"/>
      <c r="H39" s="188"/>
      <c r="I39" s="199"/>
      <c r="J39" s="199"/>
      <c r="K39" s="199"/>
      <c r="L39" s="182"/>
    </row>
    <row r="40" spans="1:12" s="184" customFormat="1" ht="13.5" customHeight="1" x14ac:dyDescent="0.2">
      <c r="A40" s="185">
        <v>35</v>
      </c>
      <c r="B40" s="186" t="s">
        <v>84</v>
      </c>
      <c r="C40" s="191" t="s">
        <v>12</v>
      </c>
      <c r="D40" s="188">
        <f t="shared" si="0"/>
        <v>4490</v>
      </c>
      <c r="E40" s="188">
        <f t="shared" si="1"/>
        <v>4490</v>
      </c>
      <c r="F40" s="188">
        <v>4490</v>
      </c>
      <c r="G40" s="188"/>
      <c r="H40" s="188"/>
      <c r="I40" s="188"/>
      <c r="J40" s="188"/>
      <c r="K40" s="188"/>
      <c r="L40" s="182"/>
    </row>
    <row r="41" spans="1:12" s="184" customFormat="1" ht="13.5" customHeight="1" x14ac:dyDescent="0.2">
      <c r="A41" s="185">
        <v>36</v>
      </c>
      <c r="B41" s="186" t="s">
        <v>85</v>
      </c>
      <c r="C41" s="191" t="s">
        <v>49</v>
      </c>
      <c r="D41" s="188">
        <f t="shared" si="0"/>
        <v>1737</v>
      </c>
      <c r="E41" s="188">
        <f t="shared" si="1"/>
        <v>1737</v>
      </c>
      <c r="F41" s="188">
        <v>1729</v>
      </c>
      <c r="G41" s="188"/>
      <c r="H41" s="188"/>
      <c r="I41" s="188"/>
      <c r="J41" s="188">
        <v>8</v>
      </c>
      <c r="K41" s="188"/>
      <c r="L41" s="182"/>
    </row>
    <row r="42" spans="1:12" s="184" customFormat="1" ht="13.5" customHeight="1" x14ac:dyDescent="0.2">
      <c r="A42" s="185">
        <v>37</v>
      </c>
      <c r="B42" s="192" t="s">
        <v>126</v>
      </c>
      <c r="C42" s="193" t="s">
        <v>25</v>
      </c>
      <c r="D42" s="188">
        <f t="shared" si="0"/>
        <v>4387</v>
      </c>
      <c r="E42" s="188">
        <f t="shared" si="1"/>
        <v>4387</v>
      </c>
      <c r="F42" s="188">
        <v>4362</v>
      </c>
      <c r="G42" s="188"/>
      <c r="H42" s="188"/>
      <c r="I42" s="188"/>
      <c r="J42" s="188">
        <v>25</v>
      </c>
      <c r="K42" s="188"/>
      <c r="L42" s="182"/>
    </row>
    <row r="43" spans="1:12" s="184" customFormat="1" ht="13.5" customHeight="1" x14ac:dyDescent="0.2">
      <c r="A43" s="185">
        <v>38</v>
      </c>
      <c r="B43" s="186" t="s">
        <v>127</v>
      </c>
      <c r="C43" s="191" t="s">
        <v>54</v>
      </c>
      <c r="D43" s="188">
        <f t="shared" si="0"/>
        <v>1579</v>
      </c>
      <c r="E43" s="188">
        <f t="shared" si="1"/>
        <v>1579</v>
      </c>
      <c r="F43" s="188">
        <v>1579</v>
      </c>
      <c r="G43" s="188"/>
      <c r="H43" s="188"/>
      <c r="I43" s="188"/>
      <c r="J43" s="188"/>
      <c r="K43" s="188"/>
      <c r="L43" s="182"/>
    </row>
    <row r="44" spans="1:12" s="184" customFormat="1" ht="13.5" customHeight="1" x14ac:dyDescent="0.2">
      <c r="A44" s="185">
        <v>39</v>
      </c>
      <c r="B44" s="186" t="s">
        <v>86</v>
      </c>
      <c r="C44" s="191" t="s">
        <v>57</v>
      </c>
      <c r="D44" s="188">
        <f t="shared" si="0"/>
        <v>1002</v>
      </c>
      <c r="E44" s="188">
        <f t="shared" si="1"/>
        <v>1002</v>
      </c>
      <c r="F44" s="188">
        <v>1002</v>
      </c>
      <c r="G44" s="188"/>
      <c r="H44" s="188"/>
      <c r="I44" s="188"/>
      <c r="J44" s="188"/>
      <c r="K44" s="188"/>
      <c r="L44" s="182"/>
    </row>
    <row r="45" spans="1:12" s="184" customFormat="1" ht="13.5" customHeight="1" x14ac:dyDescent="0.2">
      <c r="A45" s="185">
        <v>40</v>
      </c>
      <c r="B45" s="200" t="s">
        <v>87</v>
      </c>
      <c r="C45" s="201" t="s">
        <v>58</v>
      </c>
      <c r="D45" s="188">
        <f t="shared" si="0"/>
        <v>1675</v>
      </c>
      <c r="E45" s="188">
        <f t="shared" si="1"/>
        <v>1675</v>
      </c>
      <c r="F45" s="188">
        <v>1673</v>
      </c>
      <c r="G45" s="188"/>
      <c r="H45" s="188"/>
      <c r="I45" s="188"/>
      <c r="J45" s="188">
        <v>2</v>
      </c>
      <c r="K45" s="188"/>
      <c r="L45" s="182"/>
    </row>
    <row r="46" spans="1:12" s="184" customFormat="1" ht="13.5" customHeight="1" x14ac:dyDescent="0.2">
      <c r="A46" s="185">
        <v>41</v>
      </c>
      <c r="B46" s="186" t="s">
        <v>128</v>
      </c>
      <c r="C46" s="191" t="s">
        <v>59</v>
      </c>
      <c r="D46" s="188">
        <f t="shared" si="0"/>
        <v>834</v>
      </c>
      <c r="E46" s="188">
        <f t="shared" si="1"/>
        <v>834</v>
      </c>
      <c r="F46" s="188">
        <v>834</v>
      </c>
      <c r="G46" s="188"/>
      <c r="H46" s="188"/>
      <c r="I46" s="188"/>
      <c r="J46" s="188"/>
      <c r="K46" s="188"/>
      <c r="L46" s="182"/>
    </row>
    <row r="47" spans="1:12" s="184" customFormat="1" ht="13.5" customHeight="1" x14ac:dyDescent="0.2">
      <c r="A47" s="185">
        <v>42</v>
      </c>
      <c r="B47" s="194" t="s">
        <v>129</v>
      </c>
      <c r="C47" s="195" t="s">
        <v>130</v>
      </c>
      <c r="D47" s="188">
        <f t="shared" si="0"/>
        <v>920</v>
      </c>
      <c r="E47" s="188">
        <f t="shared" si="1"/>
        <v>920</v>
      </c>
      <c r="F47" s="188">
        <v>920</v>
      </c>
      <c r="G47" s="188"/>
      <c r="H47" s="188"/>
      <c r="I47" s="188"/>
      <c r="J47" s="188"/>
      <c r="K47" s="188"/>
      <c r="L47" s="182"/>
    </row>
    <row r="48" spans="1:12" s="184" customFormat="1" ht="13.5" customHeight="1" x14ac:dyDescent="0.2">
      <c r="A48" s="185">
        <v>43</v>
      </c>
      <c r="B48" s="192" t="s">
        <v>88</v>
      </c>
      <c r="C48" s="193" t="s">
        <v>13</v>
      </c>
      <c r="D48" s="188">
        <f t="shared" si="0"/>
        <v>5724</v>
      </c>
      <c r="E48" s="188">
        <f t="shared" si="1"/>
        <v>5724</v>
      </c>
      <c r="F48" s="188">
        <v>5674</v>
      </c>
      <c r="G48" s="188"/>
      <c r="H48" s="188"/>
      <c r="I48" s="188"/>
      <c r="J48" s="188">
        <v>16</v>
      </c>
      <c r="K48" s="188">
        <v>34</v>
      </c>
      <c r="L48" s="182"/>
    </row>
    <row r="49" spans="1:12" s="184" customFormat="1" ht="13.5" customHeight="1" x14ac:dyDescent="0.2">
      <c r="A49" s="185">
        <v>44</v>
      </c>
      <c r="B49" s="186" t="s">
        <v>132</v>
      </c>
      <c r="C49" s="191" t="s">
        <v>30</v>
      </c>
      <c r="D49" s="188">
        <f t="shared" si="0"/>
        <v>1417</v>
      </c>
      <c r="E49" s="188">
        <f t="shared" si="1"/>
        <v>1417</v>
      </c>
      <c r="F49" s="188">
        <v>1417</v>
      </c>
      <c r="G49" s="188"/>
      <c r="H49" s="188"/>
      <c r="I49" s="188"/>
      <c r="J49" s="188"/>
      <c r="K49" s="188"/>
      <c r="L49" s="182"/>
    </row>
    <row r="50" spans="1:12" s="184" customFormat="1" ht="13.5" customHeight="1" x14ac:dyDescent="0.2">
      <c r="A50" s="185">
        <v>45</v>
      </c>
      <c r="B50" s="192" t="s">
        <v>133</v>
      </c>
      <c r="C50" s="193" t="s">
        <v>14</v>
      </c>
      <c r="D50" s="188">
        <f t="shared" si="0"/>
        <v>4844</v>
      </c>
      <c r="E50" s="188">
        <f t="shared" si="1"/>
        <v>4788</v>
      </c>
      <c r="F50" s="188">
        <v>4780</v>
      </c>
      <c r="G50" s="188"/>
      <c r="H50" s="188"/>
      <c r="I50" s="188"/>
      <c r="J50" s="188">
        <v>8</v>
      </c>
      <c r="K50" s="188"/>
      <c r="L50" s="182">
        <v>56</v>
      </c>
    </row>
    <row r="51" spans="1:12" s="184" customFormat="1" ht="13.5" customHeight="1" x14ac:dyDescent="0.2">
      <c r="A51" s="185">
        <v>46</v>
      </c>
      <c r="B51" s="186" t="s">
        <v>134</v>
      </c>
      <c r="C51" s="191" t="s">
        <v>33</v>
      </c>
      <c r="D51" s="188">
        <f t="shared" si="0"/>
        <v>1155</v>
      </c>
      <c r="E51" s="188">
        <f t="shared" si="1"/>
        <v>1155</v>
      </c>
      <c r="F51" s="188">
        <v>1155</v>
      </c>
      <c r="G51" s="188"/>
      <c r="H51" s="188"/>
      <c r="I51" s="188"/>
      <c r="J51" s="188"/>
      <c r="K51" s="188"/>
      <c r="L51" s="182"/>
    </row>
    <row r="52" spans="1:12" s="184" customFormat="1" ht="13.5" customHeight="1" x14ac:dyDescent="0.2">
      <c r="A52" s="185">
        <v>47</v>
      </c>
      <c r="B52" s="186" t="s">
        <v>89</v>
      </c>
      <c r="C52" s="191" t="s">
        <v>38</v>
      </c>
      <c r="D52" s="188">
        <f t="shared" si="0"/>
        <v>1664</v>
      </c>
      <c r="E52" s="188">
        <f t="shared" si="1"/>
        <v>1664</v>
      </c>
      <c r="F52" s="188">
        <v>1664</v>
      </c>
      <c r="G52" s="188"/>
      <c r="H52" s="188"/>
      <c r="I52" s="188"/>
      <c r="J52" s="188"/>
      <c r="K52" s="188"/>
      <c r="L52" s="182"/>
    </row>
    <row r="53" spans="1:12" s="184" customFormat="1" ht="13.5" customHeight="1" x14ac:dyDescent="0.2">
      <c r="A53" s="185">
        <v>48</v>
      </c>
      <c r="B53" s="202" t="s">
        <v>90</v>
      </c>
      <c r="C53" s="203" t="s">
        <v>39</v>
      </c>
      <c r="D53" s="188">
        <f t="shared" si="0"/>
        <v>2118</v>
      </c>
      <c r="E53" s="188">
        <f t="shared" si="1"/>
        <v>2118</v>
      </c>
      <c r="F53" s="188">
        <v>2118</v>
      </c>
      <c r="G53" s="188"/>
      <c r="H53" s="188"/>
      <c r="I53" s="188"/>
      <c r="J53" s="188"/>
      <c r="K53" s="188"/>
      <c r="L53" s="182"/>
    </row>
    <row r="54" spans="1:12" s="184" customFormat="1" ht="13.5" customHeight="1" x14ac:dyDescent="0.2">
      <c r="A54" s="185">
        <v>49</v>
      </c>
      <c r="B54" s="192" t="s">
        <v>135</v>
      </c>
      <c r="C54" s="193" t="s">
        <v>40</v>
      </c>
      <c r="D54" s="188">
        <f t="shared" si="0"/>
        <v>748</v>
      </c>
      <c r="E54" s="188">
        <f t="shared" si="1"/>
        <v>748</v>
      </c>
      <c r="F54" s="188">
        <v>748</v>
      </c>
      <c r="G54" s="188"/>
      <c r="H54" s="188"/>
      <c r="I54" s="188"/>
      <c r="J54" s="188"/>
      <c r="K54" s="188"/>
      <c r="L54" s="182"/>
    </row>
    <row r="55" spans="1:12" s="184" customFormat="1" ht="13.5" customHeight="1" x14ac:dyDescent="0.2">
      <c r="A55" s="185">
        <v>50</v>
      </c>
      <c r="B55" s="186" t="s">
        <v>91</v>
      </c>
      <c r="C55" s="191" t="s">
        <v>53</v>
      </c>
      <c r="D55" s="188">
        <f t="shared" si="0"/>
        <v>1464</v>
      </c>
      <c r="E55" s="188">
        <f t="shared" si="1"/>
        <v>1464</v>
      </c>
      <c r="F55" s="188">
        <v>1464</v>
      </c>
      <c r="G55" s="188"/>
      <c r="H55" s="188"/>
      <c r="I55" s="188"/>
      <c r="J55" s="188"/>
      <c r="K55" s="188"/>
      <c r="L55" s="182"/>
    </row>
    <row r="56" spans="1:12" s="184" customFormat="1" ht="13.5" customHeight="1" x14ac:dyDescent="0.2">
      <c r="A56" s="185">
        <v>51</v>
      </c>
      <c r="B56" s="192" t="s">
        <v>92</v>
      </c>
      <c r="C56" s="193" t="s">
        <v>56</v>
      </c>
      <c r="D56" s="188">
        <f t="shared" si="0"/>
        <v>2122</v>
      </c>
      <c r="E56" s="188">
        <f t="shared" si="1"/>
        <v>2122</v>
      </c>
      <c r="F56" s="188">
        <v>2122</v>
      </c>
      <c r="G56" s="188"/>
      <c r="H56" s="188"/>
      <c r="I56" s="188"/>
      <c r="J56" s="188"/>
      <c r="K56" s="188"/>
      <c r="L56" s="182"/>
    </row>
    <row r="57" spans="1:12" s="184" customFormat="1" ht="13.5" customHeight="1" x14ac:dyDescent="0.2">
      <c r="A57" s="185">
        <v>52</v>
      </c>
      <c r="B57" s="186" t="s">
        <v>136</v>
      </c>
      <c r="C57" s="191" t="s">
        <v>15</v>
      </c>
      <c r="D57" s="188">
        <f t="shared" si="0"/>
        <v>6855</v>
      </c>
      <c r="E57" s="188">
        <f t="shared" si="1"/>
        <v>6855</v>
      </c>
      <c r="F57" s="188">
        <v>6824</v>
      </c>
      <c r="G57" s="188"/>
      <c r="H57" s="188"/>
      <c r="I57" s="188"/>
      <c r="J57" s="188">
        <v>11</v>
      </c>
      <c r="K57" s="188">
        <v>20</v>
      </c>
      <c r="L57" s="182"/>
    </row>
    <row r="58" spans="1:12" s="184" customFormat="1" ht="13.5" customHeight="1" x14ac:dyDescent="0.2">
      <c r="A58" s="185">
        <v>53</v>
      </c>
      <c r="B58" s="192" t="s">
        <v>137</v>
      </c>
      <c r="C58" s="193" t="s">
        <v>61</v>
      </c>
      <c r="D58" s="188">
        <f t="shared" si="0"/>
        <v>1166</v>
      </c>
      <c r="E58" s="188">
        <f t="shared" si="1"/>
        <v>1166</v>
      </c>
      <c r="F58" s="188">
        <v>1166</v>
      </c>
      <c r="G58" s="188"/>
      <c r="H58" s="188"/>
      <c r="I58" s="188"/>
      <c r="J58" s="188"/>
      <c r="K58" s="188"/>
      <c r="L58" s="182"/>
    </row>
    <row r="59" spans="1:12" s="184" customFormat="1" ht="13.5" customHeight="1" x14ac:dyDescent="0.2">
      <c r="A59" s="185">
        <v>54</v>
      </c>
      <c r="B59" s="192" t="s">
        <v>186</v>
      </c>
      <c r="C59" s="193" t="s">
        <v>187</v>
      </c>
      <c r="D59" s="188">
        <f t="shared" si="0"/>
        <v>5</v>
      </c>
      <c r="E59" s="188">
        <f t="shared" si="1"/>
        <v>5</v>
      </c>
      <c r="F59" s="188">
        <v>5</v>
      </c>
      <c r="G59" s="188"/>
      <c r="H59" s="188"/>
      <c r="I59" s="188"/>
      <c r="J59" s="188"/>
      <c r="K59" s="188"/>
      <c r="L59" s="182"/>
    </row>
    <row r="60" spans="1:12" s="184" customFormat="1" ht="13.5" customHeight="1" x14ac:dyDescent="0.2">
      <c r="A60" s="185">
        <v>55</v>
      </c>
      <c r="B60" s="192" t="s">
        <v>188</v>
      </c>
      <c r="C60" s="193" t="s">
        <v>189</v>
      </c>
      <c r="D60" s="188">
        <f t="shared" si="0"/>
        <v>0</v>
      </c>
      <c r="E60" s="188">
        <f t="shared" si="1"/>
        <v>0</v>
      </c>
      <c r="F60" s="188">
        <v>0</v>
      </c>
      <c r="G60" s="188"/>
      <c r="H60" s="188"/>
      <c r="I60" s="188"/>
      <c r="J60" s="188"/>
      <c r="K60" s="188"/>
      <c r="L60" s="182"/>
    </row>
    <row r="61" spans="1:12" s="184" customFormat="1" ht="13.5" customHeight="1" x14ac:dyDescent="0.2">
      <c r="A61" s="185">
        <v>56</v>
      </c>
      <c r="B61" s="192" t="s">
        <v>190</v>
      </c>
      <c r="C61" s="193" t="s">
        <v>191</v>
      </c>
      <c r="D61" s="188">
        <f t="shared" si="0"/>
        <v>2107</v>
      </c>
      <c r="E61" s="188">
        <f t="shared" si="1"/>
        <v>2107</v>
      </c>
      <c r="F61" s="188">
        <v>2038</v>
      </c>
      <c r="G61" s="188"/>
      <c r="H61" s="188"/>
      <c r="I61" s="188"/>
      <c r="J61" s="188"/>
      <c r="K61" s="188">
        <v>69</v>
      </c>
      <c r="L61" s="182"/>
    </row>
    <row r="62" spans="1:12" s="184" customFormat="1" ht="13.5" customHeight="1" x14ac:dyDescent="0.2">
      <c r="A62" s="185">
        <v>57</v>
      </c>
      <c r="B62" s="192" t="s">
        <v>192</v>
      </c>
      <c r="C62" s="193" t="s">
        <v>343</v>
      </c>
      <c r="D62" s="188">
        <f t="shared" si="0"/>
        <v>1725</v>
      </c>
      <c r="E62" s="188">
        <f t="shared" si="1"/>
        <v>1725</v>
      </c>
      <c r="F62" s="188">
        <v>1711</v>
      </c>
      <c r="G62" s="188"/>
      <c r="H62" s="188"/>
      <c r="I62" s="188"/>
      <c r="J62" s="188"/>
      <c r="K62" s="188">
        <v>14</v>
      </c>
      <c r="L62" s="182"/>
    </row>
    <row r="63" spans="1:12" s="184" customFormat="1" ht="13.5" customHeight="1" x14ac:dyDescent="0.2">
      <c r="A63" s="185">
        <v>58</v>
      </c>
      <c r="B63" s="192" t="s">
        <v>194</v>
      </c>
      <c r="C63" s="193" t="s">
        <v>195</v>
      </c>
      <c r="D63" s="188">
        <f t="shared" si="0"/>
        <v>2425</v>
      </c>
      <c r="E63" s="188">
        <f t="shared" si="1"/>
        <v>2425</v>
      </c>
      <c r="F63" s="188">
        <v>2391</v>
      </c>
      <c r="G63" s="188"/>
      <c r="H63" s="188"/>
      <c r="I63" s="188"/>
      <c r="J63" s="188"/>
      <c r="K63" s="188">
        <v>34</v>
      </c>
      <c r="L63" s="182"/>
    </row>
    <row r="64" spans="1:12" s="184" customFormat="1" ht="13.5" customHeight="1" x14ac:dyDescent="0.2">
      <c r="A64" s="185">
        <v>59</v>
      </c>
      <c r="B64" s="186" t="s">
        <v>196</v>
      </c>
      <c r="C64" s="193" t="s">
        <v>344</v>
      </c>
      <c r="D64" s="188">
        <f t="shared" si="0"/>
        <v>3019</v>
      </c>
      <c r="E64" s="188">
        <f t="shared" si="1"/>
        <v>3019</v>
      </c>
      <c r="F64" s="188">
        <v>2919</v>
      </c>
      <c r="G64" s="188"/>
      <c r="H64" s="188"/>
      <c r="I64" s="188"/>
      <c r="J64" s="188"/>
      <c r="K64" s="188">
        <v>100</v>
      </c>
      <c r="L64" s="182"/>
    </row>
    <row r="65" spans="1:12" s="184" customFormat="1" ht="13.5" customHeight="1" x14ac:dyDescent="0.2">
      <c r="A65" s="185">
        <v>60</v>
      </c>
      <c r="B65" s="194" t="s">
        <v>198</v>
      </c>
      <c r="C65" s="204" t="s">
        <v>384</v>
      </c>
      <c r="D65" s="188">
        <f t="shared" si="0"/>
        <v>1183</v>
      </c>
      <c r="E65" s="188">
        <f t="shared" si="1"/>
        <v>1183</v>
      </c>
      <c r="F65" s="188">
        <v>1123</v>
      </c>
      <c r="G65" s="188"/>
      <c r="H65" s="188"/>
      <c r="I65" s="188"/>
      <c r="J65" s="188"/>
      <c r="K65" s="188">
        <v>60</v>
      </c>
      <c r="L65" s="205"/>
    </row>
    <row r="66" spans="1:12" s="190" customFormat="1" ht="13.5" customHeight="1" x14ac:dyDescent="0.2">
      <c r="A66" s="185">
        <v>61</v>
      </c>
      <c r="B66" s="186" t="s">
        <v>200</v>
      </c>
      <c r="C66" s="193" t="s">
        <v>543</v>
      </c>
      <c r="D66" s="188">
        <f t="shared" si="0"/>
        <v>0</v>
      </c>
      <c r="E66" s="188">
        <f t="shared" si="1"/>
        <v>0</v>
      </c>
      <c r="F66" s="188">
        <v>0</v>
      </c>
      <c r="G66" s="188"/>
      <c r="H66" s="188"/>
      <c r="I66" s="188"/>
      <c r="J66" s="188"/>
      <c r="K66" s="188"/>
      <c r="L66" s="189"/>
    </row>
    <row r="67" spans="1:12" s="184" customFormat="1" ht="13.5" customHeight="1" x14ac:dyDescent="0.2">
      <c r="A67" s="185">
        <v>62</v>
      </c>
      <c r="B67" s="192" t="s">
        <v>202</v>
      </c>
      <c r="C67" s="193" t="s">
        <v>544</v>
      </c>
      <c r="D67" s="188">
        <f t="shared" si="0"/>
        <v>0</v>
      </c>
      <c r="E67" s="188">
        <f t="shared" si="1"/>
        <v>0</v>
      </c>
      <c r="F67" s="188">
        <v>0</v>
      </c>
      <c r="G67" s="188"/>
      <c r="H67" s="188"/>
      <c r="I67" s="188"/>
      <c r="J67" s="188"/>
      <c r="K67" s="188"/>
      <c r="L67" s="182"/>
    </row>
    <row r="68" spans="1:12" s="184" customFormat="1" ht="13.5" customHeight="1" x14ac:dyDescent="0.2">
      <c r="A68" s="185">
        <v>63</v>
      </c>
      <c r="B68" s="186" t="s">
        <v>151</v>
      </c>
      <c r="C68" s="193" t="s">
        <v>345</v>
      </c>
      <c r="D68" s="188">
        <f t="shared" si="0"/>
        <v>4281</v>
      </c>
      <c r="E68" s="188">
        <f t="shared" si="1"/>
        <v>4281</v>
      </c>
      <c r="F68" s="188">
        <v>4258</v>
      </c>
      <c r="G68" s="188"/>
      <c r="H68" s="188">
        <v>23</v>
      </c>
      <c r="I68" s="188"/>
      <c r="J68" s="188"/>
      <c r="K68" s="188"/>
      <c r="L68" s="182"/>
    </row>
    <row r="69" spans="1:12" s="184" customFormat="1" ht="13.5" customHeight="1" x14ac:dyDescent="0.2">
      <c r="A69" s="185">
        <v>64</v>
      </c>
      <c r="B69" s="186" t="s">
        <v>152</v>
      </c>
      <c r="C69" s="193" t="s">
        <v>153</v>
      </c>
      <c r="D69" s="188">
        <f t="shared" si="0"/>
        <v>2539</v>
      </c>
      <c r="E69" s="188">
        <f t="shared" si="1"/>
        <v>2539</v>
      </c>
      <c r="F69" s="188">
        <v>2539</v>
      </c>
      <c r="G69" s="188"/>
      <c r="H69" s="188"/>
      <c r="I69" s="188"/>
      <c r="J69" s="188"/>
      <c r="K69" s="188"/>
      <c r="L69" s="182"/>
    </row>
    <row r="70" spans="1:12" s="184" customFormat="1" ht="13.5" customHeight="1" x14ac:dyDescent="0.2">
      <c r="A70" s="185">
        <v>65</v>
      </c>
      <c r="B70" s="186" t="s">
        <v>154</v>
      </c>
      <c r="C70" s="193" t="s">
        <v>346</v>
      </c>
      <c r="D70" s="188">
        <f t="shared" ref="D70:D133" si="2">E70+L70</f>
        <v>5993</v>
      </c>
      <c r="E70" s="188">
        <f t="shared" si="1"/>
        <v>5993</v>
      </c>
      <c r="F70" s="188">
        <v>5846</v>
      </c>
      <c r="G70" s="188"/>
      <c r="H70" s="188">
        <v>147</v>
      </c>
      <c r="I70" s="188">
        <v>0</v>
      </c>
      <c r="J70" s="188"/>
      <c r="K70" s="188"/>
      <c r="L70" s="205"/>
    </row>
    <row r="71" spans="1:12" s="184" customFormat="1" ht="14.25" customHeight="1" x14ac:dyDescent="0.2">
      <c r="A71" s="185">
        <v>66</v>
      </c>
      <c r="B71" s="186" t="s">
        <v>206</v>
      </c>
      <c r="C71" s="193" t="s">
        <v>545</v>
      </c>
      <c r="D71" s="188">
        <f t="shared" si="2"/>
        <v>0</v>
      </c>
      <c r="E71" s="188">
        <f t="shared" ref="E71:E134" si="3">SUM(F71:K71)</f>
        <v>0</v>
      </c>
      <c r="F71" s="188">
        <v>0</v>
      </c>
      <c r="G71" s="188"/>
      <c r="H71" s="188"/>
      <c r="I71" s="188"/>
      <c r="J71" s="188"/>
      <c r="K71" s="188"/>
      <c r="L71" s="182"/>
    </row>
    <row r="72" spans="1:12" s="184" customFormat="1" ht="14.25" customHeight="1" x14ac:dyDescent="0.2">
      <c r="A72" s="185">
        <v>67</v>
      </c>
      <c r="B72" s="186" t="s">
        <v>208</v>
      </c>
      <c r="C72" s="193" t="s">
        <v>386</v>
      </c>
      <c r="D72" s="188">
        <f t="shared" si="2"/>
        <v>0</v>
      </c>
      <c r="E72" s="188">
        <f t="shared" si="3"/>
        <v>0</v>
      </c>
      <c r="F72" s="188">
        <v>0</v>
      </c>
      <c r="G72" s="188"/>
      <c r="H72" s="188"/>
      <c r="I72" s="188"/>
      <c r="J72" s="188"/>
      <c r="K72" s="188"/>
      <c r="L72" s="182"/>
    </row>
    <row r="73" spans="1:12" s="184" customFormat="1" ht="14.25" customHeight="1" x14ac:dyDescent="0.2">
      <c r="A73" s="185">
        <v>68</v>
      </c>
      <c r="B73" s="186" t="s">
        <v>210</v>
      </c>
      <c r="C73" s="193" t="s">
        <v>546</v>
      </c>
      <c r="D73" s="188">
        <f t="shared" si="2"/>
        <v>0</v>
      </c>
      <c r="E73" s="188">
        <f t="shared" si="3"/>
        <v>0</v>
      </c>
      <c r="F73" s="188">
        <v>0</v>
      </c>
      <c r="G73" s="188"/>
      <c r="H73" s="188"/>
      <c r="I73" s="188"/>
      <c r="J73" s="188"/>
      <c r="K73" s="188"/>
      <c r="L73" s="182"/>
    </row>
    <row r="74" spans="1:12" s="184" customFormat="1" ht="14.25" customHeight="1" x14ac:dyDescent="0.2">
      <c r="A74" s="185">
        <v>69</v>
      </c>
      <c r="B74" s="186" t="s">
        <v>212</v>
      </c>
      <c r="C74" s="193" t="s">
        <v>547</v>
      </c>
      <c r="D74" s="188">
        <f t="shared" si="2"/>
        <v>0</v>
      </c>
      <c r="E74" s="188">
        <f t="shared" si="3"/>
        <v>0</v>
      </c>
      <c r="F74" s="188">
        <v>0</v>
      </c>
      <c r="G74" s="188"/>
      <c r="H74" s="188"/>
      <c r="I74" s="188"/>
      <c r="J74" s="188"/>
      <c r="K74" s="188"/>
      <c r="L74" s="182"/>
    </row>
    <row r="75" spans="1:12" s="184" customFormat="1" ht="14.25" customHeight="1" x14ac:dyDescent="0.2">
      <c r="A75" s="185">
        <v>70</v>
      </c>
      <c r="B75" s="192" t="s">
        <v>214</v>
      </c>
      <c r="C75" s="193" t="s">
        <v>548</v>
      </c>
      <c r="D75" s="188">
        <f t="shared" si="2"/>
        <v>0</v>
      </c>
      <c r="E75" s="188">
        <f t="shared" si="3"/>
        <v>0</v>
      </c>
      <c r="F75" s="188">
        <v>0</v>
      </c>
      <c r="G75" s="188"/>
      <c r="H75" s="188"/>
      <c r="I75" s="188"/>
      <c r="J75" s="188"/>
      <c r="K75" s="188"/>
      <c r="L75" s="182"/>
    </row>
    <row r="76" spans="1:12" s="184" customFormat="1" ht="14.25" customHeight="1" x14ac:dyDescent="0.2">
      <c r="A76" s="185">
        <v>71</v>
      </c>
      <c r="B76" s="186" t="s">
        <v>216</v>
      </c>
      <c r="C76" s="191" t="s">
        <v>549</v>
      </c>
      <c r="D76" s="188">
        <f t="shared" si="2"/>
        <v>0</v>
      </c>
      <c r="E76" s="188">
        <f t="shared" si="3"/>
        <v>0</v>
      </c>
      <c r="F76" s="188">
        <v>0</v>
      </c>
      <c r="G76" s="188"/>
      <c r="H76" s="188"/>
      <c r="I76" s="188"/>
      <c r="J76" s="188"/>
      <c r="K76" s="188"/>
      <c r="L76" s="182"/>
    </row>
    <row r="77" spans="1:12" s="184" customFormat="1" ht="14.25" customHeight="1" x14ac:dyDescent="0.2">
      <c r="A77" s="185">
        <v>72</v>
      </c>
      <c r="B77" s="192" t="s">
        <v>218</v>
      </c>
      <c r="C77" s="193" t="s">
        <v>550</v>
      </c>
      <c r="D77" s="188">
        <f t="shared" si="2"/>
        <v>0</v>
      </c>
      <c r="E77" s="188">
        <f t="shared" si="3"/>
        <v>0</v>
      </c>
      <c r="F77" s="188">
        <v>0</v>
      </c>
      <c r="G77" s="188"/>
      <c r="H77" s="188"/>
      <c r="I77" s="188"/>
      <c r="J77" s="188"/>
      <c r="K77" s="188"/>
      <c r="L77" s="182"/>
    </row>
    <row r="78" spans="1:12" s="184" customFormat="1" ht="13.5" customHeight="1" x14ac:dyDescent="0.2">
      <c r="A78" s="185">
        <v>73</v>
      </c>
      <c r="B78" s="186" t="s">
        <v>148</v>
      </c>
      <c r="C78" s="193" t="s">
        <v>16</v>
      </c>
      <c r="D78" s="188">
        <f t="shared" si="2"/>
        <v>3701</v>
      </c>
      <c r="E78" s="188">
        <f t="shared" si="3"/>
        <v>3701</v>
      </c>
      <c r="F78" s="188">
        <v>3671</v>
      </c>
      <c r="G78" s="188"/>
      <c r="H78" s="188"/>
      <c r="I78" s="188"/>
      <c r="J78" s="188"/>
      <c r="K78" s="188">
        <v>30</v>
      </c>
      <c r="L78" s="182"/>
    </row>
    <row r="79" spans="1:12" s="184" customFormat="1" ht="13.5" customHeight="1" x14ac:dyDescent="0.2">
      <c r="A79" s="185">
        <v>74</v>
      </c>
      <c r="B79" s="192" t="s">
        <v>145</v>
      </c>
      <c r="C79" s="193" t="s">
        <v>347</v>
      </c>
      <c r="D79" s="188">
        <f t="shared" si="2"/>
        <v>8075</v>
      </c>
      <c r="E79" s="188">
        <f t="shared" si="3"/>
        <v>8075</v>
      </c>
      <c r="F79" s="188">
        <v>8057</v>
      </c>
      <c r="G79" s="188"/>
      <c r="H79" s="188"/>
      <c r="I79" s="188"/>
      <c r="J79" s="188"/>
      <c r="K79" s="188">
        <v>18</v>
      </c>
      <c r="L79" s="182"/>
    </row>
    <row r="80" spans="1:12" s="184" customFormat="1" ht="13.5" customHeight="1" x14ac:dyDescent="0.2">
      <c r="A80" s="185">
        <v>75</v>
      </c>
      <c r="B80" s="192" t="s">
        <v>146</v>
      </c>
      <c r="C80" s="193" t="s">
        <v>147</v>
      </c>
      <c r="D80" s="188">
        <f t="shared" si="2"/>
        <v>4811</v>
      </c>
      <c r="E80" s="188">
        <f t="shared" si="3"/>
        <v>4811</v>
      </c>
      <c r="F80" s="188">
        <v>4655</v>
      </c>
      <c r="G80" s="188"/>
      <c r="H80" s="188"/>
      <c r="I80" s="188"/>
      <c r="J80" s="188"/>
      <c r="K80" s="188">
        <v>156</v>
      </c>
      <c r="L80" s="182"/>
    </row>
    <row r="81" spans="1:12" s="184" customFormat="1" ht="13.5" customHeight="1" x14ac:dyDescent="0.2">
      <c r="A81" s="185">
        <v>76</v>
      </c>
      <c r="B81" s="206" t="s">
        <v>140</v>
      </c>
      <c r="C81" s="203" t="s">
        <v>141</v>
      </c>
      <c r="D81" s="188">
        <f t="shared" si="2"/>
        <v>1276</v>
      </c>
      <c r="E81" s="188">
        <f t="shared" si="3"/>
        <v>1276</v>
      </c>
      <c r="F81" s="188">
        <v>1276</v>
      </c>
      <c r="G81" s="188"/>
      <c r="H81" s="188"/>
      <c r="I81" s="188"/>
      <c r="J81" s="188"/>
      <c r="K81" s="188"/>
      <c r="L81" s="182"/>
    </row>
    <row r="82" spans="1:12" s="184" customFormat="1" ht="13.5" customHeight="1" x14ac:dyDescent="0.2">
      <c r="A82" s="185">
        <v>77</v>
      </c>
      <c r="B82" s="186" t="s">
        <v>142</v>
      </c>
      <c r="C82" s="193" t="s">
        <v>143</v>
      </c>
      <c r="D82" s="188">
        <f t="shared" si="2"/>
        <v>7855</v>
      </c>
      <c r="E82" s="188">
        <f t="shared" si="3"/>
        <v>7855</v>
      </c>
      <c r="F82" s="188">
        <v>7024</v>
      </c>
      <c r="G82" s="188"/>
      <c r="H82" s="188">
        <v>473</v>
      </c>
      <c r="I82" s="188"/>
      <c r="J82" s="188"/>
      <c r="K82" s="188">
        <v>358</v>
      </c>
      <c r="L82" s="182"/>
    </row>
    <row r="83" spans="1:12" s="184" customFormat="1" ht="13.5" customHeight="1" x14ac:dyDescent="0.2">
      <c r="A83" s="185">
        <v>78</v>
      </c>
      <c r="B83" s="186" t="s">
        <v>221</v>
      </c>
      <c r="C83" s="193" t="s">
        <v>222</v>
      </c>
      <c r="D83" s="188">
        <f t="shared" si="2"/>
        <v>1784</v>
      </c>
      <c r="E83" s="188">
        <f t="shared" si="3"/>
        <v>1784</v>
      </c>
      <c r="F83" s="188">
        <v>1639</v>
      </c>
      <c r="G83" s="188"/>
      <c r="H83" s="188"/>
      <c r="I83" s="188"/>
      <c r="J83" s="188"/>
      <c r="K83" s="188">
        <v>145</v>
      </c>
      <c r="L83" s="182"/>
    </row>
    <row r="84" spans="1:12" s="184" customFormat="1" ht="13.5" customHeight="1" x14ac:dyDescent="0.2">
      <c r="A84" s="185">
        <v>79</v>
      </c>
      <c r="B84" s="186" t="s">
        <v>144</v>
      </c>
      <c r="C84" s="193" t="s">
        <v>334</v>
      </c>
      <c r="D84" s="188">
        <f t="shared" si="2"/>
        <v>6026</v>
      </c>
      <c r="E84" s="188">
        <f t="shared" si="3"/>
        <v>6026</v>
      </c>
      <c r="F84" s="188">
        <v>5912</v>
      </c>
      <c r="G84" s="188"/>
      <c r="H84" s="188"/>
      <c r="I84" s="188"/>
      <c r="J84" s="188"/>
      <c r="K84" s="188">
        <v>114</v>
      </c>
      <c r="L84" s="182"/>
    </row>
    <row r="85" spans="1:12" s="184" customFormat="1" ht="13.5" customHeight="1" x14ac:dyDescent="0.2">
      <c r="A85" s="185">
        <v>80</v>
      </c>
      <c r="B85" s="186" t="s">
        <v>224</v>
      </c>
      <c r="C85" s="193" t="s">
        <v>225</v>
      </c>
      <c r="D85" s="188">
        <f t="shared" si="2"/>
        <v>677</v>
      </c>
      <c r="E85" s="188">
        <f t="shared" si="3"/>
        <v>677</v>
      </c>
      <c r="F85" s="188">
        <v>677</v>
      </c>
      <c r="G85" s="188"/>
      <c r="H85" s="188"/>
      <c r="I85" s="188"/>
      <c r="J85" s="188"/>
      <c r="K85" s="188"/>
      <c r="L85" s="182"/>
    </row>
    <row r="86" spans="1:12" s="184" customFormat="1" ht="13.5" customHeight="1" x14ac:dyDescent="0.2">
      <c r="A86" s="185">
        <v>81</v>
      </c>
      <c r="B86" s="186" t="s">
        <v>93</v>
      </c>
      <c r="C86" s="193" t="s">
        <v>551</v>
      </c>
      <c r="D86" s="188">
        <f t="shared" si="2"/>
        <v>0</v>
      </c>
      <c r="E86" s="188">
        <f t="shared" si="3"/>
        <v>0</v>
      </c>
      <c r="F86" s="188">
        <v>0</v>
      </c>
      <c r="G86" s="188"/>
      <c r="H86" s="188"/>
      <c r="I86" s="188"/>
      <c r="J86" s="188"/>
      <c r="K86" s="188"/>
      <c r="L86" s="182"/>
    </row>
    <row r="87" spans="1:12" s="184" customFormat="1" ht="13.5" customHeight="1" x14ac:dyDescent="0.2">
      <c r="A87" s="185">
        <v>82</v>
      </c>
      <c r="B87" s="186" t="s">
        <v>157</v>
      </c>
      <c r="C87" s="193" t="s">
        <v>17</v>
      </c>
      <c r="D87" s="188">
        <f t="shared" si="2"/>
        <v>0</v>
      </c>
      <c r="E87" s="188">
        <f t="shared" si="3"/>
        <v>0</v>
      </c>
      <c r="F87" s="188">
        <v>0</v>
      </c>
      <c r="G87" s="188"/>
      <c r="H87" s="188"/>
      <c r="I87" s="188"/>
      <c r="J87" s="188"/>
      <c r="K87" s="188"/>
      <c r="L87" s="182"/>
    </row>
    <row r="88" spans="1:12" s="184" customFormat="1" ht="14.25" customHeight="1" x14ac:dyDescent="0.2">
      <c r="A88" s="185">
        <v>83</v>
      </c>
      <c r="B88" s="192" t="s">
        <v>226</v>
      </c>
      <c r="C88" s="193" t="s">
        <v>552</v>
      </c>
      <c r="D88" s="188">
        <f t="shared" si="2"/>
        <v>0</v>
      </c>
      <c r="E88" s="188">
        <f t="shared" si="3"/>
        <v>0</v>
      </c>
      <c r="F88" s="188">
        <v>0</v>
      </c>
      <c r="G88" s="188"/>
      <c r="H88" s="188"/>
      <c r="I88" s="188"/>
      <c r="J88" s="188"/>
      <c r="K88" s="188"/>
      <c r="L88" s="182"/>
    </row>
    <row r="89" spans="1:12" s="184" customFormat="1" ht="13.5" customHeight="1" x14ac:dyDescent="0.2">
      <c r="A89" s="185">
        <v>84</v>
      </c>
      <c r="B89" s="186" t="s">
        <v>155</v>
      </c>
      <c r="C89" s="193" t="s">
        <v>156</v>
      </c>
      <c r="D89" s="188">
        <f t="shared" si="2"/>
        <v>123</v>
      </c>
      <c r="E89" s="188">
        <f t="shared" si="3"/>
        <v>123</v>
      </c>
      <c r="F89" s="188">
        <v>123</v>
      </c>
      <c r="G89" s="188"/>
      <c r="H89" s="188"/>
      <c r="I89" s="188"/>
      <c r="J89" s="188"/>
      <c r="K89" s="188"/>
      <c r="L89" s="182"/>
    </row>
    <row r="90" spans="1:12" s="184" customFormat="1" ht="13.5" customHeight="1" x14ac:dyDescent="0.2">
      <c r="A90" s="185">
        <v>85</v>
      </c>
      <c r="B90" s="192" t="s">
        <v>158</v>
      </c>
      <c r="C90" s="193" t="s">
        <v>228</v>
      </c>
      <c r="D90" s="188">
        <f t="shared" si="2"/>
        <v>1152</v>
      </c>
      <c r="E90" s="188">
        <f t="shared" si="3"/>
        <v>1152</v>
      </c>
      <c r="F90" s="188">
        <v>1060</v>
      </c>
      <c r="G90" s="188"/>
      <c r="H90" s="188"/>
      <c r="I90" s="188"/>
      <c r="J90" s="188"/>
      <c r="K90" s="188">
        <v>92</v>
      </c>
      <c r="L90" s="182"/>
    </row>
    <row r="91" spans="1:12" s="184" customFormat="1" ht="13.5" customHeight="1" x14ac:dyDescent="0.2">
      <c r="A91" s="185">
        <v>86</v>
      </c>
      <c r="B91" s="194" t="s">
        <v>95</v>
      </c>
      <c r="C91" s="195" t="s">
        <v>27</v>
      </c>
      <c r="D91" s="188">
        <f t="shared" si="2"/>
        <v>964</v>
      </c>
      <c r="E91" s="188">
        <f t="shared" si="3"/>
        <v>964</v>
      </c>
      <c r="F91" s="188">
        <v>964</v>
      </c>
      <c r="G91" s="188"/>
      <c r="H91" s="188"/>
      <c r="I91" s="188"/>
      <c r="J91" s="188"/>
      <c r="K91" s="188"/>
      <c r="L91" s="182"/>
    </row>
    <row r="92" spans="1:12" s="184" customFormat="1" ht="13.5" customHeight="1" x14ac:dyDescent="0.2">
      <c r="A92" s="185">
        <v>87</v>
      </c>
      <c r="B92" s="186" t="s">
        <v>138</v>
      </c>
      <c r="C92" s="193" t="s">
        <v>32</v>
      </c>
      <c r="D92" s="188">
        <f t="shared" si="2"/>
        <v>1020</v>
      </c>
      <c r="E92" s="188">
        <f t="shared" si="3"/>
        <v>1020</v>
      </c>
      <c r="F92" s="188">
        <v>1020</v>
      </c>
      <c r="G92" s="188"/>
      <c r="H92" s="188"/>
      <c r="I92" s="188"/>
      <c r="J92" s="188"/>
      <c r="K92" s="188"/>
      <c r="L92" s="182"/>
    </row>
    <row r="93" spans="1:12" s="184" customFormat="1" ht="13.5" customHeight="1" x14ac:dyDescent="0.2">
      <c r="A93" s="185">
        <v>88</v>
      </c>
      <c r="B93" s="186" t="s">
        <v>96</v>
      </c>
      <c r="C93" s="193" t="s">
        <v>18</v>
      </c>
      <c r="D93" s="188">
        <f t="shared" si="2"/>
        <v>2721</v>
      </c>
      <c r="E93" s="188">
        <f t="shared" si="3"/>
        <v>2721</v>
      </c>
      <c r="F93" s="188">
        <v>2721</v>
      </c>
      <c r="G93" s="188"/>
      <c r="H93" s="188"/>
      <c r="I93" s="188"/>
      <c r="J93" s="188"/>
      <c r="K93" s="188"/>
      <c r="L93" s="182"/>
    </row>
    <row r="94" spans="1:12" s="184" customFormat="1" ht="13.5" customHeight="1" x14ac:dyDescent="0.2">
      <c r="A94" s="185">
        <v>89</v>
      </c>
      <c r="B94" s="194" t="s">
        <v>139</v>
      </c>
      <c r="C94" s="195" t="s">
        <v>19</v>
      </c>
      <c r="D94" s="188">
        <f t="shared" si="2"/>
        <v>1176</v>
      </c>
      <c r="E94" s="188">
        <f t="shared" si="3"/>
        <v>1176</v>
      </c>
      <c r="F94" s="188">
        <v>1176</v>
      </c>
      <c r="G94" s="188"/>
      <c r="H94" s="188"/>
      <c r="I94" s="188"/>
      <c r="J94" s="188"/>
      <c r="K94" s="188"/>
      <c r="L94" s="182"/>
    </row>
    <row r="95" spans="1:12" s="184" customFormat="1" ht="13.5" customHeight="1" x14ac:dyDescent="0.2">
      <c r="A95" s="185">
        <v>90</v>
      </c>
      <c r="B95" s="186" t="s">
        <v>97</v>
      </c>
      <c r="C95" s="193" t="s">
        <v>34</v>
      </c>
      <c r="D95" s="188">
        <f t="shared" si="2"/>
        <v>1437</v>
      </c>
      <c r="E95" s="188">
        <f t="shared" si="3"/>
        <v>1437</v>
      </c>
      <c r="F95" s="188">
        <v>1437</v>
      </c>
      <c r="G95" s="188"/>
      <c r="H95" s="188"/>
      <c r="I95" s="188"/>
      <c r="J95" s="188"/>
      <c r="K95" s="188"/>
      <c r="L95" s="182"/>
    </row>
    <row r="96" spans="1:12" s="184" customFormat="1" ht="13.5" customHeight="1" x14ac:dyDescent="0.2">
      <c r="A96" s="185">
        <v>91</v>
      </c>
      <c r="B96" s="194" t="s">
        <v>98</v>
      </c>
      <c r="C96" s="195" t="s">
        <v>42</v>
      </c>
      <c r="D96" s="188">
        <f t="shared" si="2"/>
        <v>2948</v>
      </c>
      <c r="E96" s="188">
        <f t="shared" si="3"/>
        <v>2948</v>
      </c>
      <c r="F96" s="188">
        <v>2948</v>
      </c>
      <c r="G96" s="188"/>
      <c r="H96" s="188"/>
      <c r="I96" s="188"/>
      <c r="J96" s="188"/>
      <c r="K96" s="188"/>
      <c r="L96" s="182"/>
    </row>
    <row r="97" spans="1:12" s="184" customFormat="1" ht="13.5" customHeight="1" x14ac:dyDescent="0.2">
      <c r="A97" s="185">
        <v>92</v>
      </c>
      <c r="B97" s="186" t="s">
        <v>99</v>
      </c>
      <c r="C97" s="193" t="s">
        <v>46</v>
      </c>
      <c r="D97" s="188">
        <f t="shared" si="2"/>
        <v>2458</v>
      </c>
      <c r="E97" s="188">
        <f t="shared" si="3"/>
        <v>2458</v>
      </c>
      <c r="F97" s="188">
        <v>2458</v>
      </c>
      <c r="G97" s="188"/>
      <c r="H97" s="188"/>
      <c r="I97" s="188"/>
      <c r="J97" s="188"/>
      <c r="K97" s="188"/>
      <c r="L97" s="182"/>
    </row>
    <row r="98" spans="1:12" s="184" customFormat="1" ht="13.5" customHeight="1" x14ac:dyDescent="0.2">
      <c r="A98" s="185">
        <v>93</v>
      </c>
      <c r="B98" s="192" t="s">
        <v>149</v>
      </c>
      <c r="C98" s="193" t="s">
        <v>47</v>
      </c>
      <c r="D98" s="188">
        <f t="shared" si="2"/>
        <v>873</v>
      </c>
      <c r="E98" s="188">
        <f t="shared" si="3"/>
        <v>873</v>
      </c>
      <c r="F98" s="188">
        <v>873</v>
      </c>
      <c r="G98" s="188"/>
      <c r="H98" s="188"/>
      <c r="I98" s="188"/>
      <c r="J98" s="188"/>
      <c r="K98" s="188"/>
      <c r="L98" s="182"/>
    </row>
    <row r="99" spans="1:12" s="184" customFormat="1" ht="13.5" customHeight="1" x14ac:dyDescent="0.2">
      <c r="A99" s="185">
        <v>94</v>
      </c>
      <c r="B99" s="186" t="s">
        <v>100</v>
      </c>
      <c r="C99" s="191" t="s">
        <v>50</v>
      </c>
      <c r="D99" s="188">
        <f t="shared" si="2"/>
        <v>1435</v>
      </c>
      <c r="E99" s="188">
        <f t="shared" si="3"/>
        <v>1435</v>
      </c>
      <c r="F99" s="188">
        <v>1435</v>
      </c>
      <c r="G99" s="188"/>
      <c r="H99" s="188"/>
      <c r="I99" s="188"/>
      <c r="J99" s="188"/>
      <c r="K99" s="188"/>
      <c r="L99" s="182"/>
    </row>
    <row r="100" spans="1:12" s="184" customFormat="1" ht="13.5" customHeight="1" x14ac:dyDescent="0.2">
      <c r="A100" s="185">
        <v>95</v>
      </c>
      <c r="B100" s="186" t="s">
        <v>150</v>
      </c>
      <c r="C100" s="195" t="s">
        <v>51</v>
      </c>
      <c r="D100" s="188">
        <f t="shared" si="2"/>
        <v>1360</v>
      </c>
      <c r="E100" s="188">
        <f t="shared" si="3"/>
        <v>1360</v>
      </c>
      <c r="F100" s="188">
        <v>1360</v>
      </c>
      <c r="G100" s="188"/>
      <c r="H100" s="188"/>
      <c r="I100" s="188"/>
      <c r="J100" s="188"/>
      <c r="K100" s="188"/>
      <c r="L100" s="182"/>
    </row>
    <row r="101" spans="1:12" s="184" customFormat="1" ht="13.5" customHeight="1" x14ac:dyDescent="0.2">
      <c r="A101" s="185">
        <v>96</v>
      </c>
      <c r="B101" s="192" t="s">
        <v>101</v>
      </c>
      <c r="C101" s="193" t="s">
        <v>20</v>
      </c>
      <c r="D101" s="188">
        <f t="shared" si="2"/>
        <v>1588</v>
      </c>
      <c r="E101" s="188">
        <f t="shared" si="3"/>
        <v>1588</v>
      </c>
      <c r="F101" s="188">
        <v>1539</v>
      </c>
      <c r="G101" s="188"/>
      <c r="H101" s="188">
        <v>21</v>
      </c>
      <c r="I101" s="188"/>
      <c r="J101" s="188">
        <v>8</v>
      </c>
      <c r="K101" s="188">
        <v>20</v>
      </c>
      <c r="L101" s="182"/>
    </row>
    <row r="102" spans="1:12" s="184" customFormat="1" ht="13.5" customHeight="1" x14ac:dyDescent="0.2">
      <c r="A102" s="185">
        <v>97</v>
      </c>
      <c r="B102" s="186" t="s">
        <v>102</v>
      </c>
      <c r="C102" s="207" t="s">
        <v>55</v>
      </c>
      <c r="D102" s="188">
        <f t="shared" si="2"/>
        <v>1080</v>
      </c>
      <c r="E102" s="188">
        <f t="shared" si="3"/>
        <v>1080</v>
      </c>
      <c r="F102" s="188">
        <v>1080</v>
      </c>
      <c r="G102" s="188"/>
      <c r="H102" s="188"/>
      <c r="I102" s="188"/>
      <c r="J102" s="188"/>
      <c r="K102" s="188"/>
      <c r="L102" s="182"/>
    </row>
    <row r="103" spans="1:12" s="184" customFormat="1" ht="13.5" customHeight="1" x14ac:dyDescent="0.2">
      <c r="A103" s="185">
        <v>98</v>
      </c>
      <c r="B103" s="192" t="s">
        <v>103</v>
      </c>
      <c r="C103" s="193" t="s">
        <v>60</v>
      </c>
      <c r="D103" s="188">
        <f t="shared" si="2"/>
        <v>1562</v>
      </c>
      <c r="E103" s="188">
        <f t="shared" si="3"/>
        <v>1562</v>
      </c>
      <c r="F103" s="188">
        <v>1556</v>
      </c>
      <c r="G103" s="188"/>
      <c r="H103" s="188"/>
      <c r="I103" s="188"/>
      <c r="J103" s="188">
        <v>6</v>
      </c>
      <c r="K103" s="188"/>
      <c r="L103" s="182"/>
    </row>
    <row r="104" spans="1:12" s="184" customFormat="1" ht="13.5" customHeight="1" x14ac:dyDescent="0.2">
      <c r="A104" s="185">
        <v>99</v>
      </c>
      <c r="B104" s="192" t="s">
        <v>104</v>
      </c>
      <c r="C104" s="193" t="s">
        <v>21</v>
      </c>
      <c r="D104" s="188">
        <f t="shared" si="2"/>
        <v>2679</v>
      </c>
      <c r="E104" s="188">
        <f t="shared" si="3"/>
        <v>2679</v>
      </c>
      <c r="F104" s="188">
        <v>2674</v>
      </c>
      <c r="G104" s="188"/>
      <c r="H104" s="188"/>
      <c r="I104" s="188"/>
      <c r="J104" s="188">
        <v>5</v>
      </c>
      <c r="K104" s="188"/>
      <c r="L104" s="182"/>
    </row>
    <row r="105" spans="1:12" s="184" customFormat="1" ht="13.5" customHeight="1" x14ac:dyDescent="0.2">
      <c r="A105" s="185">
        <v>100</v>
      </c>
      <c r="B105" s="186" t="s">
        <v>105</v>
      </c>
      <c r="C105" s="195" t="s">
        <v>62</v>
      </c>
      <c r="D105" s="188">
        <f t="shared" si="2"/>
        <v>1193</v>
      </c>
      <c r="E105" s="188">
        <f t="shared" si="3"/>
        <v>1193</v>
      </c>
      <c r="F105" s="188">
        <v>1193</v>
      </c>
      <c r="G105" s="188"/>
      <c r="H105" s="188"/>
      <c r="I105" s="188"/>
      <c r="J105" s="188"/>
      <c r="K105" s="188"/>
      <c r="L105" s="182"/>
    </row>
    <row r="106" spans="1:12" s="184" customFormat="1" ht="13.5" customHeight="1" x14ac:dyDescent="0.2">
      <c r="A106" s="185">
        <v>101</v>
      </c>
      <c r="B106" s="186" t="s">
        <v>229</v>
      </c>
      <c r="C106" s="191" t="s">
        <v>230</v>
      </c>
      <c r="D106" s="188">
        <f t="shared" si="2"/>
        <v>0</v>
      </c>
      <c r="E106" s="188">
        <f t="shared" si="3"/>
        <v>0</v>
      </c>
      <c r="F106" s="188">
        <v>0</v>
      </c>
      <c r="G106" s="188"/>
      <c r="H106" s="188"/>
      <c r="I106" s="188"/>
      <c r="J106" s="188"/>
      <c r="K106" s="188"/>
      <c r="L106" s="182"/>
    </row>
    <row r="107" spans="1:12" s="184" customFormat="1" ht="13.5" customHeight="1" x14ac:dyDescent="0.2">
      <c r="A107" s="185">
        <v>102</v>
      </c>
      <c r="B107" s="186" t="s">
        <v>231</v>
      </c>
      <c r="C107" s="191" t="s">
        <v>232</v>
      </c>
      <c r="D107" s="188">
        <f t="shared" si="2"/>
        <v>597</v>
      </c>
      <c r="E107" s="188">
        <f t="shared" si="3"/>
        <v>597</v>
      </c>
      <c r="F107" s="188">
        <v>0</v>
      </c>
      <c r="G107" s="188"/>
      <c r="H107" s="188"/>
      <c r="I107" s="188">
        <v>597</v>
      </c>
      <c r="J107" s="188"/>
      <c r="K107" s="188"/>
      <c r="L107" s="182"/>
    </row>
    <row r="108" spans="1:12" s="184" customFormat="1" ht="13.5" customHeight="1" x14ac:dyDescent="0.2">
      <c r="A108" s="185">
        <v>103</v>
      </c>
      <c r="B108" s="186" t="s">
        <v>233</v>
      </c>
      <c r="C108" s="191" t="s">
        <v>234</v>
      </c>
      <c r="D108" s="188">
        <f t="shared" si="2"/>
        <v>0</v>
      </c>
      <c r="E108" s="188">
        <f t="shared" si="3"/>
        <v>0</v>
      </c>
      <c r="F108" s="188">
        <v>0</v>
      </c>
      <c r="G108" s="188"/>
      <c r="H108" s="188"/>
      <c r="I108" s="188"/>
      <c r="J108" s="188"/>
      <c r="K108" s="188"/>
      <c r="L108" s="182"/>
    </row>
    <row r="109" spans="1:12" s="184" customFormat="1" ht="13.5" customHeight="1" x14ac:dyDescent="0.2">
      <c r="A109" s="185">
        <v>104</v>
      </c>
      <c r="B109" s="192" t="s">
        <v>235</v>
      </c>
      <c r="C109" s="193" t="s">
        <v>236</v>
      </c>
      <c r="D109" s="188">
        <f t="shared" si="2"/>
        <v>5</v>
      </c>
      <c r="E109" s="188">
        <f t="shared" si="3"/>
        <v>5</v>
      </c>
      <c r="F109" s="188">
        <v>5</v>
      </c>
      <c r="G109" s="188"/>
      <c r="H109" s="188"/>
      <c r="I109" s="188"/>
      <c r="J109" s="188"/>
      <c r="K109" s="188"/>
      <c r="L109" s="182"/>
    </row>
    <row r="110" spans="1:12" s="184" customFormat="1" ht="13.5" customHeight="1" x14ac:dyDescent="0.2">
      <c r="A110" s="185">
        <v>105</v>
      </c>
      <c r="B110" s="194" t="s">
        <v>237</v>
      </c>
      <c r="C110" s="195" t="s">
        <v>238</v>
      </c>
      <c r="D110" s="188">
        <f t="shared" si="2"/>
        <v>5</v>
      </c>
      <c r="E110" s="188">
        <f t="shared" si="3"/>
        <v>5</v>
      </c>
      <c r="F110" s="188">
        <v>5</v>
      </c>
      <c r="G110" s="188"/>
      <c r="H110" s="188"/>
      <c r="I110" s="188"/>
      <c r="J110" s="188"/>
      <c r="K110" s="188"/>
      <c r="L110" s="182"/>
    </row>
    <row r="111" spans="1:12" s="184" customFormat="1" ht="13.5" customHeight="1" x14ac:dyDescent="0.2">
      <c r="A111" s="185">
        <v>106</v>
      </c>
      <c r="B111" s="186" t="s">
        <v>239</v>
      </c>
      <c r="C111" s="191" t="s">
        <v>240</v>
      </c>
      <c r="D111" s="188">
        <f t="shared" si="2"/>
        <v>5</v>
      </c>
      <c r="E111" s="188">
        <f t="shared" si="3"/>
        <v>5</v>
      </c>
      <c r="F111" s="188">
        <v>5</v>
      </c>
      <c r="G111" s="188"/>
      <c r="H111" s="188"/>
      <c r="I111" s="188"/>
      <c r="J111" s="188"/>
      <c r="K111" s="188"/>
      <c r="L111" s="182"/>
    </row>
    <row r="112" spans="1:12" s="184" customFormat="1" ht="13.5" customHeight="1" x14ac:dyDescent="0.2">
      <c r="A112" s="185">
        <v>107</v>
      </c>
      <c r="B112" s="186" t="s">
        <v>241</v>
      </c>
      <c r="C112" s="191" t="s">
        <v>242</v>
      </c>
      <c r="D112" s="188">
        <f t="shared" si="2"/>
        <v>0</v>
      </c>
      <c r="E112" s="188">
        <f t="shared" si="3"/>
        <v>0</v>
      </c>
      <c r="F112" s="188">
        <v>0</v>
      </c>
      <c r="G112" s="188"/>
      <c r="H112" s="188"/>
      <c r="I112" s="188"/>
      <c r="J112" s="188"/>
      <c r="K112" s="188"/>
      <c r="L112" s="182"/>
    </row>
    <row r="113" spans="1:12" s="184" customFormat="1" ht="13.5" customHeight="1" x14ac:dyDescent="0.2">
      <c r="A113" s="185">
        <v>108</v>
      </c>
      <c r="B113" s="192" t="s">
        <v>243</v>
      </c>
      <c r="C113" s="193" t="s">
        <v>244</v>
      </c>
      <c r="D113" s="188">
        <f t="shared" si="2"/>
        <v>390</v>
      </c>
      <c r="E113" s="188">
        <f t="shared" si="3"/>
        <v>390</v>
      </c>
      <c r="F113" s="188">
        <v>390</v>
      </c>
      <c r="G113" s="188"/>
      <c r="H113" s="188"/>
      <c r="I113" s="188"/>
      <c r="J113" s="188"/>
      <c r="K113" s="188"/>
      <c r="L113" s="182"/>
    </row>
    <row r="114" spans="1:12" s="184" customFormat="1" ht="13.5" customHeight="1" x14ac:dyDescent="0.2">
      <c r="A114" s="185">
        <v>109</v>
      </c>
      <c r="B114" s="192" t="s">
        <v>245</v>
      </c>
      <c r="C114" s="193" t="s">
        <v>246</v>
      </c>
      <c r="D114" s="188">
        <f t="shared" si="2"/>
        <v>0</v>
      </c>
      <c r="E114" s="188">
        <f t="shared" si="3"/>
        <v>0</v>
      </c>
      <c r="F114" s="188">
        <v>0</v>
      </c>
      <c r="G114" s="188"/>
      <c r="H114" s="188"/>
      <c r="I114" s="188"/>
      <c r="J114" s="188"/>
      <c r="K114" s="188"/>
      <c r="L114" s="182"/>
    </row>
    <row r="115" spans="1:12" s="184" customFormat="1" ht="13.5" customHeight="1" x14ac:dyDescent="0.2">
      <c r="A115" s="185">
        <v>110</v>
      </c>
      <c r="B115" s="10" t="s">
        <v>2270</v>
      </c>
      <c r="C115" s="191" t="s">
        <v>247</v>
      </c>
      <c r="D115" s="188">
        <f t="shared" si="2"/>
        <v>0</v>
      </c>
      <c r="E115" s="188">
        <f t="shared" si="3"/>
        <v>0</v>
      </c>
      <c r="F115" s="188">
        <v>0</v>
      </c>
      <c r="G115" s="188"/>
      <c r="H115" s="188"/>
      <c r="I115" s="188"/>
      <c r="J115" s="188"/>
      <c r="K115" s="188"/>
      <c r="L115" s="182"/>
    </row>
    <row r="116" spans="1:12" s="184" customFormat="1" ht="13.5" customHeight="1" x14ac:dyDescent="0.2">
      <c r="A116" s="185">
        <v>111</v>
      </c>
      <c r="B116" s="186" t="s">
        <v>248</v>
      </c>
      <c r="C116" s="191" t="s">
        <v>249</v>
      </c>
      <c r="D116" s="188">
        <f t="shared" si="2"/>
        <v>319</v>
      </c>
      <c r="E116" s="188">
        <f t="shared" si="3"/>
        <v>319</v>
      </c>
      <c r="F116" s="188">
        <v>0</v>
      </c>
      <c r="G116" s="188"/>
      <c r="H116" s="188">
        <v>40</v>
      </c>
      <c r="I116" s="188">
        <v>279</v>
      </c>
      <c r="J116" s="188"/>
      <c r="K116" s="188"/>
      <c r="L116" s="182"/>
    </row>
    <row r="117" spans="1:12" s="184" customFormat="1" ht="13.5" customHeight="1" x14ac:dyDescent="0.2">
      <c r="A117" s="185">
        <v>112</v>
      </c>
      <c r="B117" s="186" t="s">
        <v>250</v>
      </c>
      <c r="C117" s="193" t="s">
        <v>251</v>
      </c>
      <c r="D117" s="188">
        <f t="shared" si="2"/>
        <v>0</v>
      </c>
      <c r="E117" s="188">
        <f t="shared" si="3"/>
        <v>0</v>
      </c>
      <c r="F117" s="188">
        <v>0</v>
      </c>
      <c r="G117" s="188"/>
      <c r="H117" s="188"/>
      <c r="I117" s="188"/>
      <c r="J117" s="188"/>
      <c r="K117" s="188"/>
      <c r="L117" s="182"/>
    </row>
    <row r="118" spans="1:12" s="184" customFormat="1" ht="13.5" customHeight="1" x14ac:dyDescent="0.2">
      <c r="A118" s="185">
        <v>113</v>
      </c>
      <c r="B118" s="186" t="s">
        <v>252</v>
      </c>
      <c r="C118" s="191" t="s">
        <v>253</v>
      </c>
      <c r="D118" s="188">
        <f t="shared" si="2"/>
        <v>97</v>
      </c>
      <c r="E118" s="188">
        <f t="shared" si="3"/>
        <v>97</v>
      </c>
      <c r="F118" s="188">
        <v>0</v>
      </c>
      <c r="G118" s="188"/>
      <c r="H118" s="188"/>
      <c r="I118" s="188">
        <v>97</v>
      </c>
      <c r="J118" s="188"/>
      <c r="K118" s="188"/>
      <c r="L118" s="182"/>
    </row>
    <row r="119" spans="1:12" s="184" customFormat="1" ht="15" customHeight="1" x14ac:dyDescent="0.2">
      <c r="A119" s="185">
        <v>114</v>
      </c>
      <c r="B119" s="192" t="s">
        <v>254</v>
      </c>
      <c r="C119" s="193" t="s">
        <v>255</v>
      </c>
      <c r="D119" s="188">
        <f t="shared" si="2"/>
        <v>5</v>
      </c>
      <c r="E119" s="188">
        <f t="shared" si="3"/>
        <v>5</v>
      </c>
      <c r="F119" s="188">
        <v>5</v>
      </c>
      <c r="G119" s="188"/>
      <c r="H119" s="188"/>
      <c r="I119" s="188"/>
      <c r="J119" s="188"/>
      <c r="K119" s="188"/>
      <c r="L119" s="182"/>
    </row>
    <row r="120" spans="1:12" s="184" customFormat="1" ht="13.5" customHeight="1" x14ac:dyDescent="0.2">
      <c r="A120" s="185">
        <v>115</v>
      </c>
      <c r="B120" s="192" t="s">
        <v>256</v>
      </c>
      <c r="C120" s="193" t="s">
        <v>257</v>
      </c>
      <c r="D120" s="188">
        <f t="shared" si="2"/>
        <v>0</v>
      </c>
      <c r="E120" s="188">
        <f t="shared" si="3"/>
        <v>0</v>
      </c>
      <c r="F120" s="188">
        <v>0</v>
      </c>
      <c r="G120" s="188"/>
      <c r="H120" s="188"/>
      <c r="I120" s="188"/>
      <c r="J120" s="188"/>
      <c r="K120" s="188"/>
      <c r="L120" s="182"/>
    </row>
    <row r="121" spans="1:12" s="184" customFormat="1" ht="13.5" customHeight="1" x14ac:dyDescent="0.2">
      <c r="A121" s="185">
        <v>116</v>
      </c>
      <c r="B121" s="192" t="s">
        <v>258</v>
      </c>
      <c r="C121" s="193" t="s">
        <v>335</v>
      </c>
      <c r="D121" s="188">
        <f t="shared" si="2"/>
        <v>5</v>
      </c>
      <c r="E121" s="188">
        <f t="shared" si="3"/>
        <v>5</v>
      </c>
      <c r="F121" s="188">
        <v>5</v>
      </c>
      <c r="G121" s="188"/>
      <c r="H121" s="188"/>
      <c r="I121" s="188"/>
      <c r="J121" s="188"/>
      <c r="K121" s="188"/>
      <c r="L121" s="182"/>
    </row>
    <row r="122" spans="1:12" s="184" customFormat="1" ht="13.5" customHeight="1" x14ac:dyDescent="0.2">
      <c r="A122" s="185">
        <v>117</v>
      </c>
      <c r="B122" s="192" t="s">
        <v>260</v>
      </c>
      <c r="C122" s="193" t="s">
        <v>261</v>
      </c>
      <c r="D122" s="188">
        <f t="shared" si="2"/>
        <v>0</v>
      </c>
      <c r="E122" s="188">
        <f t="shared" si="3"/>
        <v>0</v>
      </c>
      <c r="F122" s="188">
        <v>0</v>
      </c>
      <c r="G122" s="188"/>
      <c r="H122" s="188"/>
      <c r="I122" s="188"/>
      <c r="J122" s="188"/>
      <c r="K122" s="188"/>
      <c r="L122" s="182"/>
    </row>
    <row r="123" spans="1:12" s="184" customFormat="1" ht="13.5" customHeight="1" x14ac:dyDescent="0.2">
      <c r="A123" s="185">
        <v>118</v>
      </c>
      <c r="B123" s="192" t="s">
        <v>262</v>
      </c>
      <c r="C123" s="193" t="s">
        <v>263</v>
      </c>
      <c r="D123" s="188">
        <f t="shared" si="2"/>
        <v>0</v>
      </c>
      <c r="E123" s="188">
        <f t="shared" si="3"/>
        <v>0</v>
      </c>
      <c r="F123" s="188">
        <v>0</v>
      </c>
      <c r="G123" s="188"/>
      <c r="H123" s="188"/>
      <c r="I123" s="188"/>
      <c r="J123" s="188"/>
      <c r="K123" s="188"/>
      <c r="L123" s="182"/>
    </row>
    <row r="124" spans="1:12" s="184" customFormat="1" ht="13.5" customHeight="1" x14ac:dyDescent="0.2">
      <c r="A124" s="185">
        <v>119</v>
      </c>
      <c r="B124" s="192" t="s">
        <v>264</v>
      </c>
      <c r="C124" s="193" t="s">
        <v>265</v>
      </c>
      <c r="D124" s="188">
        <f t="shared" si="2"/>
        <v>0</v>
      </c>
      <c r="E124" s="188">
        <f t="shared" si="3"/>
        <v>0</v>
      </c>
      <c r="F124" s="188">
        <v>0</v>
      </c>
      <c r="G124" s="188"/>
      <c r="H124" s="188"/>
      <c r="I124" s="188"/>
      <c r="J124" s="188"/>
      <c r="K124" s="188"/>
      <c r="L124" s="182"/>
    </row>
    <row r="125" spans="1:12" s="184" customFormat="1" ht="13.5" customHeight="1" x14ac:dyDescent="0.2">
      <c r="A125" s="185">
        <v>120</v>
      </c>
      <c r="B125" s="208" t="s">
        <v>266</v>
      </c>
      <c r="C125" s="213" t="s">
        <v>267</v>
      </c>
      <c r="D125" s="188">
        <f t="shared" si="2"/>
        <v>307</v>
      </c>
      <c r="E125" s="188">
        <f t="shared" si="3"/>
        <v>307</v>
      </c>
      <c r="F125" s="188">
        <v>0</v>
      </c>
      <c r="G125" s="188"/>
      <c r="H125" s="188"/>
      <c r="I125" s="188">
        <v>307</v>
      </c>
      <c r="J125" s="188"/>
      <c r="K125" s="188"/>
      <c r="L125" s="182"/>
    </row>
    <row r="126" spans="1:12" s="184" customFormat="1" ht="13.5" customHeight="1" x14ac:dyDescent="0.2">
      <c r="A126" s="185">
        <v>121</v>
      </c>
      <c r="B126" s="186" t="s">
        <v>268</v>
      </c>
      <c r="C126" s="191" t="s">
        <v>269</v>
      </c>
      <c r="D126" s="188">
        <f t="shared" si="2"/>
        <v>0</v>
      </c>
      <c r="E126" s="188">
        <f t="shared" si="3"/>
        <v>0</v>
      </c>
      <c r="F126" s="188">
        <v>0</v>
      </c>
      <c r="G126" s="188"/>
      <c r="H126" s="188"/>
      <c r="I126" s="188"/>
      <c r="J126" s="188"/>
      <c r="K126" s="188"/>
      <c r="L126" s="182"/>
    </row>
    <row r="127" spans="1:12" s="184" customFormat="1" ht="13.5" customHeight="1" x14ac:dyDescent="0.2">
      <c r="A127" s="185">
        <v>122</v>
      </c>
      <c r="B127" s="192" t="s">
        <v>270</v>
      </c>
      <c r="C127" s="193" t="s">
        <v>271</v>
      </c>
      <c r="D127" s="188">
        <f t="shared" si="2"/>
        <v>5</v>
      </c>
      <c r="E127" s="188">
        <f t="shared" si="3"/>
        <v>5</v>
      </c>
      <c r="F127" s="188">
        <v>5</v>
      </c>
      <c r="G127" s="188"/>
      <c r="H127" s="188"/>
      <c r="I127" s="188"/>
      <c r="J127" s="188"/>
      <c r="K127" s="188"/>
      <c r="L127" s="182"/>
    </row>
    <row r="128" spans="1:12" s="184" customFormat="1" ht="13.5" customHeight="1" x14ac:dyDescent="0.2">
      <c r="A128" s="185">
        <v>123</v>
      </c>
      <c r="B128" s="186" t="s">
        <v>272</v>
      </c>
      <c r="C128" s="193" t="s">
        <v>273</v>
      </c>
      <c r="D128" s="188">
        <f t="shared" si="2"/>
        <v>1198</v>
      </c>
      <c r="E128" s="188">
        <f t="shared" si="3"/>
        <v>1198</v>
      </c>
      <c r="F128" s="188">
        <v>1198</v>
      </c>
      <c r="G128" s="188"/>
      <c r="H128" s="188"/>
      <c r="I128" s="188"/>
      <c r="J128" s="188"/>
      <c r="K128" s="188"/>
      <c r="L128" s="182"/>
    </row>
    <row r="129" spans="1:12" s="184" customFormat="1" ht="13.5" customHeight="1" x14ac:dyDescent="0.2">
      <c r="A129" s="185">
        <v>124</v>
      </c>
      <c r="B129" s="192" t="s">
        <v>161</v>
      </c>
      <c r="C129" s="193" t="s">
        <v>274</v>
      </c>
      <c r="D129" s="188">
        <f t="shared" si="2"/>
        <v>28656</v>
      </c>
      <c r="E129" s="188">
        <f t="shared" si="3"/>
        <v>28656</v>
      </c>
      <c r="F129" s="188">
        <v>0</v>
      </c>
      <c r="G129" s="188"/>
      <c r="H129" s="188">
        <v>28656</v>
      </c>
      <c r="I129" s="188"/>
      <c r="J129" s="188"/>
      <c r="K129" s="188"/>
      <c r="L129" s="182"/>
    </row>
    <row r="130" spans="1:12" s="184" customFormat="1" ht="13.5" customHeight="1" x14ac:dyDescent="0.2">
      <c r="A130" s="185">
        <v>125</v>
      </c>
      <c r="B130" s="192" t="s">
        <v>275</v>
      </c>
      <c r="C130" s="193" t="s">
        <v>276</v>
      </c>
      <c r="D130" s="188">
        <f t="shared" si="2"/>
        <v>350</v>
      </c>
      <c r="E130" s="188">
        <f t="shared" si="3"/>
        <v>350</v>
      </c>
      <c r="F130" s="188">
        <v>350</v>
      </c>
      <c r="G130" s="188"/>
      <c r="H130" s="188"/>
      <c r="I130" s="188"/>
      <c r="J130" s="188"/>
      <c r="K130" s="188"/>
      <c r="L130" s="182"/>
    </row>
    <row r="131" spans="1:12" s="184" customFormat="1" ht="13.5" customHeight="1" x14ac:dyDescent="0.2">
      <c r="A131" s="185">
        <v>126</v>
      </c>
      <c r="B131" s="186" t="s">
        <v>277</v>
      </c>
      <c r="C131" s="193" t="s">
        <v>2</v>
      </c>
      <c r="D131" s="188">
        <f t="shared" si="2"/>
        <v>2796</v>
      </c>
      <c r="E131" s="188">
        <f t="shared" si="3"/>
        <v>2796</v>
      </c>
      <c r="F131" s="188">
        <v>2240</v>
      </c>
      <c r="G131" s="188"/>
      <c r="H131" s="188">
        <v>109</v>
      </c>
      <c r="I131" s="188"/>
      <c r="J131" s="188"/>
      <c r="K131" s="188">
        <v>447</v>
      </c>
      <c r="L131" s="182"/>
    </row>
    <row r="132" spans="1:12" s="184" customFormat="1" ht="13.5" customHeight="1" x14ac:dyDescent="0.2">
      <c r="A132" s="185">
        <v>127</v>
      </c>
      <c r="B132" s="194" t="s">
        <v>278</v>
      </c>
      <c r="C132" s="195" t="s">
        <v>279</v>
      </c>
      <c r="D132" s="188">
        <f t="shared" si="2"/>
        <v>6758</v>
      </c>
      <c r="E132" s="188">
        <f t="shared" si="3"/>
        <v>6758</v>
      </c>
      <c r="F132" s="188">
        <v>6758</v>
      </c>
      <c r="G132" s="188"/>
      <c r="H132" s="188"/>
      <c r="I132" s="188"/>
      <c r="J132" s="188"/>
      <c r="K132" s="188"/>
      <c r="L132" s="182"/>
    </row>
    <row r="133" spans="1:12" s="184" customFormat="1" ht="13.5" customHeight="1" x14ac:dyDescent="0.2">
      <c r="A133" s="185">
        <v>128</v>
      </c>
      <c r="B133" s="192" t="s">
        <v>280</v>
      </c>
      <c r="C133" s="193" t="s">
        <v>64</v>
      </c>
      <c r="D133" s="188">
        <f t="shared" si="2"/>
        <v>2357</v>
      </c>
      <c r="E133" s="188">
        <f t="shared" si="3"/>
        <v>2160</v>
      </c>
      <c r="F133" s="188">
        <v>2160</v>
      </c>
      <c r="G133" s="188"/>
      <c r="H133" s="188"/>
      <c r="I133" s="188"/>
      <c r="J133" s="188"/>
      <c r="K133" s="188"/>
      <c r="L133" s="182">
        <v>197</v>
      </c>
    </row>
    <row r="134" spans="1:12" s="184" customFormat="1" ht="13.5" customHeight="1" x14ac:dyDescent="0.2">
      <c r="A134" s="185">
        <v>129</v>
      </c>
      <c r="B134" s="186" t="s">
        <v>281</v>
      </c>
      <c r="C134" s="191" t="s">
        <v>22</v>
      </c>
      <c r="D134" s="188">
        <f t="shared" ref="D134:D146" si="4">E134+L134</f>
        <v>2829</v>
      </c>
      <c r="E134" s="188">
        <f t="shared" si="3"/>
        <v>2829</v>
      </c>
      <c r="F134" s="188">
        <v>2829</v>
      </c>
      <c r="G134" s="188"/>
      <c r="H134" s="188"/>
      <c r="I134" s="188"/>
      <c r="J134" s="188"/>
      <c r="K134" s="188"/>
      <c r="L134" s="182"/>
    </row>
    <row r="135" spans="1:12" s="184" customFormat="1" ht="13.5" customHeight="1" x14ac:dyDescent="0.2">
      <c r="A135" s="185">
        <v>130</v>
      </c>
      <c r="B135" s="186" t="s">
        <v>282</v>
      </c>
      <c r="C135" s="191" t="s">
        <v>283</v>
      </c>
      <c r="D135" s="188">
        <f t="shared" si="4"/>
        <v>532</v>
      </c>
      <c r="E135" s="188">
        <f t="shared" ref="E135:E146" si="5">SUM(F135:K135)</f>
        <v>532</v>
      </c>
      <c r="F135" s="188">
        <v>0</v>
      </c>
      <c r="G135" s="188"/>
      <c r="H135" s="188"/>
      <c r="I135" s="188">
        <v>532</v>
      </c>
      <c r="J135" s="188"/>
      <c r="K135" s="188"/>
      <c r="L135" s="182"/>
    </row>
    <row r="136" spans="1:12" s="184" customFormat="1" ht="13.5" customHeight="1" x14ac:dyDescent="0.2">
      <c r="A136" s="185">
        <v>131</v>
      </c>
      <c r="B136" s="192" t="s">
        <v>284</v>
      </c>
      <c r="C136" s="193" t="s">
        <v>67</v>
      </c>
      <c r="D136" s="188">
        <f t="shared" si="4"/>
        <v>1362</v>
      </c>
      <c r="E136" s="188">
        <f t="shared" si="5"/>
        <v>1362</v>
      </c>
      <c r="F136" s="188">
        <v>0</v>
      </c>
      <c r="G136" s="188"/>
      <c r="H136" s="188"/>
      <c r="I136" s="188"/>
      <c r="J136" s="188"/>
      <c r="K136" s="188">
        <v>1362</v>
      </c>
      <c r="L136" s="182"/>
    </row>
    <row r="137" spans="1:12" s="184" customFormat="1" ht="13.5" customHeight="1" x14ac:dyDescent="0.2">
      <c r="A137" s="185">
        <v>132</v>
      </c>
      <c r="B137" s="192" t="s">
        <v>285</v>
      </c>
      <c r="C137" s="193" t="s">
        <v>286</v>
      </c>
      <c r="D137" s="188">
        <f t="shared" si="4"/>
        <v>1386</v>
      </c>
      <c r="E137" s="188">
        <f t="shared" si="5"/>
        <v>1386</v>
      </c>
      <c r="F137" s="188">
        <v>713</v>
      </c>
      <c r="G137" s="188"/>
      <c r="H137" s="188"/>
      <c r="I137" s="188"/>
      <c r="J137" s="188"/>
      <c r="K137" s="188">
        <v>673</v>
      </c>
      <c r="L137" s="182"/>
    </row>
    <row r="138" spans="1:12" s="184" customFormat="1" ht="13.5" customHeight="1" x14ac:dyDescent="0.2">
      <c r="A138" s="185">
        <v>133</v>
      </c>
      <c r="B138" s="192" t="s">
        <v>159</v>
      </c>
      <c r="C138" s="193" t="s">
        <v>160</v>
      </c>
      <c r="D138" s="188">
        <f t="shared" si="4"/>
        <v>3317</v>
      </c>
      <c r="E138" s="188">
        <f t="shared" si="5"/>
        <v>3317</v>
      </c>
      <c r="F138" s="188">
        <v>3317</v>
      </c>
      <c r="G138" s="188"/>
      <c r="H138" s="188"/>
      <c r="I138" s="188"/>
      <c r="J138" s="188"/>
      <c r="K138" s="188"/>
      <c r="L138" s="182"/>
    </row>
    <row r="139" spans="1:12" s="184" customFormat="1" ht="13.5" customHeight="1" x14ac:dyDescent="0.2">
      <c r="A139" s="185">
        <v>134</v>
      </c>
      <c r="B139" s="192" t="s">
        <v>113</v>
      </c>
      <c r="C139" s="193" t="s">
        <v>114</v>
      </c>
      <c r="D139" s="188">
        <f t="shared" si="4"/>
        <v>6510</v>
      </c>
      <c r="E139" s="188">
        <f t="shared" si="5"/>
        <v>6510</v>
      </c>
      <c r="F139" s="188">
        <v>6408</v>
      </c>
      <c r="G139" s="188"/>
      <c r="H139" s="188"/>
      <c r="I139" s="188"/>
      <c r="J139" s="188"/>
      <c r="K139" s="188">
        <v>102</v>
      </c>
      <c r="L139" s="182"/>
    </row>
    <row r="140" spans="1:12" s="184" customFormat="1" ht="13.5" customHeight="1" x14ac:dyDescent="0.2">
      <c r="A140" s="185">
        <v>135</v>
      </c>
      <c r="B140" s="192" t="s">
        <v>287</v>
      </c>
      <c r="C140" s="193" t="s">
        <v>288</v>
      </c>
      <c r="D140" s="188">
        <f t="shared" si="4"/>
        <v>156</v>
      </c>
      <c r="E140" s="188">
        <f t="shared" si="5"/>
        <v>156</v>
      </c>
      <c r="F140" s="188">
        <v>156</v>
      </c>
      <c r="G140" s="188"/>
      <c r="H140" s="188"/>
      <c r="I140" s="188"/>
      <c r="J140" s="188"/>
      <c r="K140" s="188"/>
      <c r="L140" s="182"/>
    </row>
    <row r="141" spans="1:12" s="184" customFormat="1" ht="13.5" customHeight="1" x14ac:dyDescent="0.2">
      <c r="A141" s="185">
        <v>136</v>
      </c>
      <c r="B141" s="186" t="s">
        <v>289</v>
      </c>
      <c r="C141" s="191" t="s">
        <v>68</v>
      </c>
      <c r="D141" s="188">
        <f t="shared" si="4"/>
        <v>0</v>
      </c>
      <c r="E141" s="188">
        <f t="shared" si="5"/>
        <v>0</v>
      </c>
      <c r="F141" s="188">
        <v>0</v>
      </c>
      <c r="G141" s="182"/>
      <c r="H141" s="182"/>
      <c r="I141" s="188"/>
      <c r="J141" s="188"/>
      <c r="K141" s="188"/>
      <c r="L141" s="182"/>
    </row>
    <row r="142" spans="1:12" s="184" customFormat="1" ht="13.5" customHeight="1" x14ac:dyDescent="0.2">
      <c r="A142" s="185">
        <v>137</v>
      </c>
      <c r="B142" s="192" t="s">
        <v>290</v>
      </c>
      <c r="C142" s="193" t="s">
        <v>291</v>
      </c>
      <c r="D142" s="188">
        <f t="shared" si="4"/>
        <v>6243</v>
      </c>
      <c r="E142" s="188">
        <f t="shared" si="5"/>
        <v>5880</v>
      </c>
      <c r="F142" s="188">
        <v>0</v>
      </c>
      <c r="G142" s="188">
        <v>90</v>
      </c>
      <c r="H142" s="188">
        <v>5790</v>
      </c>
      <c r="I142" s="188"/>
      <c r="J142" s="188"/>
      <c r="K142" s="188"/>
      <c r="L142" s="182">
        <f>L143+L144</f>
        <v>363</v>
      </c>
    </row>
    <row r="143" spans="1:12" s="184" customFormat="1" ht="12.75" customHeight="1" x14ac:dyDescent="0.2">
      <c r="A143" s="209"/>
      <c r="B143" s="210"/>
      <c r="C143" s="211" t="s">
        <v>553</v>
      </c>
      <c r="D143" s="188">
        <f t="shared" si="4"/>
        <v>306</v>
      </c>
      <c r="E143" s="188">
        <f t="shared" si="5"/>
        <v>0</v>
      </c>
      <c r="F143" s="188"/>
      <c r="G143" s="188"/>
      <c r="H143" s="188"/>
      <c r="I143" s="188"/>
      <c r="J143" s="188"/>
      <c r="K143" s="188"/>
      <c r="L143" s="182">
        <v>306</v>
      </c>
    </row>
    <row r="144" spans="1:12" s="184" customFormat="1" ht="12.75" customHeight="1" x14ac:dyDescent="0.2">
      <c r="A144" s="209"/>
      <c r="B144" s="210"/>
      <c r="C144" s="211" t="s">
        <v>554</v>
      </c>
      <c r="D144" s="188">
        <f t="shared" si="4"/>
        <v>57</v>
      </c>
      <c r="E144" s="188">
        <f t="shared" si="5"/>
        <v>0</v>
      </c>
      <c r="F144" s="188"/>
      <c r="G144" s="188"/>
      <c r="H144" s="188"/>
      <c r="I144" s="188"/>
      <c r="J144" s="188"/>
      <c r="K144" s="188"/>
      <c r="L144" s="182">
        <v>57</v>
      </c>
    </row>
    <row r="145" spans="1:12" s="542" customFormat="1" x14ac:dyDescent="0.2">
      <c r="A145" s="543"/>
      <c r="B145" s="543"/>
      <c r="C145" s="539" t="s">
        <v>4</v>
      </c>
      <c r="D145" s="199">
        <f>SUM(D6:D142)</f>
        <v>272313</v>
      </c>
      <c r="E145" s="199">
        <f t="shared" ref="E145:L145" si="6">SUM(E6:E142)</f>
        <v>271274</v>
      </c>
      <c r="F145" s="199">
        <f t="shared" si="6"/>
        <v>229510</v>
      </c>
      <c r="G145" s="199">
        <f t="shared" si="6"/>
        <v>90</v>
      </c>
      <c r="H145" s="199">
        <f t="shared" si="6"/>
        <v>35259</v>
      </c>
      <c r="I145" s="199">
        <f t="shared" si="6"/>
        <v>1812</v>
      </c>
      <c r="J145" s="199">
        <f t="shared" si="6"/>
        <v>188</v>
      </c>
      <c r="K145" s="199">
        <f t="shared" si="6"/>
        <v>4415</v>
      </c>
      <c r="L145" s="199">
        <f t="shared" si="6"/>
        <v>1039</v>
      </c>
    </row>
    <row r="146" spans="1:12" s="542" customFormat="1" x14ac:dyDescent="0.2">
      <c r="A146" s="543"/>
      <c r="B146" s="543"/>
      <c r="C146" s="540" t="s">
        <v>3</v>
      </c>
      <c r="D146" s="199">
        <f t="shared" si="4"/>
        <v>467</v>
      </c>
      <c r="E146" s="199">
        <f t="shared" si="5"/>
        <v>467</v>
      </c>
      <c r="F146" s="543">
        <v>110</v>
      </c>
      <c r="G146" s="543"/>
      <c r="H146" s="543">
        <v>335</v>
      </c>
      <c r="I146" s="543">
        <v>22</v>
      </c>
      <c r="J146" s="543"/>
      <c r="K146" s="543"/>
      <c r="L146" s="543"/>
    </row>
    <row r="147" spans="1:12" s="542" customFormat="1" x14ac:dyDescent="0.2">
      <c r="A147" s="856" t="s">
        <v>1</v>
      </c>
      <c r="B147" s="856"/>
      <c r="C147" s="856"/>
      <c r="D147" s="541">
        <f>D146+D145</f>
        <v>272780</v>
      </c>
      <c r="E147" s="541">
        <f t="shared" ref="E147:L147" si="7">E146+E145</f>
        <v>271741</v>
      </c>
      <c r="F147" s="541">
        <f t="shared" si="7"/>
        <v>229620</v>
      </c>
      <c r="G147" s="541">
        <f t="shared" si="7"/>
        <v>90</v>
      </c>
      <c r="H147" s="541">
        <f t="shared" si="7"/>
        <v>35594</v>
      </c>
      <c r="I147" s="541">
        <f t="shared" si="7"/>
        <v>1834</v>
      </c>
      <c r="J147" s="541">
        <f t="shared" si="7"/>
        <v>188</v>
      </c>
      <c r="K147" s="541">
        <f t="shared" si="7"/>
        <v>4415</v>
      </c>
      <c r="L147" s="541">
        <f t="shared" si="7"/>
        <v>1039</v>
      </c>
    </row>
  </sheetData>
  <mergeCells count="9">
    <mergeCell ref="A147:C147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activeCell="G12" sqref="G12"/>
    </sheetView>
  </sheetViews>
  <sheetFormatPr defaultRowHeight="12.75" x14ac:dyDescent="0.25"/>
  <cols>
    <col min="1" max="1" width="7.28515625" style="245" customWidth="1"/>
    <col min="2" max="2" width="26" style="234" customWidth="1"/>
    <col min="3" max="3" width="24.7109375" style="234" customWidth="1"/>
    <col min="4" max="4" width="9.140625" style="234"/>
    <col min="5" max="5" width="11.85546875" style="234" customWidth="1"/>
    <col min="6" max="16384" width="9.140625" style="234"/>
  </cols>
  <sheetData>
    <row r="1" spans="1:8" ht="59.25" customHeight="1" x14ac:dyDescent="0.25">
      <c r="A1" s="867" t="s">
        <v>587</v>
      </c>
      <c r="B1" s="867"/>
      <c r="C1" s="867"/>
    </row>
    <row r="2" spans="1:8" ht="18.75" customHeight="1" x14ac:dyDescent="0.25">
      <c r="A2" s="235"/>
      <c r="B2" s="235"/>
      <c r="C2" s="236"/>
    </row>
    <row r="3" spans="1:8" s="238" customFormat="1" ht="45" customHeight="1" x14ac:dyDescent="0.25">
      <c r="A3" s="868" t="s">
        <v>495</v>
      </c>
      <c r="B3" s="868" t="s">
        <v>496</v>
      </c>
      <c r="C3" s="237" t="s">
        <v>291</v>
      </c>
      <c r="D3" s="234"/>
      <c r="E3" s="234"/>
      <c r="F3" s="234"/>
      <c r="G3" s="234"/>
      <c r="H3" s="234"/>
    </row>
    <row r="4" spans="1:8" s="238" customFormat="1" ht="110.25" customHeight="1" x14ac:dyDescent="0.25">
      <c r="A4" s="869"/>
      <c r="B4" s="869"/>
      <c r="C4" s="239" t="s">
        <v>506</v>
      </c>
      <c r="D4" s="234"/>
      <c r="E4" s="234"/>
      <c r="F4" s="234"/>
      <c r="G4" s="234"/>
      <c r="H4" s="234"/>
    </row>
    <row r="5" spans="1:8" s="238" customFormat="1" ht="26.25" customHeight="1" x14ac:dyDescent="0.25">
      <c r="A5" s="866" t="s">
        <v>296</v>
      </c>
      <c r="B5" s="866"/>
      <c r="C5" s="240" t="s">
        <v>290</v>
      </c>
      <c r="D5" s="234"/>
      <c r="E5" s="234"/>
      <c r="F5" s="234"/>
      <c r="G5" s="234"/>
      <c r="H5" s="234"/>
    </row>
    <row r="6" spans="1:8" s="238" customFormat="1" ht="18.75" customHeight="1" x14ac:dyDescent="0.25">
      <c r="A6" s="866" t="s">
        <v>519</v>
      </c>
      <c r="B6" s="866"/>
      <c r="C6" s="241">
        <f>SUM(C7:C8)</f>
        <v>90</v>
      </c>
      <c r="D6" s="234"/>
      <c r="E6" s="234"/>
      <c r="F6" s="234"/>
      <c r="G6" s="234"/>
      <c r="H6" s="234"/>
    </row>
    <row r="7" spans="1:8" s="238" customFormat="1" ht="14.25" customHeight="1" x14ac:dyDescent="0.25">
      <c r="A7" s="242">
        <v>23</v>
      </c>
      <c r="B7" s="243">
        <v>81750</v>
      </c>
      <c r="C7" s="244">
        <v>55</v>
      </c>
      <c r="D7" s="234"/>
      <c r="E7" s="234"/>
      <c r="F7" s="234"/>
      <c r="G7" s="234"/>
      <c r="H7" s="234"/>
    </row>
    <row r="8" spans="1:8" s="238" customFormat="1" ht="14.25" customHeight="1" x14ac:dyDescent="0.25">
      <c r="A8" s="242">
        <v>24</v>
      </c>
      <c r="B8" s="243">
        <v>184807</v>
      </c>
      <c r="C8" s="244">
        <v>35</v>
      </c>
      <c r="D8" s="234"/>
      <c r="E8" s="234"/>
      <c r="F8" s="234"/>
      <c r="G8" s="234"/>
      <c r="H8" s="234"/>
    </row>
    <row r="9" spans="1:8" s="238" customFormat="1" ht="18.75" customHeight="1" x14ac:dyDescent="0.25">
      <c r="A9" s="866" t="s">
        <v>1</v>
      </c>
      <c r="B9" s="866"/>
      <c r="C9" s="241">
        <f>C6</f>
        <v>90</v>
      </c>
      <c r="D9" s="234"/>
      <c r="E9" s="234"/>
      <c r="F9" s="234"/>
      <c r="G9" s="234"/>
      <c r="H9" s="234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102"/>
  <sheetViews>
    <sheetView topLeftCell="A76" workbookViewId="0">
      <selection activeCell="J17" sqref="J17"/>
    </sheetView>
  </sheetViews>
  <sheetFormatPr defaultRowHeight="15" x14ac:dyDescent="0.25"/>
  <cols>
    <col min="1" max="1" width="5.85546875" style="131" customWidth="1"/>
    <col min="2" max="2" width="9.42578125" style="131" customWidth="1"/>
    <col min="3" max="3" width="36.42578125" style="131" customWidth="1"/>
    <col min="4" max="6" width="13.5703125" style="131" customWidth="1"/>
    <col min="7" max="16384" width="9.140625" style="131"/>
  </cols>
  <sheetData>
    <row r="1" spans="1:7" ht="39" customHeight="1" x14ac:dyDescent="0.25">
      <c r="A1" s="870" t="s">
        <v>373</v>
      </c>
      <c r="B1" s="870"/>
      <c r="C1" s="870"/>
      <c r="D1" s="870"/>
      <c r="E1" s="870"/>
      <c r="F1" s="870"/>
      <c r="G1" s="130"/>
    </row>
    <row r="3" spans="1:7" ht="22.5" customHeight="1" x14ac:dyDescent="0.25">
      <c r="A3" s="871" t="s">
        <v>0</v>
      </c>
      <c r="B3" s="871" t="s">
        <v>296</v>
      </c>
      <c r="C3" s="871" t="s">
        <v>374</v>
      </c>
      <c r="D3" s="872" t="s">
        <v>375</v>
      </c>
      <c r="E3" s="872" t="s">
        <v>376</v>
      </c>
      <c r="F3" s="872"/>
    </row>
    <row r="4" spans="1:7" x14ac:dyDescent="0.25">
      <c r="A4" s="871"/>
      <c r="B4" s="871"/>
      <c r="C4" s="871"/>
      <c r="D4" s="872"/>
      <c r="E4" s="872"/>
      <c r="F4" s="872"/>
    </row>
    <row r="5" spans="1:7" ht="45.75" customHeight="1" x14ac:dyDescent="0.25">
      <c r="A5" s="871"/>
      <c r="B5" s="871"/>
      <c r="C5" s="871"/>
      <c r="D5" s="872"/>
      <c r="E5" s="872" t="s">
        <v>377</v>
      </c>
      <c r="F5" s="872" t="s">
        <v>378</v>
      </c>
    </row>
    <row r="6" spans="1:7" x14ac:dyDescent="0.25">
      <c r="A6" s="871"/>
      <c r="B6" s="871"/>
      <c r="C6" s="871"/>
      <c r="D6" s="872"/>
      <c r="E6" s="872"/>
      <c r="F6" s="872"/>
    </row>
    <row r="7" spans="1:7" x14ac:dyDescent="0.25">
      <c r="A7" s="132">
        <v>1</v>
      </c>
      <c r="B7" s="132">
        <v>2</v>
      </c>
      <c r="C7" s="132">
        <v>3</v>
      </c>
      <c r="D7" s="133">
        <v>4</v>
      </c>
      <c r="E7" s="133">
        <v>5</v>
      </c>
      <c r="F7" s="133">
        <v>6</v>
      </c>
    </row>
    <row r="8" spans="1:7" x14ac:dyDescent="0.25">
      <c r="A8" s="132"/>
      <c r="B8" s="132"/>
      <c r="C8" s="134" t="s">
        <v>1</v>
      </c>
      <c r="D8" s="135">
        <v>2139353</v>
      </c>
      <c r="E8" s="135">
        <v>172009</v>
      </c>
      <c r="F8" s="135">
        <v>25608</v>
      </c>
    </row>
    <row r="9" spans="1:7" ht="18.75" customHeight="1" x14ac:dyDescent="0.25">
      <c r="A9" s="136"/>
      <c r="B9" s="136"/>
      <c r="C9" s="137" t="s">
        <v>3</v>
      </c>
      <c r="D9" s="138">
        <v>9204</v>
      </c>
      <c r="E9" s="138">
        <v>0</v>
      </c>
      <c r="F9" s="138">
        <v>0</v>
      </c>
    </row>
    <row r="10" spans="1:7" ht="16.5" customHeight="1" x14ac:dyDescent="0.25">
      <c r="A10" s="136"/>
      <c r="B10" s="136"/>
      <c r="C10" s="139" t="s">
        <v>4</v>
      </c>
      <c r="D10" s="135">
        <v>2130149</v>
      </c>
      <c r="E10" s="135">
        <v>172009</v>
      </c>
      <c r="F10" s="135">
        <v>25608</v>
      </c>
    </row>
    <row r="11" spans="1:7" x14ac:dyDescent="0.25">
      <c r="A11" s="136">
        <v>1</v>
      </c>
      <c r="B11" s="136">
        <v>24001</v>
      </c>
      <c r="C11" s="137" t="s">
        <v>28</v>
      </c>
      <c r="D11" s="138">
        <v>21812</v>
      </c>
      <c r="E11" s="138">
        <v>0</v>
      </c>
      <c r="F11" s="138">
        <v>0</v>
      </c>
    </row>
    <row r="12" spans="1:7" x14ac:dyDescent="0.25">
      <c r="A12" s="136">
        <v>2</v>
      </c>
      <c r="B12" s="136">
        <v>21003</v>
      </c>
      <c r="C12" s="137" t="s">
        <v>56</v>
      </c>
      <c r="D12" s="138">
        <v>20924</v>
      </c>
      <c r="E12" s="138">
        <v>0</v>
      </c>
      <c r="F12" s="138">
        <v>0</v>
      </c>
    </row>
    <row r="13" spans="1:7" x14ac:dyDescent="0.25">
      <c r="A13" s="136">
        <v>3</v>
      </c>
      <c r="B13" s="136">
        <v>22204</v>
      </c>
      <c r="C13" s="137" t="s">
        <v>27</v>
      </c>
      <c r="D13" s="138">
        <v>9505</v>
      </c>
      <c r="E13" s="138">
        <v>0</v>
      </c>
      <c r="F13" s="138">
        <v>0</v>
      </c>
    </row>
    <row r="14" spans="1:7" x14ac:dyDescent="0.25">
      <c r="A14" s="136">
        <v>4</v>
      </c>
      <c r="B14" s="136">
        <v>25004</v>
      </c>
      <c r="C14" s="137" t="s">
        <v>29</v>
      </c>
      <c r="D14" s="138">
        <v>10774</v>
      </c>
      <c r="E14" s="138">
        <v>0</v>
      </c>
      <c r="F14" s="138">
        <v>0</v>
      </c>
    </row>
    <row r="15" spans="1:7" x14ac:dyDescent="0.25">
      <c r="A15" s="136">
        <v>5</v>
      </c>
      <c r="B15" s="136">
        <v>21607</v>
      </c>
      <c r="C15" s="137" t="s">
        <v>58</v>
      </c>
      <c r="D15" s="138">
        <v>16512</v>
      </c>
      <c r="E15" s="138">
        <v>0</v>
      </c>
      <c r="F15" s="138">
        <v>0</v>
      </c>
    </row>
    <row r="16" spans="1:7" x14ac:dyDescent="0.25">
      <c r="A16" s="136">
        <v>6</v>
      </c>
      <c r="B16" s="136">
        <v>22001</v>
      </c>
      <c r="C16" s="137" t="s">
        <v>24</v>
      </c>
      <c r="D16" s="138">
        <v>31116</v>
      </c>
      <c r="E16" s="138">
        <v>0</v>
      </c>
      <c r="F16" s="138">
        <v>0</v>
      </c>
    </row>
    <row r="17" spans="1:6" x14ac:dyDescent="0.25">
      <c r="A17" s="136">
        <v>7</v>
      </c>
      <c r="B17" s="136">
        <v>28004</v>
      </c>
      <c r="C17" s="137" t="s">
        <v>30</v>
      </c>
      <c r="D17" s="138">
        <v>13967</v>
      </c>
      <c r="E17" s="138">
        <v>0</v>
      </c>
      <c r="F17" s="138">
        <v>0</v>
      </c>
    </row>
    <row r="18" spans="1:6" x14ac:dyDescent="0.25">
      <c r="A18" s="136">
        <v>8</v>
      </c>
      <c r="B18" s="136">
        <v>22103</v>
      </c>
      <c r="C18" s="137" t="s">
        <v>31</v>
      </c>
      <c r="D18" s="138">
        <v>10953</v>
      </c>
      <c r="E18" s="138">
        <v>0</v>
      </c>
      <c r="F18" s="138">
        <v>0</v>
      </c>
    </row>
    <row r="19" spans="1:6" x14ac:dyDescent="0.25">
      <c r="A19" s="136">
        <v>9</v>
      </c>
      <c r="B19" s="136">
        <v>23002</v>
      </c>
      <c r="C19" s="137" t="s">
        <v>14</v>
      </c>
      <c r="D19" s="138">
        <v>47213</v>
      </c>
      <c r="E19" s="138">
        <v>0</v>
      </c>
      <c r="F19" s="138">
        <v>0</v>
      </c>
    </row>
    <row r="20" spans="1:6" x14ac:dyDescent="0.25">
      <c r="A20" s="136">
        <v>10</v>
      </c>
      <c r="B20" s="136">
        <v>26005</v>
      </c>
      <c r="C20" s="137" t="s">
        <v>32</v>
      </c>
      <c r="D20" s="138">
        <v>10058</v>
      </c>
      <c r="E20" s="138">
        <v>0</v>
      </c>
      <c r="F20" s="138">
        <v>0</v>
      </c>
    </row>
    <row r="21" spans="1:6" x14ac:dyDescent="0.25">
      <c r="A21" s="136">
        <v>11</v>
      </c>
      <c r="B21" s="136">
        <v>24005</v>
      </c>
      <c r="C21" s="137" t="s">
        <v>7</v>
      </c>
      <c r="D21" s="138">
        <v>54196</v>
      </c>
      <c r="E21" s="138">
        <v>0</v>
      </c>
      <c r="F21" s="138">
        <v>0</v>
      </c>
    </row>
    <row r="22" spans="1:6" x14ac:dyDescent="0.25">
      <c r="A22" s="136">
        <v>12</v>
      </c>
      <c r="B22" s="136">
        <v>23005</v>
      </c>
      <c r="C22" s="137" t="s">
        <v>33</v>
      </c>
      <c r="D22" s="138">
        <v>11387</v>
      </c>
      <c r="E22" s="138">
        <v>0</v>
      </c>
      <c r="F22" s="138">
        <v>0</v>
      </c>
    </row>
    <row r="23" spans="1:6" x14ac:dyDescent="0.25">
      <c r="A23" s="136">
        <v>13</v>
      </c>
      <c r="B23" s="136">
        <v>25001</v>
      </c>
      <c r="C23" s="137" t="s">
        <v>5</v>
      </c>
      <c r="D23" s="138">
        <v>31216</v>
      </c>
      <c r="E23" s="138">
        <v>0</v>
      </c>
      <c r="F23" s="138">
        <v>0</v>
      </c>
    </row>
    <row r="24" spans="1:6" x14ac:dyDescent="0.25">
      <c r="A24" s="136">
        <v>14</v>
      </c>
      <c r="B24" s="136">
        <v>22003</v>
      </c>
      <c r="C24" s="137" t="s">
        <v>62</v>
      </c>
      <c r="D24" s="138">
        <v>11761</v>
      </c>
      <c r="E24" s="138">
        <v>0</v>
      </c>
      <c r="F24" s="138">
        <v>0</v>
      </c>
    </row>
    <row r="25" spans="1:6" x14ac:dyDescent="0.25">
      <c r="A25" s="136">
        <v>15</v>
      </c>
      <c r="B25" s="136">
        <v>22202</v>
      </c>
      <c r="C25" s="137" t="s">
        <v>18</v>
      </c>
      <c r="D25" s="138">
        <v>26827</v>
      </c>
      <c r="E25" s="138">
        <v>0</v>
      </c>
      <c r="F25" s="138">
        <v>0</v>
      </c>
    </row>
    <row r="26" spans="1:6" x14ac:dyDescent="0.25">
      <c r="A26" s="136">
        <v>16</v>
      </c>
      <c r="B26" s="136">
        <v>22002</v>
      </c>
      <c r="C26" s="137" t="s">
        <v>34</v>
      </c>
      <c r="D26" s="138">
        <v>14172</v>
      </c>
      <c r="E26" s="138">
        <v>0</v>
      </c>
      <c r="F26" s="138">
        <v>0</v>
      </c>
    </row>
    <row r="27" spans="1:6" x14ac:dyDescent="0.25">
      <c r="A27" s="136">
        <v>17</v>
      </c>
      <c r="B27" s="136">
        <v>25005</v>
      </c>
      <c r="C27" s="137" t="s">
        <v>35</v>
      </c>
      <c r="D27" s="138">
        <v>11510</v>
      </c>
      <c r="E27" s="138">
        <v>0</v>
      </c>
      <c r="F27" s="138">
        <v>0</v>
      </c>
    </row>
    <row r="28" spans="1:6" x14ac:dyDescent="0.25">
      <c r="A28" s="136">
        <v>18</v>
      </c>
      <c r="B28" s="136">
        <v>24002</v>
      </c>
      <c r="C28" s="137" t="s">
        <v>36</v>
      </c>
      <c r="D28" s="138">
        <v>9234</v>
      </c>
      <c r="E28" s="138">
        <v>0</v>
      </c>
      <c r="F28" s="138">
        <v>0</v>
      </c>
    </row>
    <row r="29" spans="1:6" x14ac:dyDescent="0.25">
      <c r="A29" s="136">
        <v>19</v>
      </c>
      <c r="B29" s="136">
        <v>21605</v>
      </c>
      <c r="C29" s="137" t="s">
        <v>49</v>
      </c>
      <c r="D29" s="138">
        <v>17126</v>
      </c>
      <c r="E29" s="138">
        <v>0</v>
      </c>
      <c r="F29" s="138">
        <v>0</v>
      </c>
    </row>
    <row r="30" spans="1:6" x14ac:dyDescent="0.25">
      <c r="A30" s="136">
        <v>20</v>
      </c>
      <c r="B30" s="136">
        <v>21002</v>
      </c>
      <c r="C30" s="137" t="s">
        <v>39</v>
      </c>
      <c r="D30" s="138">
        <v>20881</v>
      </c>
      <c r="E30" s="138">
        <v>0</v>
      </c>
      <c r="F30" s="138">
        <v>0</v>
      </c>
    </row>
    <row r="31" spans="1:6" x14ac:dyDescent="0.25">
      <c r="A31" s="136">
        <v>21</v>
      </c>
      <c r="B31" s="136">
        <v>26001</v>
      </c>
      <c r="C31" s="137" t="s">
        <v>20</v>
      </c>
      <c r="D31" s="138">
        <v>15658</v>
      </c>
      <c r="E31" s="138">
        <v>0</v>
      </c>
      <c r="F31" s="138">
        <v>0</v>
      </c>
    </row>
    <row r="32" spans="1:6" x14ac:dyDescent="0.25">
      <c r="A32" s="136">
        <v>22</v>
      </c>
      <c r="B32" s="136">
        <v>27001</v>
      </c>
      <c r="C32" s="137" t="s">
        <v>23</v>
      </c>
      <c r="D32" s="138">
        <v>30805</v>
      </c>
      <c r="E32" s="138">
        <v>0</v>
      </c>
      <c r="F32" s="138">
        <v>0</v>
      </c>
    </row>
    <row r="33" spans="1:6" x14ac:dyDescent="0.25">
      <c r="A33" s="136">
        <v>23</v>
      </c>
      <c r="B33" s="136">
        <v>23006</v>
      </c>
      <c r="C33" s="137" t="s">
        <v>40</v>
      </c>
      <c r="D33" s="138">
        <v>7372</v>
      </c>
      <c r="E33" s="138">
        <v>0</v>
      </c>
      <c r="F33" s="138">
        <v>0</v>
      </c>
    </row>
    <row r="34" spans="1:6" x14ac:dyDescent="0.25">
      <c r="A34" s="136">
        <v>24</v>
      </c>
      <c r="B34" s="136">
        <v>21105</v>
      </c>
      <c r="C34" s="137" t="s">
        <v>43</v>
      </c>
      <c r="D34" s="138">
        <v>13368</v>
      </c>
      <c r="E34" s="138">
        <v>0</v>
      </c>
      <c r="F34" s="138">
        <v>0</v>
      </c>
    </row>
    <row r="35" spans="1:6" x14ac:dyDescent="0.25">
      <c r="A35" s="136">
        <v>25</v>
      </c>
      <c r="B35" s="136">
        <v>22012</v>
      </c>
      <c r="C35" s="137" t="s">
        <v>41</v>
      </c>
      <c r="D35" s="138">
        <v>8115</v>
      </c>
      <c r="E35" s="138">
        <v>0</v>
      </c>
      <c r="F35" s="138">
        <v>0</v>
      </c>
    </row>
    <row r="36" spans="1:6" x14ac:dyDescent="0.25">
      <c r="A36" s="136">
        <v>26</v>
      </c>
      <c r="B36" s="136">
        <v>22201</v>
      </c>
      <c r="C36" s="137" t="s">
        <v>42</v>
      </c>
      <c r="D36" s="138">
        <v>29067</v>
      </c>
      <c r="E36" s="138">
        <v>0</v>
      </c>
      <c r="F36" s="138">
        <v>0</v>
      </c>
    </row>
    <row r="37" spans="1:6" x14ac:dyDescent="0.25">
      <c r="A37" s="136">
        <v>27</v>
      </c>
      <c r="B37" s="136">
        <v>28002</v>
      </c>
      <c r="C37" s="137" t="s">
        <v>38</v>
      </c>
      <c r="D37" s="138">
        <v>16407</v>
      </c>
      <c r="E37" s="138">
        <v>0</v>
      </c>
      <c r="F37" s="138">
        <v>0</v>
      </c>
    </row>
    <row r="38" spans="1:6" x14ac:dyDescent="0.25">
      <c r="A38" s="136">
        <v>28</v>
      </c>
      <c r="B38" s="136">
        <v>29001</v>
      </c>
      <c r="C38" s="137" t="s">
        <v>12</v>
      </c>
      <c r="D38" s="138">
        <v>44273</v>
      </c>
      <c r="E38" s="138">
        <v>0</v>
      </c>
      <c r="F38" s="138">
        <v>0</v>
      </c>
    </row>
    <row r="39" spans="1:6" x14ac:dyDescent="0.25">
      <c r="A39" s="136">
        <v>29</v>
      </c>
      <c r="B39" s="136">
        <v>21206</v>
      </c>
      <c r="C39" s="137" t="s">
        <v>44</v>
      </c>
      <c r="D39" s="138">
        <v>13225</v>
      </c>
      <c r="E39" s="138">
        <v>0</v>
      </c>
      <c r="F39" s="138">
        <v>0</v>
      </c>
    </row>
    <row r="40" spans="1:6" x14ac:dyDescent="0.25">
      <c r="A40" s="136">
        <v>30</v>
      </c>
      <c r="B40" s="136">
        <v>25003</v>
      </c>
      <c r="C40" s="137" t="s">
        <v>45</v>
      </c>
      <c r="D40" s="138">
        <v>12221</v>
      </c>
      <c r="E40" s="138">
        <v>0</v>
      </c>
      <c r="F40" s="138">
        <v>0</v>
      </c>
    </row>
    <row r="41" spans="1:6" x14ac:dyDescent="0.25">
      <c r="A41" s="136">
        <v>31</v>
      </c>
      <c r="B41" s="136">
        <v>22205</v>
      </c>
      <c r="C41" s="137" t="s">
        <v>46</v>
      </c>
      <c r="D41" s="138">
        <v>24234</v>
      </c>
      <c r="E41" s="138">
        <v>0</v>
      </c>
      <c r="F41" s="138">
        <v>0</v>
      </c>
    </row>
    <row r="42" spans="1:6" x14ac:dyDescent="0.25">
      <c r="A42" s="136">
        <v>32</v>
      </c>
      <c r="B42" s="136">
        <v>26004</v>
      </c>
      <c r="C42" s="137" t="s">
        <v>47</v>
      </c>
      <c r="D42" s="138">
        <v>8605</v>
      </c>
      <c r="E42" s="138">
        <v>0</v>
      </c>
      <c r="F42" s="138">
        <v>0</v>
      </c>
    </row>
    <row r="43" spans="1:6" x14ac:dyDescent="0.25">
      <c r="A43" s="136">
        <v>33</v>
      </c>
      <c r="B43" s="136">
        <v>21205</v>
      </c>
      <c r="C43" s="137" t="s">
        <v>48</v>
      </c>
      <c r="D43" s="138">
        <v>14268</v>
      </c>
      <c r="E43" s="138">
        <v>0</v>
      </c>
      <c r="F43" s="138">
        <v>0</v>
      </c>
    </row>
    <row r="44" spans="1:6" x14ac:dyDescent="0.25">
      <c r="A44" s="136">
        <v>34</v>
      </c>
      <c r="B44" s="136">
        <v>21102</v>
      </c>
      <c r="C44" s="137" t="s">
        <v>54</v>
      </c>
      <c r="D44" s="138">
        <v>15569</v>
      </c>
      <c r="E44" s="138">
        <v>0</v>
      </c>
      <c r="F44" s="138">
        <v>0</v>
      </c>
    </row>
    <row r="45" spans="1:6" x14ac:dyDescent="0.25">
      <c r="A45" s="136">
        <v>35</v>
      </c>
      <c r="B45" s="136">
        <v>22208</v>
      </c>
      <c r="C45" s="137" t="s">
        <v>50</v>
      </c>
      <c r="D45" s="138">
        <v>14145</v>
      </c>
      <c r="E45" s="138">
        <v>0</v>
      </c>
      <c r="F45" s="138">
        <v>0</v>
      </c>
    </row>
    <row r="46" spans="1:6" x14ac:dyDescent="0.25">
      <c r="A46" s="136">
        <v>36</v>
      </c>
      <c r="B46" s="136">
        <v>21111</v>
      </c>
      <c r="C46" s="137" t="s">
        <v>10</v>
      </c>
      <c r="D46" s="138">
        <v>44918</v>
      </c>
      <c r="E46" s="138">
        <v>0</v>
      </c>
      <c r="F46" s="138">
        <v>0</v>
      </c>
    </row>
    <row r="47" spans="1:6" x14ac:dyDescent="0.25">
      <c r="A47" s="136">
        <v>37</v>
      </c>
      <c r="B47" s="136">
        <v>21104</v>
      </c>
      <c r="C47" s="137" t="s">
        <v>25</v>
      </c>
      <c r="D47" s="138">
        <v>43260</v>
      </c>
      <c r="E47" s="138">
        <v>0</v>
      </c>
      <c r="F47" s="138">
        <v>0</v>
      </c>
    </row>
    <row r="48" spans="1:6" x14ac:dyDescent="0.25">
      <c r="A48" s="136">
        <v>38</v>
      </c>
      <c r="B48" s="136">
        <v>26002</v>
      </c>
      <c r="C48" s="137" t="s">
        <v>19</v>
      </c>
      <c r="D48" s="138">
        <v>11599</v>
      </c>
      <c r="E48" s="138">
        <v>0</v>
      </c>
      <c r="F48" s="138">
        <v>0</v>
      </c>
    </row>
    <row r="49" spans="1:6" x14ac:dyDescent="0.25">
      <c r="A49" s="136">
        <v>39</v>
      </c>
      <c r="B49" s="136">
        <v>25002</v>
      </c>
      <c r="C49" s="137" t="s">
        <v>52</v>
      </c>
      <c r="D49" s="138">
        <v>12370</v>
      </c>
      <c r="E49" s="138">
        <v>0</v>
      </c>
      <c r="F49" s="138">
        <v>0</v>
      </c>
    </row>
    <row r="50" spans="1:6" x14ac:dyDescent="0.25">
      <c r="A50" s="136">
        <v>40</v>
      </c>
      <c r="B50" s="136">
        <v>21001</v>
      </c>
      <c r="C50" s="137" t="s">
        <v>53</v>
      </c>
      <c r="D50" s="138">
        <v>14437</v>
      </c>
      <c r="E50" s="138">
        <v>0</v>
      </c>
      <c r="F50" s="138">
        <v>0</v>
      </c>
    </row>
    <row r="51" spans="1:6" x14ac:dyDescent="0.25">
      <c r="A51" s="136">
        <v>41</v>
      </c>
      <c r="B51" s="136">
        <v>22203</v>
      </c>
      <c r="C51" s="137" t="s">
        <v>55</v>
      </c>
      <c r="D51" s="138">
        <v>10651</v>
      </c>
      <c r="E51" s="138">
        <v>0</v>
      </c>
      <c r="F51" s="138">
        <v>0</v>
      </c>
    </row>
    <row r="52" spans="1:6" x14ac:dyDescent="0.25">
      <c r="A52" s="136">
        <v>42</v>
      </c>
      <c r="B52" s="136">
        <v>26003</v>
      </c>
      <c r="C52" s="137" t="s">
        <v>51</v>
      </c>
      <c r="D52" s="138">
        <v>13413</v>
      </c>
      <c r="E52" s="138">
        <v>0</v>
      </c>
      <c r="F52" s="138">
        <v>0</v>
      </c>
    </row>
    <row r="53" spans="1:6" x14ac:dyDescent="0.25">
      <c r="A53" s="136">
        <v>43</v>
      </c>
      <c r="B53" s="136">
        <v>21606</v>
      </c>
      <c r="C53" s="137" t="s">
        <v>57</v>
      </c>
      <c r="D53" s="138">
        <v>9884</v>
      </c>
      <c r="E53" s="138">
        <v>0</v>
      </c>
      <c r="F53" s="138">
        <v>0</v>
      </c>
    </row>
    <row r="54" spans="1:6" x14ac:dyDescent="0.25">
      <c r="A54" s="136">
        <v>44</v>
      </c>
      <c r="B54" s="136">
        <v>22102</v>
      </c>
      <c r="C54" s="137" t="s">
        <v>37</v>
      </c>
      <c r="D54" s="138">
        <v>12389</v>
      </c>
      <c r="E54" s="138">
        <v>0</v>
      </c>
      <c r="F54" s="138">
        <v>0</v>
      </c>
    </row>
    <row r="55" spans="1:6" x14ac:dyDescent="0.25">
      <c r="A55" s="136">
        <v>45</v>
      </c>
      <c r="B55" s="136">
        <v>21701</v>
      </c>
      <c r="C55" s="137" t="s">
        <v>15</v>
      </c>
      <c r="D55" s="138">
        <v>67591</v>
      </c>
      <c r="E55" s="138">
        <v>0</v>
      </c>
      <c r="F55" s="138">
        <v>0</v>
      </c>
    </row>
    <row r="56" spans="1:6" x14ac:dyDescent="0.25">
      <c r="A56" s="136">
        <v>46</v>
      </c>
      <c r="B56" s="136">
        <v>21901</v>
      </c>
      <c r="C56" s="137" t="s">
        <v>8</v>
      </c>
      <c r="D56" s="138">
        <v>37082</v>
      </c>
      <c r="E56" s="138">
        <v>0</v>
      </c>
      <c r="F56" s="138">
        <v>0</v>
      </c>
    </row>
    <row r="57" spans="1:6" x14ac:dyDescent="0.25">
      <c r="A57" s="136">
        <v>47</v>
      </c>
      <c r="B57" s="136">
        <v>21405</v>
      </c>
      <c r="C57" s="137" t="s">
        <v>59</v>
      </c>
      <c r="D57" s="138">
        <v>8220</v>
      </c>
      <c r="E57" s="138">
        <v>0</v>
      </c>
      <c r="F57" s="138">
        <v>0</v>
      </c>
    </row>
    <row r="58" spans="1:6" x14ac:dyDescent="0.25">
      <c r="A58" s="136">
        <v>48</v>
      </c>
      <c r="B58" s="136">
        <v>21501</v>
      </c>
      <c r="C58" s="137" t="s">
        <v>26</v>
      </c>
      <c r="D58" s="138">
        <v>15822</v>
      </c>
      <c r="E58" s="138">
        <v>0</v>
      </c>
      <c r="F58" s="138">
        <v>0</v>
      </c>
    </row>
    <row r="59" spans="1:6" x14ac:dyDescent="0.25">
      <c r="A59" s="136">
        <v>49</v>
      </c>
      <c r="B59" s="136">
        <v>27002</v>
      </c>
      <c r="C59" s="137" t="s">
        <v>60</v>
      </c>
      <c r="D59" s="138">
        <v>15404</v>
      </c>
      <c r="E59" s="138">
        <v>0</v>
      </c>
      <c r="F59" s="138">
        <v>0</v>
      </c>
    </row>
    <row r="60" spans="1:6" x14ac:dyDescent="0.25">
      <c r="A60" s="136">
        <v>50</v>
      </c>
      <c r="B60" s="136">
        <v>22000</v>
      </c>
      <c r="C60" s="137" t="s">
        <v>21</v>
      </c>
      <c r="D60" s="138">
        <v>25919</v>
      </c>
      <c r="E60" s="138">
        <v>0</v>
      </c>
      <c r="F60" s="138">
        <v>0</v>
      </c>
    </row>
    <row r="61" spans="1:6" x14ac:dyDescent="0.25">
      <c r="A61" s="136">
        <v>51</v>
      </c>
      <c r="B61" s="136">
        <v>21706</v>
      </c>
      <c r="C61" s="137" t="s">
        <v>61</v>
      </c>
      <c r="D61" s="138">
        <v>11497</v>
      </c>
      <c r="E61" s="138">
        <v>0</v>
      </c>
      <c r="F61" s="138">
        <v>0</v>
      </c>
    </row>
    <row r="62" spans="1:6" x14ac:dyDescent="0.25">
      <c r="A62" s="136">
        <v>52</v>
      </c>
      <c r="B62" s="136">
        <v>22104</v>
      </c>
      <c r="C62" s="137" t="s">
        <v>63</v>
      </c>
      <c r="D62" s="138">
        <v>23154</v>
      </c>
      <c r="E62" s="138">
        <v>0</v>
      </c>
      <c r="F62" s="138">
        <v>0</v>
      </c>
    </row>
    <row r="63" spans="1:6" x14ac:dyDescent="0.25">
      <c r="A63" s="136">
        <v>53</v>
      </c>
      <c r="B63" s="136">
        <v>24006</v>
      </c>
      <c r="C63" s="137" t="s">
        <v>79</v>
      </c>
      <c r="D63" s="138">
        <v>7967</v>
      </c>
      <c r="E63" s="138">
        <v>0</v>
      </c>
      <c r="F63" s="138">
        <v>0</v>
      </c>
    </row>
    <row r="64" spans="1:6" x14ac:dyDescent="0.25">
      <c r="A64" s="136">
        <v>54</v>
      </c>
      <c r="B64" s="136">
        <v>21201</v>
      </c>
      <c r="C64" s="137" t="s">
        <v>6</v>
      </c>
      <c r="D64" s="138">
        <v>83168</v>
      </c>
      <c r="E64" s="138">
        <v>0</v>
      </c>
      <c r="F64" s="138">
        <v>0</v>
      </c>
    </row>
    <row r="65" spans="1:6" x14ac:dyDescent="0.25">
      <c r="A65" s="136">
        <v>55</v>
      </c>
      <c r="B65" s="136">
        <v>21303</v>
      </c>
      <c r="C65" s="137" t="s">
        <v>13</v>
      </c>
      <c r="D65" s="138">
        <v>56440</v>
      </c>
      <c r="E65" s="138">
        <v>0</v>
      </c>
      <c r="F65" s="138">
        <v>0</v>
      </c>
    </row>
    <row r="66" spans="1:6" x14ac:dyDescent="0.25">
      <c r="A66" s="136">
        <v>56</v>
      </c>
      <c r="B66" s="136">
        <v>21502</v>
      </c>
      <c r="C66" s="137" t="s">
        <v>9</v>
      </c>
      <c r="D66" s="138">
        <v>30950</v>
      </c>
      <c r="E66" s="138">
        <v>0</v>
      </c>
      <c r="F66" s="138">
        <v>0</v>
      </c>
    </row>
    <row r="67" spans="1:6" x14ac:dyDescent="0.25">
      <c r="A67" s="136">
        <v>57</v>
      </c>
      <c r="B67" s="136">
        <v>21401</v>
      </c>
      <c r="C67" s="137" t="s">
        <v>379</v>
      </c>
      <c r="D67" s="138">
        <v>6965</v>
      </c>
      <c r="E67" s="138">
        <v>0</v>
      </c>
      <c r="F67" s="138">
        <v>0</v>
      </c>
    </row>
    <row r="68" spans="1:6" x14ac:dyDescent="0.25">
      <c r="A68" s="136">
        <v>58</v>
      </c>
      <c r="B68" s="136">
        <v>21424</v>
      </c>
      <c r="C68" s="137" t="s">
        <v>11</v>
      </c>
      <c r="D68" s="138">
        <v>66108</v>
      </c>
      <c r="E68" s="138">
        <v>0</v>
      </c>
      <c r="F68" s="138">
        <v>0</v>
      </c>
    </row>
    <row r="69" spans="1:6" x14ac:dyDescent="0.25">
      <c r="A69" s="136">
        <v>59</v>
      </c>
      <c r="B69" s="136">
        <v>21602</v>
      </c>
      <c r="C69" s="137" t="s">
        <v>380</v>
      </c>
      <c r="D69" s="138">
        <v>51079</v>
      </c>
      <c r="E69" s="138">
        <v>0</v>
      </c>
      <c r="F69" s="138">
        <v>0</v>
      </c>
    </row>
    <row r="70" spans="1:6" x14ac:dyDescent="0.25">
      <c r="A70" s="136">
        <v>60</v>
      </c>
      <c r="B70" s="136">
        <v>21601</v>
      </c>
      <c r="C70" s="137" t="s">
        <v>124</v>
      </c>
      <c r="D70" s="138">
        <v>66671</v>
      </c>
      <c r="E70" s="138">
        <v>21506</v>
      </c>
      <c r="F70" s="138">
        <v>0</v>
      </c>
    </row>
    <row r="71" spans="1:6" x14ac:dyDescent="0.25">
      <c r="A71" s="136">
        <v>61</v>
      </c>
      <c r="B71" s="136">
        <v>21616</v>
      </c>
      <c r="C71" s="137" t="s">
        <v>183</v>
      </c>
      <c r="D71" s="138">
        <v>27527</v>
      </c>
      <c r="E71" s="138">
        <v>14041</v>
      </c>
      <c r="F71" s="138">
        <v>0</v>
      </c>
    </row>
    <row r="72" spans="1:6" x14ac:dyDescent="0.25">
      <c r="A72" s="136">
        <v>62</v>
      </c>
      <c r="B72" s="136">
        <v>21636</v>
      </c>
      <c r="C72" s="137" t="s">
        <v>65</v>
      </c>
      <c r="D72" s="138">
        <v>11000</v>
      </c>
      <c r="E72" s="138">
        <v>0</v>
      </c>
      <c r="F72" s="138">
        <v>0</v>
      </c>
    </row>
    <row r="73" spans="1:6" ht="30" x14ac:dyDescent="0.25">
      <c r="A73" s="136">
        <v>63</v>
      </c>
      <c r="B73" s="136">
        <v>21604</v>
      </c>
      <c r="C73" s="137" t="s">
        <v>381</v>
      </c>
      <c r="D73" s="138">
        <v>3086</v>
      </c>
      <c r="E73" s="138">
        <v>0</v>
      </c>
      <c r="F73" s="138">
        <v>0</v>
      </c>
    </row>
    <row r="74" spans="1:6" x14ac:dyDescent="0.25">
      <c r="A74" s="136">
        <v>64</v>
      </c>
      <c r="B74" s="136">
        <v>29100</v>
      </c>
      <c r="C74" s="137" t="s">
        <v>345</v>
      </c>
      <c r="D74" s="138">
        <v>27112</v>
      </c>
      <c r="E74" s="138">
        <v>0</v>
      </c>
      <c r="F74" s="138">
        <v>0</v>
      </c>
    </row>
    <row r="75" spans="1:6" x14ac:dyDescent="0.25">
      <c r="A75" s="136">
        <v>65</v>
      </c>
      <c r="B75" s="136">
        <v>29300</v>
      </c>
      <c r="C75" s="137" t="s">
        <v>153</v>
      </c>
      <c r="D75" s="138">
        <v>16168</v>
      </c>
      <c r="E75" s="138">
        <v>0</v>
      </c>
      <c r="F75" s="138">
        <v>0</v>
      </c>
    </row>
    <row r="76" spans="1:6" ht="30" x14ac:dyDescent="0.25">
      <c r="A76" s="136">
        <v>66</v>
      </c>
      <c r="B76" s="136">
        <v>29400</v>
      </c>
      <c r="C76" s="137" t="s">
        <v>16</v>
      </c>
      <c r="D76" s="138">
        <v>35203</v>
      </c>
      <c r="E76" s="138">
        <v>9715</v>
      </c>
      <c r="F76" s="138">
        <v>0</v>
      </c>
    </row>
    <row r="77" spans="1:6" x14ac:dyDescent="0.25">
      <c r="A77" s="136">
        <v>67</v>
      </c>
      <c r="B77" s="136">
        <v>29700</v>
      </c>
      <c r="C77" s="137" t="s">
        <v>346</v>
      </c>
      <c r="D77" s="138">
        <v>37238</v>
      </c>
      <c r="E77" s="138">
        <v>0</v>
      </c>
      <c r="F77" s="138">
        <v>0</v>
      </c>
    </row>
    <row r="78" spans="1:6" x14ac:dyDescent="0.25">
      <c r="A78" s="136">
        <v>68</v>
      </c>
      <c r="B78" s="136">
        <v>24200</v>
      </c>
      <c r="C78" s="137" t="s">
        <v>141</v>
      </c>
      <c r="D78" s="138">
        <v>8118</v>
      </c>
      <c r="E78" s="138">
        <v>0</v>
      </c>
      <c r="F78" s="138">
        <v>0</v>
      </c>
    </row>
    <row r="79" spans="1:6" x14ac:dyDescent="0.25">
      <c r="A79" s="136">
        <v>69</v>
      </c>
      <c r="B79" s="136">
        <v>21800</v>
      </c>
      <c r="C79" s="137" t="s">
        <v>147</v>
      </c>
      <c r="D79" s="138">
        <v>68498</v>
      </c>
      <c r="E79" s="138">
        <v>25133</v>
      </c>
      <c r="F79" s="138">
        <v>13646</v>
      </c>
    </row>
    <row r="80" spans="1:6" x14ac:dyDescent="0.25">
      <c r="A80" s="136">
        <v>70</v>
      </c>
      <c r="B80" s="136">
        <v>22300</v>
      </c>
      <c r="C80" s="137" t="s">
        <v>143</v>
      </c>
      <c r="D80" s="138">
        <v>46997</v>
      </c>
      <c r="E80" s="138">
        <v>0</v>
      </c>
      <c r="F80" s="138">
        <v>0</v>
      </c>
    </row>
    <row r="81" spans="1:6" x14ac:dyDescent="0.25">
      <c r="A81" s="136">
        <v>71</v>
      </c>
      <c r="B81" s="136">
        <v>28000</v>
      </c>
      <c r="C81" s="137" t="s">
        <v>382</v>
      </c>
      <c r="D81" s="138">
        <v>38371</v>
      </c>
      <c r="E81" s="138">
        <v>0</v>
      </c>
      <c r="F81" s="138">
        <v>0</v>
      </c>
    </row>
    <row r="82" spans="1:6" x14ac:dyDescent="0.25">
      <c r="A82" s="136">
        <v>72</v>
      </c>
      <c r="B82" s="136">
        <v>23500</v>
      </c>
      <c r="C82" s="137" t="s">
        <v>347</v>
      </c>
      <c r="D82" s="138">
        <v>74203</v>
      </c>
      <c r="E82" s="138">
        <v>23285</v>
      </c>
      <c r="F82" s="138">
        <v>0</v>
      </c>
    </row>
    <row r="83" spans="1:6" x14ac:dyDescent="0.25">
      <c r="A83" s="136">
        <v>73</v>
      </c>
      <c r="B83" s="136">
        <v>21200</v>
      </c>
      <c r="C83" s="137" t="s">
        <v>222</v>
      </c>
      <c r="D83" s="138">
        <v>28160</v>
      </c>
      <c r="E83" s="138">
        <v>0</v>
      </c>
      <c r="F83" s="138">
        <v>0</v>
      </c>
    </row>
    <row r="84" spans="1:6" ht="30" x14ac:dyDescent="0.25">
      <c r="A84" s="136">
        <v>74</v>
      </c>
      <c r="B84" s="136">
        <v>21110</v>
      </c>
      <c r="C84" s="137" t="s">
        <v>191</v>
      </c>
      <c r="D84" s="138">
        <v>9237</v>
      </c>
      <c r="E84" s="138">
        <v>0</v>
      </c>
      <c r="F84" s="138">
        <v>0</v>
      </c>
    </row>
    <row r="85" spans="1:6" ht="30" x14ac:dyDescent="0.25">
      <c r="A85" s="136">
        <v>75</v>
      </c>
      <c r="B85" s="136">
        <v>21100</v>
      </c>
      <c r="C85" s="137" t="s">
        <v>343</v>
      </c>
      <c r="D85" s="138">
        <v>7563</v>
      </c>
      <c r="E85" s="138">
        <v>0</v>
      </c>
      <c r="F85" s="138">
        <v>0</v>
      </c>
    </row>
    <row r="86" spans="1:6" ht="30" x14ac:dyDescent="0.25">
      <c r="A86" s="136">
        <v>76</v>
      </c>
      <c r="B86" s="136">
        <v>27000</v>
      </c>
      <c r="C86" s="137" t="s">
        <v>383</v>
      </c>
      <c r="D86" s="138">
        <v>26223</v>
      </c>
      <c r="E86" s="138">
        <v>15590</v>
      </c>
      <c r="F86" s="138">
        <v>0</v>
      </c>
    </row>
    <row r="87" spans="1:6" ht="30" x14ac:dyDescent="0.25">
      <c r="A87" s="136">
        <v>77</v>
      </c>
      <c r="B87" s="136">
        <v>21120</v>
      </c>
      <c r="C87" s="137" t="s">
        <v>344</v>
      </c>
      <c r="D87" s="138">
        <v>28169</v>
      </c>
      <c r="E87" s="138">
        <v>14933</v>
      </c>
      <c r="F87" s="138">
        <v>0</v>
      </c>
    </row>
    <row r="88" spans="1:6" ht="30" x14ac:dyDescent="0.25">
      <c r="A88" s="136">
        <v>78</v>
      </c>
      <c r="B88" s="136">
        <v>21130</v>
      </c>
      <c r="C88" s="137" t="s">
        <v>384</v>
      </c>
      <c r="D88" s="138">
        <v>5185</v>
      </c>
      <c r="E88" s="138">
        <v>0</v>
      </c>
      <c r="F88" s="138">
        <v>0</v>
      </c>
    </row>
    <row r="89" spans="1:6" ht="30" x14ac:dyDescent="0.25">
      <c r="A89" s="136">
        <v>79</v>
      </c>
      <c r="B89" s="136">
        <v>21150</v>
      </c>
      <c r="C89" s="137" t="s">
        <v>385</v>
      </c>
      <c r="D89" s="138">
        <v>9725</v>
      </c>
      <c r="E89" s="138">
        <v>0</v>
      </c>
      <c r="F89" s="138">
        <v>0</v>
      </c>
    </row>
    <row r="90" spans="1:6" ht="30" x14ac:dyDescent="0.25">
      <c r="A90" s="136">
        <v>80</v>
      </c>
      <c r="B90" s="136">
        <v>21050</v>
      </c>
      <c r="C90" s="137" t="s">
        <v>386</v>
      </c>
      <c r="D90" s="138">
        <v>23001</v>
      </c>
      <c r="E90" s="138">
        <v>0</v>
      </c>
      <c r="F90" s="138">
        <v>0</v>
      </c>
    </row>
    <row r="91" spans="1:6" x14ac:dyDescent="0.25">
      <c r="A91" s="136">
        <v>81</v>
      </c>
      <c r="B91" s="136">
        <v>20171</v>
      </c>
      <c r="C91" s="137" t="s">
        <v>387</v>
      </c>
      <c r="D91" s="138">
        <v>2991</v>
      </c>
      <c r="E91" s="138">
        <v>0</v>
      </c>
      <c r="F91" s="138">
        <v>0</v>
      </c>
    </row>
    <row r="92" spans="1:6" x14ac:dyDescent="0.25">
      <c r="A92" s="136">
        <v>82</v>
      </c>
      <c r="B92" s="136">
        <v>22117</v>
      </c>
      <c r="C92" s="137" t="s">
        <v>388</v>
      </c>
      <c r="D92" s="141">
        <v>7272</v>
      </c>
      <c r="E92" s="141">
        <v>0</v>
      </c>
      <c r="F92" s="141">
        <v>0</v>
      </c>
    </row>
    <row r="93" spans="1:6" ht="30" x14ac:dyDescent="0.25">
      <c r="A93" s="136">
        <v>83</v>
      </c>
      <c r="B93" s="136">
        <v>22800</v>
      </c>
      <c r="C93" s="137" t="s">
        <v>17</v>
      </c>
      <c r="D93" s="141">
        <v>3402</v>
      </c>
      <c r="E93" s="141">
        <v>0</v>
      </c>
      <c r="F93" s="141">
        <v>0</v>
      </c>
    </row>
    <row r="94" spans="1:6" x14ac:dyDescent="0.25">
      <c r="A94" s="136">
        <v>84</v>
      </c>
      <c r="B94" s="136">
        <v>22109</v>
      </c>
      <c r="C94" s="137" t="s">
        <v>389</v>
      </c>
      <c r="D94" s="141">
        <v>11962</v>
      </c>
      <c r="E94" s="141">
        <v>0</v>
      </c>
      <c r="F94" s="141">
        <v>11962</v>
      </c>
    </row>
    <row r="95" spans="1:6" x14ac:dyDescent="0.25">
      <c r="A95" s="136">
        <v>85</v>
      </c>
      <c r="B95" s="136">
        <v>22113</v>
      </c>
      <c r="C95" s="137" t="s">
        <v>2</v>
      </c>
      <c r="D95" s="141">
        <v>28312</v>
      </c>
      <c r="E95" s="141">
        <v>23372</v>
      </c>
      <c r="F95" s="141">
        <v>0</v>
      </c>
    </row>
    <row r="96" spans="1:6" x14ac:dyDescent="0.25">
      <c r="A96" s="136">
        <v>86</v>
      </c>
      <c r="B96" s="136">
        <v>22720</v>
      </c>
      <c r="C96" s="137" t="s">
        <v>114</v>
      </c>
      <c r="D96" s="141">
        <v>74374</v>
      </c>
      <c r="E96" s="141">
        <v>24434</v>
      </c>
      <c r="F96" s="141">
        <v>0</v>
      </c>
    </row>
    <row r="97" spans="1:6" x14ac:dyDescent="0.25">
      <c r="A97" s="136">
        <v>87</v>
      </c>
      <c r="B97" s="136">
        <v>22400</v>
      </c>
      <c r="C97" s="137" t="s">
        <v>390</v>
      </c>
      <c r="D97" s="141">
        <v>51118</v>
      </c>
      <c r="E97" s="141">
        <v>0</v>
      </c>
      <c r="F97" s="141">
        <v>0</v>
      </c>
    </row>
    <row r="98" spans="1:6" x14ac:dyDescent="0.25">
      <c r="A98" s="136">
        <v>88</v>
      </c>
      <c r="B98" s="136">
        <v>22710</v>
      </c>
      <c r="C98" s="137" t="s">
        <v>391</v>
      </c>
      <c r="D98" s="141">
        <v>4000</v>
      </c>
      <c r="E98" s="141">
        <v>0</v>
      </c>
      <c r="F98" s="141">
        <v>0</v>
      </c>
    </row>
    <row r="99" spans="1:6" x14ac:dyDescent="0.25">
      <c r="A99" s="136">
        <v>89</v>
      </c>
      <c r="B99" s="136">
        <v>22130</v>
      </c>
      <c r="C99" s="137" t="s">
        <v>276</v>
      </c>
      <c r="D99" s="141">
        <v>500</v>
      </c>
      <c r="E99" s="141">
        <v>0</v>
      </c>
      <c r="F99" s="141">
        <v>0</v>
      </c>
    </row>
    <row r="102" spans="1:6" x14ac:dyDescent="0.25">
      <c r="D102" s="140"/>
      <c r="E102" s="140"/>
      <c r="F102" s="140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A020-82D7-4868-9D88-3B1CFCB127B5}">
  <dimension ref="A1:L12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O115" sqref="O115"/>
    </sheetView>
  </sheetViews>
  <sheetFormatPr defaultRowHeight="15" x14ac:dyDescent="0.25"/>
  <cols>
    <col min="1" max="1" width="5.28515625" style="704" customWidth="1"/>
    <col min="2" max="2" width="9.140625" style="704"/>
    <col min="3" max="3" width="30.7109375" style="704" customWidth="1"/>
    <col min="4" max="4" width="13" style="704" customWidth="1"/>
    <col min="5" max="6" width="10.85546875" style="704" customWidth="1"/>
    <col min="7" max="12" width="13" style="704" customWidth="1"/>
    <col min="13" max="16384" width="9.140625" style="704"/>
  </cols>
  <sheetData>
    <row r="1" spans="1:12" ht="18.75" x14ac:dyDescent="0.25">
      <c r="A1" s="877" t="s">
        <v>392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</row>
    <row r="2" spans="1:12" ht="15.75" thickBot="1" x14ac:dyDescent="0.3"/>
    <row r="3" spans="1:12" ht="22.5" customHeight="1" x14ac:dyDescent="0.25">
      <c r="A3" s="878" t="s">
        <v>0</v>
      </c>
      <c r="B3" s="880" t="s">
        <v>296</v>
      </c>
      <c r="C3" s="882" t="s">
        <v>338</v>
      </c>
      <c r="D3" s="878" t="s">
        <v>393</v>
      </c>
      <c r="E3" s="884" t="s">
        <v>394</v>
      </c>
      <c r="F3" s="884"/>
      <c r="G3" s="884"/>
      <c r="H3" s="884"/>
      <c r="I3" s="884"/>
      <c r="J3" s="884"/>
      <c r="K3" s="885"/>
      <c r="L3" s="886" t="s">
        <v>395</v>
      </c>
    </row>
    <row r="4" spans="1:12" ht="21" customHeight="1" x14ac:dyDescent="0.25">
      <c r="A4" s="879"/>
      <c r="B4" s="881"/>
      <c r="C4" s="883"/>
      <c r="D4" s="879"/>
      <c r="E4" s="888" t="s">
        <v>396</v>
      </c>
      <c r="F4" s="888" t="s">
        <v>397</v>
      </c>
      <c r="G4" s="888" t="s">
        <v>398</v>
      </c>
      <c r="H4" s="888" t="s">
        <v>399</v>
      </c>
      <c r="I4" s="888" t="s">
        <v>400</v>
      </c>
      <c r="J4" s="888"/>
      <c r="K4" s="889"/>
      <c r="L4" s="887"/>
    </row>
    <row r="5" spans="1:12" x14ac:dyDescent="0.25">
      <c r="A5" s="879"/>
      <c r="B5" s="881"/>
      <c r="C5" s="883"/>
      <c r="D5" s="879"/>
      <c r="E5" s="888"/>
      <c r="F5" s="888"/>
      <c r="G5" s="888"/>
      <c r="H5" s="888"/>
      <c r="I5" s="888" t="s">
        <v>1</v>
      </c>
      <c r="J5" s="888" t="s">
        <v>394</v>
      </c>
      <c r="K5" s="889"/>
      <c r="L5" s="887"/>
    </row>
    <row r="6" spans="1:12" ht="63.75" customHeight="1" x14ac:dyDescent="0.25">
      <c r="A6" s="879"/>
      <c r="B6" s="881"/>
      <c r="C6" s="883"/>
      <c r="D6" s="879"/>
      <c r="E6" s="888"/>
      <c r="F6" s="888"/>
      <c r="G6" s="888"/>
      <c r="H6" s="888"/>
      <c r="I6" s="888"/>
      <c r="J6" s="705" t="s">
        <v>2334</v>
      </c>
      <c r="K6" s="706" t="s">
        <v>315</v>
      </c>
      <c r="L6" s="887"/>
    </row>
    <row r="7" spans="1:12" x14ac:dyDescent="0.25">
      <c r="A7" s="707">
        <v>1</v>
      </c>
      <c r="B7" s="708">
        <v>2</v>
      </c>
      <c r="C7" s="709">
        <v>3</v>
      </c>
      <c r="D7" s="710">
        <v>4</v>
      </c>
      <c r="E7" s="711">
        <v>5</v>
      </c>
      <c r="F7" s="712">
        <v>6</v>
      </c>
      <c r="G7" s="712">
        <v>7</v>
      </c>
      <c r="H7" s="712">
        <v>8</v>
      </c>
      <c r="I7" s="712">
        <v>9</v>
      </c>
      <c r="J7" s="713">
        <v>10</v>
      </c>
      <c r="K7" s="714">
        <v>11</v>
      </c>
      <c r="L7" s="715">
        <v>12</v>
      </c>
    </row>
    <row r="8" spans="1:12" x14ac:dyDescent="0.25">
      <c r="A8" s="142"/>
      <c r="B8" s="134"/>
      <c r="C8" s="143" t="s">
        <v>1</v>
      </c>
      <c r="D8" s="716">
        <f>D11+D10+D9</f>
        <v>7082446</v>
      </c>
      <c r="E8" s="717">
        <f t="shared" ref="E8:L8" si="0">E11+E10+E9</f>
        <v>11637</v>
      </c>
      <c r="F8" s="717">
        <f t="shared" si="0"/>
        <v>70155</v>
      </c>
      <c r="G8" s="717">
        <f t="shared" si="0"/>
        <v>457427</v>
      </c>
      <c r="H8" s="717">
        <f t="shared" si="0"/>
        <v>41266</v>
      </c>
      <c r="I8" s="717">
        <f t="shared" si="0"/>
        <v>6501961</v>
      </c>
      <c r="J8" s="717">
        <f t="shared" si="0"/>
        <v>1759574</v>
      </c>
      <c r="K8" s="718">
        <f t="shared" si="0"/>
        <v>4742387</v>
      </c>
      <c r="L8" s="719">
        <f t="shared" si="0"/>
        <v>11370</v>
      </c>
    </row>
    <row r="9" spans="1:12" ht="25.5" x14ac:dyDescent="0.25">
      <c r="A9" s="720"/>
      <c r="B9" s="721"/>
      <c r="C9" s="722" t="s">
        <v>3</v>
      </c>
      <c r="D9" s="723">
        <f>E9+F9+G9+H9+I9</f>
        <v>4983</v>
      </c>
      <c r="E9" s="724">
        <f>'[15]Обращения 3-22'!E9+'[15] Изм. об. 4-3'!E9</f>
        <v>0</v>
      </c>
      <c r="F9" s="724">
        <f>'[15]Обращения 3-22'!F9+'[15] Изм. об. 4-3'!F9</f>
        <v>0</v>
      </c>
      <c r="G9" s="724">
        <f>'[15]Обращения 3-22'!G9+'[15] Изм. об. 4-3'!G9</f>
        <v>3963</v>
      </c>
      <c r="H9" s="724">
        <f>'[15]Обращения 3-22'!H9+'[15] Изм. об. 4-3'!H9</f>
        <v>1020</v>
      </c>
      <c r="I9" s="724">
        <f>'[15]Обращения 3-22'!I9+'[15] Изм. об. 4-3'!I9</f>
        <v>0</v>
      </c>
      <c r="J9" s="724">
        <f>'[15]Обращения 3-22'!J9+'[15] Изм. об. 4-3'!J9</f>
        <v>0</v>
      </c>
      <c r="K9" s="725">
        <f>'[15]Обращения 3-22'!K9+'[15] Изм. об. 4-3'!K9</f>
        <v>0</v>
      </c>
      <c r="L9" s="726">
        <f>'[15]Обращения 3-22'!L9+'[15] Изм. об. 4-3'!L9</f>
        <v>7846</v>
      </c>
    </row>
    <row r="10" spans="1:12" x14ac:dyDescent="0.25">
      <c r="A10" s="720"/>
      <c r="B10" s="721"/>
      <c r="C10" s="722" t="s">
        <v>401</v>
      </c>
      <c r="D10" s="723">
        <f>E10+F10+G10+H10+I10</f>
        <v>1428</v>
      </c>
      <c r="E10" s="724">
        <f>'[15]Обращения 3-22'!E10+'[15] Изм. об. 4-3'!E10</f>
        <v>0</v>
      </c>
      <c r="F10" s="724">
        <f>'[15]Обращения 3-22'!F10+'[15] Изм. об. 4-3'!F10</f>
        <v>0</v>
      </c>
      <c r="G10" s="724">
        <f>'[15]Обращения 3-22'!G10+'[15] Изм. об. 4-3'!G10</f>
        <v>1428</v>
      </c>
      <c r="H10" s="724">
        <f>'[15]Обращения 3-22'!H10+'[15] Изм. об. 4-3'!H10</f>
        <v>0</v>
      </c>
      <c r="I10" s="724">
        <f>'[15]Обращения 3-22'!I10+'[15] Изм. об. 4-3'!I10</f>
        <v>0</v>
      </c>
      <c r="J10" s="724">
        <f>'[15]Обращения 3-22'!J10+'[15] Изм. об. 4-3'!J10</f>
        <v>0</v>
      </c>
      <c r="K10" s="725">
        <f>'[15]Обращения 3-22'!K10+'[15] Изм. об. 4-3'!K10</f>
        <v>0</v>
      </c>
      <c r="L10" s="726">
        <f>'[15]Обращения 3-22'!L10+'[15] Изм. об. 4-3'!L10</f>
        <v>0</v>
      </c>
    </row>
    <row r="11" spans="1:12" x14ac:dyDescent="0.25">
      <c r="A11" s="720"/>
      <c r="B11" s="721"/>
      <c r="C11" s="139" t="s">
        <v>4</v>
      </c>
      <c r="D11" s="727">
        <f t="shared" ref="D11:L11" si="1">SUM(D12:D123)</f>
        <v>7076035</v>
      </c>
      <c r="E11" s="728">
        <f t="shared" si="1"/>
        <v>11637</v>
      </c>
      <c r="F11" s="728">
        <f t="shared" si="1"/>
        <v>70155</v>
      </c>
      <c r="G11" s="728">
        <f t="shared" si="1"/>
        <v>452036</v>
      </c>
      <c r="H11" s="728">
        <f t="shared" si="1"/>
        <v>40246</v>
      </c>
      <c r="I11" s="728">
        <f t="shared" si="1"/>
        <v>6501961</v>
      </c>
      <c r="J11" s="728">
        <f t="shared" si="1"/>
        <v>1759574</v>
      </c>
      <c r="K11" s="729">
        <f t="shared" si="1"/>
        <v>4742387</v>
      </c>
      <c r="L11" s="730">
        <f t="shared" si="1"/>
        <v>3524</v>
      </c>
    </row>
    <row r="12" spans="1:12" x14ac:dyDescent="0.25">
      <c r="A12" s="720">
        <v>1</v>
      </c>
      <c r="B12" s="721">
        <v>25004</v>
      </c>
      <c r="C12" s="722" t="s">
        <v>29</v>
      </c>
      <c r="D12" s="723">
        <f t="shared" ref="D12:D75" si="2">E12+F12+G12+H12+I12</f>
        <v>34780</v>
      </c>
      <c r="E12" s="724">
        <f>'[15]Обращения 3-22'!E12+'[15] Изм. об. 4-3'!E12</f>
        <v>0</v>
      </c>
      <c r="F12" s="724">
        <f>'[15]Обращения 3-22'!F12+'[15] Изм. об. 4-3'!F12</f>
        <v>0</v>
      </c>
      <c r="G12" s="724">
        <f>'[15]Обращения 3-22'!G12+'[15] Изм. об. 4-3'!G12</f>
        <v>0</v>
      </c>
      <c r="H12" s="724">
        <f>'[15]Обращения 3-22'!H12+'[15] Изм. об. 4-3'!H12</f>
        <v>0</v>
      </c>
      <c r="I12" s="724">
        <f>J12+K12</f>
        <v>34780</v>
      </c>
      <c r="J12" s="724">
        <f>'[15]Обращения 3-22'!J12+'[15] Изм. об. 4-3'!J12</f>
        <v>8208</v>
      </c>
      <c r="K12" s="725">
        <f>'[15]Обращения 3-22'!K12+'[15] Изм. об. 4-3'!K12</f>
        <v>26572</v>
      </c>
      <c r="L12" s="726">
        <f>'[15]Обращения 3-22'!L12+'[15] Изм. об. 4-3'!L12</f>
        <v>0</v>
      </c>
    </row>
    <row r="13" spans="1:12" x14ac:dyDescent="0.25">
      <c r="A13" s="720">
        <v>2</v>
      </c>
      <c r="B13" s="721">
        <v>22103</v>
      </c>
      <c r="C13" s="722" t="s">
        <v>31</v>
      </c>
      <c r="D13" s="723">
        <f t="shared" si="2"/>
        <v>35335</v>
      </c>
      <c r="E13" s="724">
        <f>'[15]Обращения 3-22'!E13+'[15] Изм. об. 4-3'!E13</f>
        <v>0</v>
      </c>
      <c r="F13" s="724">
        <f>'[15]Обращения 3-22'!F13+'[15] Изм. об. 4-3'!F13</f>
        <v>0</v>
      </c>
      <c r="G13" s="724">
        <f>'[15]Обращения 3-22'!G13+'[15] Изм. об. 4-3'!G13</f>
        <v>0</v>
      </c>
      <c r="H13" s="724">
        <f>'[15]Обращения 3-22'!H13+'[15] Изм. об. 4-3'!H13</f>
        <v>0</v>
      </c>
      <c r="I13" s="724">
        <f t="shared" ref="I13:I76" si="3">J13+K13</f>
        <v>35335</v>
      </c>
      <c r="J13" s="724">
        <f>'[15]Обращения 3-22'!J13+'[15] Изм. об. 4-3'!J13</f>
        <v>8728</v>
      </c>
      <c r="K13" s="725">
        <f>'[15]Обращения 3-22'!K13+'[15] Изм. об. 4-3'!K13</f>
        <v>26607</v>
      </c>
      <c r="L13" s="726">
        <f>'[15]Обращения 3-22'!L13+'[15] Изм. об. 4-3'!L13</f>
        <v>0</v>
      </c>
    </row>
    <row r="14" spans="1:12" x14ac:dyDescent="0.25">
      <c r="A14" s="720">
        <v>3</v>
      </c>
      <c r="B14" s="721">
        <v>25001</v>
      </c>
      <c r="C14" s="722" t="s">
        <v>5</v>
      </c>
      <c r="D14" s="723">
        <f t="shared" si="2"/>
        <v>104683</v>
      </c>
      <c r="E14" s="724">
        <f>'[15]Обращения 3-22'!E14+'[15] Изм. об. 4-3'!E14</f>
        <v>0</v>
      </c>
      <c r="F14" s="724">
        <f>'[15]Обращения 3-22'!F14+'[15] Изм. об. 4-3'!F14</f>
        <v>3964</v>
      </c>
      <c r="G14" s="724">
        <f>'[15]Обращения 3-22'!G14+'[15] Изм. об. 4-3'!G14</f>
        <v>0</v>
      </c>
      <c r="H14" s="724">
        <f>'[15]Обращения 3-22'!H14+'[15] Изм. об. 4-3'!H14</f>
        <v>0</v>
      </c>
      <c r="I14" s="724">
        <f t="shared" si="3"/>
        <v>100719</v>
      </c>
      <c r="J14" s="724">
        <f>'[15]Обращения 3-22'!J14+'[15] Изм. об. 4-3'!J14</f>
        <v>35252</v>
      </c>
      <c r="K14" s="725">
        <f>'[15]Обращения 3-22'!K14+'[15] Изм. об. 4-3'!K14</f>
        <v>65467</v>
      </c>
      <c r="L14" s="726">
        <f>'[15]Обращения 3-22'!L14+'[15] Изм. об. 4-3'!L14</f>
        <v>0</v>
      </c>
    </row>
    <row r="15" spans="1:12" x14ac:dyDescent="0.25">
      <c r="A15" s="720">
        <v>4</v>
      </c>
      <c r="B15" s="721">
        <v>25005</v>
      </c>
      <c r="C15" s="722" t="s">
        <v>35</v>
      </c>
      <c r="D15" s="723">
        <f t="shared" si="2"/>
        <v>36977</v>
      </c>
      <c r="E15" s="724">
        <f>'[15]Обращения 3-22'!E15+'[15] Изм. об. 4-3'!E15</f>
        <v>0</v>
      </c>
      <c r="F15" s="724">
        <f>'[15]Обращения 3-22'!F15+'[15] Изм. об. 4-3'!F15</f>
        <v>0</v>
      </c>
      <c r="G15" s="724">
        <f>'[15]Обращения 3-22'!G15+'[15] Изм. об. 4-3'!G15</f>
        <v>0</v>
      </c>
      <c r="H15" s="724">
        <f>'[15]Обращения 3-22'!H15+'[15] Изм. об. 4-3'!H15</f>
        <v>0</v>
      </c>
      <c r="I15" s="724">
        <f t="shared" si="3"/>
        <v>36977</v>
      </c>
      <c r="J15" s="724">
        <f>'[15]Обращения 3-22'!J15+'[15] Изм. об. 4-3'!J15</f>
        <v>8727</v>
      </c>
      <c r="K15" s="725">
        <f>'[15]Обращения 3-22'!K15+'[15] Изм. об. 4-3'!K15</f>
        <v>28250</v>
      </c>
      <c r="L15" s="726">
        <f>'[15]Обращения 3-22'!L15+'[15] Изм. об. 4-3'!L15</f>
        <v>0</v>
      </c>
    </row>
    <row r="16" spans="1:12" x14ac:dyDescent="0.25">
      <c r="A16" s="720">
        <v>5</v>
      </c>
      <c r="B16" s="721">
        <v>22102</v>
      </c>
      <c r="C16" s="722" t="s">
        <v>37</v>
      </c>
      <c r="D16" s="723">
        <f t="shared" si="2"/>
        <v>39977</v>
      </c>
      <c r="E16" s="724">
        <f>'[15]Обращения 3-22'!E16+'[15] Изм. об. 4-3'!E16</f>
        <v>0</v>
      </c>
      <c r="F16" s="724">
        <f>'[15]Обращения 3-22'!F16+'[15] Изм. об. 4-3'!F16</f>
        <v>0</v>
      </c>
      <c r="G16" s="724">
        <f>'[15]Обращения 3-22'!G16+'[15] Изм. об. 4-3'!G16</f>
        <v>0</v>
      </c>
      <c r="H16" s="724">
        <f>'[15]Обращения 3-22'!H16+'[15] Изм. об. 4-3'!H16</f>
        <v>0</v>
      </c>
      <c r="I16" s="724">
        <f t="shared" si="3"/>
        <v>39977</v>
      </c>
      <c r="J16" s="724">
        <f>'[15]Обращения 3-22'!J16+'[15] Изм. об. 4-3'!J16</f>
        <v>9994</v>
      </c>
      <c r="K16" s="725">
        <f>'[15]Обращения 3-22'!K16+'[15] Изм. об. 4-3'!K16</f>
        <v>29983</v>
      </c>
      <c r="L16" s="726">
        <f>'[15]Обращения 3-22'!L16+'[15] Изм. об. 4-3'!L16</f>
        <v>0</v>
      </c>
    </row>
    <row r="17" spans="1:12" x14ac:dyDescent="0.25">
      <c r="A17" s="720">
        <v>6</v>
      </c>
      <c r="B17" s="721">
        <v>21201</v>
      </c>
      <c r="C17" s="722" t="s">
        <v>6</v>
      </c>
      <c r="D17" s="723">
        <f t="shared" si="2"/>
        <v>274943</v>
      </c>
      <c r="E17" s="724">
        <f>'[15]Обращения 3-22'!E17+'[15] Изм. об. 4-3'!E17</f>
        <v>0</v>
      </c>
      <c r="F17" s="724">
        <f>'[15]Обращения 3-22'!F17+'[15] Изм. об. 4-3'!F17</f>
        <v>6543</v>
      </c>
      <c r="G17" s="724">
        <f>'[15]Обращения 3-22'!G17+'[15] Изм. об. 4-3'!G17</f>
        <v>0</v>
      </c>
      <c r="H17" s="724">
        <f>'[15]Обращения 3-22'!H17+'[15] Изм. об. 4-3'!H17</f>
        <v>0</v>
      </c>
      <c r="I17" s="724">
        <f t="shared" si="3"/>
        <v>268400</v>
      </c>
      <c r="J17" s="724">
        <f>'[15]Обращения 3-22'!J17+'[15] Изм. об. 4-3'!J17</f>
        <v>69784</v>
      </c>
      <c r="K17" s="725">
        <f>'[15]Обращения 3-22'!K17+'[15] Изм. об. 4-3'!K17</f>
        <v>198616</v>
      </c>
      <c r="L17" s="726">
        <f>'[15]Обращения 3-22'!L17+'[15] Изм. об. 4-3'!L17</f>
        <v>0</v>
      </c>
    </row>
    <row r="18" spans="1:12" x14ac:dyDescent="0.25">
      <c r="A18" s="720">
        <v>7</v>
      </c>
      <c r="B18" s="721">
        <v>27001</v>
      </c>
      <c r="C18" s="722" t="s">
        <v>23</v>
      </c>
      <c r="D18" s="723">
        <f t="shared" si="2"/>
        <v>99409</v>
      </c>
      <c r="E18" s="724">
        <f>'[15]Обращения 3-22'!E18+'[15] Изм. об. 4-3'!E18</f>
        <v>0</v>
      </c>
      <c r="F18" s="724">
        <f>'[15]Обращения 3-22'!F18+'[15] Изм. об. 4-3'!F18</f>
        <v>0</v>
      </c>
      <c r="G18" s="724">
        <f>'[15]Обращения 3-22'!G18+'[15] Изм. об. 4-3'!G18</f>
        <v>0</v>
      </c>
      <c r="H18" s="724">
        <f>'[15]Обращения 3-22'!H18+'[15] Изм. об. 4-3'!H18</f>
        <v>0</v>
      </c>
      <c r="I18" s="724">
        <f t="shared" si="3"/>
        <v>99409</v>
      </c>
      <c r="J18" s="724">
        <f>'[15]Обращения 3-22'!J18+'[15] Изм. об. 4-3'!J18</f>
        <v>31599</v>
      </c>
      <c r="K18" s="725">
        <f>'[15]Обращения 3-22'!K18+'[15] Изм. об. 4-3'!K18</f>
        <v>67810</v>
      </c>
      <c r="L18" s="726">
        <f>'[15]Обращения 3-22'!L18+'[15] Изм. об. 4-3'!L18</f>
        <v>0</v>
      </c>
    </row>
    <row r="19" spans="1:12" x14ac:dyDescent="0.25">
      <c r="A19" s="720">
        <v>8</v>
      </c>
      <c r="B19" s="721">
        <v>21206</v>
      </c>
      <c r="C19" s="722" t="s">
        <v>44</v>
      </c>
      <c r="D19" s="723">
        <f t="shared" si="2"/>
        <v>42673</v>
      </c>
      <c r="E19" s="724">
        <f>'[15]Обращения 3-22'!E19+'[15] Изм. об. 4-3'!E19</f>
        <v>0</v>
      </c>
      <c r="F19" s="724">
        <f>'[15]Обращения 3-22'!F19+'[15] Изм. об. 4-3'!F19</f>
        <v>0</v>
      </c>
      <c r="G19" s="724">
        <f>'[15]Обращения 3-22'!G19+'[15] Изм. об. 4-3'!G19</f>
        <v>0</v>
      </c>
      <c r="H19" s="724">
        <f>'[15]Обращения 3-22'!H19+'[15] Изм. об. 4-3'!H19</f>
        <v>0</v>
      </c>
      <c r="I19" s="724">
        <f t="shared" si="3"/>
        <v>42673</v>
      </c>
      <c r="J19" s="724">
        <f>'[15]Обращения 3-22'!J19+'[15] Изм. об. 4-3'!J19</f>
        <v>14509</v>
      </c>
      <c r="K19" s="725">
        <f>'[15]Обращения 3-22'!K19+'[15] Изм. об. 4-3'!K19</f>
        <v>28164</v>
      </c>
      <c r="L19" s="726">
        <f>'[15]Обращения 3-22'!L19+'[15] Изм. об. 4-3'!L19</f>
        <v>0</v>
      </c>
    </row>
    <row r="20" spans="1:12" x14ac:dyDescent="0.25">
      <c r="A20" s="720">
        <v>9</v>
      </c>
      <c r="B20" s="721">
        <v>25003</v>
      </c>
      <c r="C20" s="722" t="s">
        <v>45</v>
      </c>
      <c r="D20" s="723">
        <f t="shared" si="2"/>
        <v>39442</v>
      </c>
      <c r="E20" s="724">
        <f>'[15]Обращения 3-22'!E20+'[15] Изм. об. 4-3'!E20</f>
        <v>0</v>
      </c>
      <c r="F20" s="724">
        <f>'[15]Обращения 3-22'!F20+'[15] Изм. об. 4-3'!F20</f>
        <v>0</v>
      </c>
      <c r="G20" s="724">
        <f>'[15]Обращения 3-22'!G20+'[15] Изм. об. 4-3'!G20</f>
        <v>0</v>
      </c>
      <c r="H20" s="724">
        <f>'[15]Обращения 3-22'!H20+'[15] Изм. об. 4-3'!H20</f>
        <v>0</v>
      </c>
      <c r="I20" s="724">
        <f t="shared" si="3"/>
        <v>39442</v>
      </c>
      <c r="J20" s="724">
        <f>'[15]Обращения 3-22'!J20+'[15] Изм. об. 4-3'!J20</f>
        <v>9939</v>
      </c>
      <c r="K20" s="725">
        <f>'[15]Обращения 3-22'!K20+'[15] Изм. об. 4-3'!K20</f>
        <v>29503</v>
      </c>
      <c r="L20" s="726">
        <f>'[15]Обращения 3-22'!L20+'[15] Изм. об. 4-3'!L20</f>
        <v>0</v>
      </c>
    </row>
    <row r="21" spans="1:12" x14ac:dyDescent="0.25">
      <c r="A21" s="720">
        <v>10</v>
      </c>
      <c r="B21" s="721">
        <v>21205</v>
      </c>
      <c r="C21" s="722" t="s">
        <v>48</v>
      </c>
      <c r="D21" s="723">
        <f t="shared" si="2"/>
        <v>46037</v>
      </c>
      <c r="E21" s="724">
        <f>'[15]Обращения 3-22'!E21+'[15] Изм. об. 4-3'!E21</f>
        <v>0</v>
      </c>
      <c r="F21" s="724">
        <f>'[15]Обращения 3-22'!F21+'[15] Изм. об. 4-3'!F21</f>
        <v>0</v>
      </c>
      <c r="G21" s="724">
        <f>'[15]Обращения 3-22'!G21+'[15] Изм. об. 4-3'!G21</f>
        <v>0</v>
      </c>
      <c r="H21" s="724">
        <f>'[15]Обращения 3-22'!H21+'[15] Изм. об. 4-3'!H21</f>
        <v>0</v>
      </c>
      <c r="I21" s="724">
        <f t="shared" si="3"/>
        <v>46037</v>
      </c>
      <c r="J21" s="724">
        <f>'[15]Обращения 3-22'!J21+'[15] Изм. об. 4-3'!J21</f>
        <v>11647</v>
      </c>
      <c r="K21" s="725">
        <f>'[15]Обращения 3-22'!K21+'[15] Изм. об. 4-3'!K21</f>
        <v>34390</v>
      </c>
      <c r="L21" s="726">
        <f>'[15]Обращения 3-22'!L21+'[15] Изм. об. 4-3'!L21</f>
        <v>0</v>
      </c>
    </row>
    <row r="22" spans="1:12" x14ac:dyDescent="0.25">
      <c r="A22" s="720">
        <v>11</v>
      </c>
      <c r="B22" s="721">
        <v>25002</v>
      </c>
      <c r="C22" s="722" t="s">
        <v>52</v>
      </c>
      <c r="D22" s="723">
        <f t="shared" si="2"/>
        <v>39944</v>
      </c>
      <c r="E22" s="724">
        <f>'[15]Обращения 3-22'!E22+'[15] Изм. об. 4-3'!E22</f>
        <v>0</v>
      </c>
      <c r="F22" s="724">
        <f>'[15]Обращения 3-22'!F22+'[15] Изм. об. 4-3'!F22</f>
        <v>0</v>
      </c>
      <c r="G22" s="724">
        <f>'[15]Обращения 3-22'!G22+'[15] Изм. об. 4-3'!G22</f>
        <v>0</v>
      </c>
      <c r="H22" s="724">
        <f>'[15]Обращения 3-22'!H22+'[15] Изм. об. 4-3'!H22</f>
        <v>0</v>
      </c>
      <c r="I22" s="724">
        <f t="shared" si="3"/>
        <v>39944</v>
      </c>
      <c r="J22" s="724">
        <f>'[15]Обращения 3-22'!J22+'[15] Изм. об. 4-3'!J22</f>
        <v>9027</v>
      </c>
      <c r="K22" s="725">
        <f>'[15]Обращения 3-22'!K22+'[15] Изм. об. 4-3'!K22</f>
        <v>30917</v>
      </c>
      <c r="L22" s="726">
        <f>'[15]Обращения 3-22'!L22+'[15] Изм. об. 4-3'!L22</f>
        <v>0</v>
      </c>
    </row>
    <row r="23" spans="1:12" x14ac:dyDescent="0.25">
      <c r="A23" s="720">
        <v>12</v>
      </c>
      <c r="B23" s="721">
        <v>22104</v>
      </c>
      <c r="C23" s="722" t="s">
        <v>63</v>
      </c>
      <c r="D23" s="723">
        <f t="shared" si="2"/>
        <v>74730</v>
      </c>
      <c r="E23" s="724">
        <f>'[15]Обращения 3-22'!E23+'[15] Изм. об. 4-3'!E23</f>
        <v>0</v>
      </c>
      <c r="F23" s="724">
        <f>'[15]Обращения 3-22'!F23+'[15] Изм. об. 4-3'!F23</f>
        <v>0</v>
      </c>
      <c r="G23" s="724">
        <f>'[15]Обращения 3-22'!G23+'[15] Изм. об. 4-3'!G23</f>
        <v>0</v>
      </c>
      <c r="H23" s="724">
        <f>'[15]Обращения 3-22'!H23+'[15] Изм. об. 4-3'!H23</f>
        <v>0</v>
      </c>
      <c r="I23" s="724">
        <f t="shared" si="3"/>
        <v>74730</v>
      </c>
      <c r="J23" s="724">
        <f>'[15]Обращения 3-22'!J23+'[15] Изм. об. 4-3'!J23</f>
        <v>24661</v>
      </c>
      <c r="K23" s="725">
        <f>'[15]Обращения 3-22'!K23+'[15] Изм. об. 4-3'!K23</f>
        <v>50069</v>
      </c>
      <c r="L23" s="726">
        <f>'[15]Обращения 3-22'!L23+'[15] Изм. об. 4-3'!L23</f>
        <v>0</v>
      </c>
    </row>
    <row r="24" spans="1:12" x14ac:dyDescent="0.25">
      <c r="A24" s="720">
        <v>13</v>
      </c>
      <c r="B24" s="721">
        <v>21668</v>
      </c>
      <c r="C24" s="722" t="s">
        <v>402</v>
      </c>
      <c r="D24" s="723">
        <f t="shared" si="2"/>
        <v>50</v>
      </c>
      <c r="E24" s="724">
        <f>'[15]Обращения 3-22'!E24+'[15] Изм. об. 4-3'!E24</f>
        <v>0</v>
      </c>
      <c r="F24" s="724">
        <f>'[15]Обращения 3-22'!F24+'[15] Изм. об. 4-3'!F24</f>
        <v>0</v>
      </c>
      <c r="G24" s="724">
        <f>'[15]Обращения 3-22'!G24+'[15] Изм. об. 4-3'!G24</f>
        <v>50</v>
      </c>
      <c r="H24" s="724">
        <f>'[15]Обращения 3-22'!H24+'[15] Изм. об. 4-3'!H24</f>
        <v>0</v>
      </c>
      <c r="I24" s="724">
        <f t="shared" si="3"/>
        <v>0</v>
      </c>
      <c r="J24" s="724">
        <f>'[15]Обращения 3-22'!J24+'[15] Изм. об. 4-3'!J24</f>
        <v>0</v>
      </c>
      <c r="K24" s="725">
        <f>'[15]Обращения 3-22'!K24+'[15] Изм. об. 4-3'!K24</f>
        <v>0</v>
      </c>
      <c r="L24" s="726">
        <f>'[15]Обращения 3-22'!L24+'[15] Изм. об. 4-3'!L24</f>
        <v>0</v>
      </c>
    </row>
    <row r="25" spans="1:12" x14ac:dyDescent="0.25">
      <c r="A25" s="720">
        <v>14</v>
      </c>
      <c r="B25" s="721">
        <v>21501</v>
      </c>
      <c r="C25" s="722" t="s">
        <v>26</v>
      </c>
      <c r="D25" s="723">
        <f t="shared" si="2"/>
        <v>51101</v>
      </c>
      <c r="E25" s="724">
        <f>'[15]Обращения 3-22'!E25+'[15] Изм. об. 4-3'!E25</f>
        <v>0</v>
      </c>
      <c r="F25" s="724">
        <f>'[15]Обращения 3-22'!F25+'[15] Изм. об. 4-3'!F25</f>
        <v>0</v>
      </c>
      <c r="G25" s="724">
        <f>'[15]Обращения 3-22'!G25+'[15] Изм. об. 4-3'!G25</f>
        <v>0</v>
      </c>
      <c r="H25" s="724">
        <f>'[15]Обращения 3-22'!H25+'[15] Изм. об. 4-3'!H25</f>
        <v>0</v>
      </c>
      <c r="I25" s="724">
        <f t="shared" si="3"/>
        <v>51101</v>
      </c>
      <c r="J25" s="724">
        <f>'[15]Обращения 3-22'!J25+'[15] Изм. об. 4-3'!J25</f>
        <v>11038</v>
      </c>
      <c r="K25" s="725">
        <f>'[15]Обращения 3-22'!K25+'[15] Изм. об. 4-3'!K25</f>
        <v>40063</v>
      </c>
      <c r="L25" s="726">
        <f>'[15]Обращения 3-22'!L25+'[15] Изм. об. 4-3'!L25</f>
        <v>0</v>
      </c>
    </row>
    <row r="26" spans="1:12" x14ac:dyDescent="0.25">
      <c r="A26" s="720">
        <v>15</v>
      </c>
      <c r="B26" s="721">
        <v>24001</v>
      </c>
      <c r="C26" s="722" t="s">
        <v>28</v>
      </c>
      <c r="D26" s="723">
        <f t="shared" si="2"/>
        <v>70480</v>
      </c>
      <c r="E26" s="724">
        <f>'[15]Обращения 3-22'!E26+'[15] Изм. об. 4-3'!E26</f>
        <v>0</v>
      </c>
      <c r="F26" s="724">
        <f>'[15]Обращения 3-22'!F26+'[15] Изм. об. 4-3'!F26</f>
        <v>0</v>
      </c>
      <c r="G26" s="724">
        <f>'[15]Обращения 3-22'!G26+'[15] Изм. об. 4-3'!G26</f>
        <v>0</v>
      </c>
      <c r="H26" s="724">
        <f>'[15]Обращения 3-22'!H26+'[15] Изм. об. 4-3'!H26</f>
        <v>0</v>
      </c>
      <c r="I26" s="724">
        <f t="shared" si="3"/>
        <v>70480</v>
      </c>
      <c r="J26" s="724">
        <f>'[15]Обращения 3-22'!J26+'[15] Изм. об. 4-3'!J26</f>
        <v>9656</v>
      </c>
      <c r="K26" s="725">
        <f>'[15]Обращения 3-22'!K26+'[15] Изм. об. 4-3'!K26</f>
        <v>60824</v>
      </c>
      <c r="L26" s="726">
        <f>'[15]Обращения 3-22'!L26+'[15] Изм. об. 4-3'!L26</f>
        <v>0</v>
      </c>
    </row>
    <row r="27" spans="1:12" x14ac:dyDescent="0.25">
      <c r="A27" s="720">
        <v>16</v>
      </c>
      <c r="B27" s="721">
        <v>22001</v>
      </c>
      <c r="C27" s="722" t="s">
        <v>24</v>
      </c>
      <c r="D27" s="723">
        <f t="shared" si="2"/>
        <v>100496</v>
      </c>
      <c r="E27" s="724">
        <f>'[15]Обращения 3-22'!E27+'[15] Изм. об. 4-3'!E27</f>
        <v>0</v>
      </c>
      <c r="F27" s="724">
        <f>'[15]Обращения 3-22'!F27+'[15] Изм. об. 4-3'!F27</f>
        <v>0</v>
      </c>
      <c r="G27" s="724">
        <f>'[15]Обращения 3-22'!G27+'[15] Изм. об. 4-3'!G27</f>
        <v>0</v>
      </c>
      <c r="H27" s="724">
        <f>'[15]Обращения 3-22'!H27+'[15] Изм. об. 4-3'!H27</f>
        <v>0</v>
      </c>
      <c r="I27" s="724">
        <f t="shared" si="3"/>
        <v>100496</v>
      </c>
      <c r="J27" s="724">
        <f>'[15]Обращения 3-22'!J27+'[15] Изм. об. 4-3'!J27</f>
        <v>28139</v>
      </c>
      <c r="K27" s="725">
        <f>'[15]Обращения 3-22'!K27+'[15] Изм. об. 4-3'!K27</f>
        <v>72357</v>
      </c>
      <c r="L27" s="726">
        <f>'[15]Обращения 3-22'!L27+'[15] Изм. об. 4-3'!L27</f>
        <v>0</v>
      </c>
    </row>
    <row r="28" spans="1:12" x14ac:dyDescent="0.25">
      <c r="A28" s="720">
        <v>17</v>
      </c>
      <c r="B28" s="721">
        <v>24005</v>
      </c>
      <c r="C28" s="722" t="s">
        <v>7</v>
      </c>
      <c r="D28" s="723">
        <f t="shared" si="2"/>
        <v>180550</v>
      </c>
      <c r="E28" s="724">
        <f>'[15]Обращения 3-22'!E28+'[15] Изм. об. 4-3'!E28</f>
        <v>0</v>
      </c>
      <c r="F28" s="724">
        <f>'[15]Обращения 3-22'!F28+'[15] Изм. об. 4-3'!F28</f>
        <v>5619</v>
      </c>
      <c r="G28" s="724">
        <f>'[15]Обращения 3-22'!G28+'[15] Изм. об. 4-3'!G28</f>
        <v>0</v>
      </c>
      <c r="H28" s="724">
        <f>'[15]Обращения 3-22'!H28+'[15] Изм. об. 4-3'!H28</f>
        <v>0</v>
      </c>
      <c r="I28" s="724">
        <f t="shared" si="3"/>
        <v>174931</v>
      </c>
      <c r="J28" s="724">
        <f>'[15]Обращения 3-22'!J28+'[15] Изм. об. 4-3'!J28</f>
        <v>53354</v>
      </c>
      <c r="K28" s="725">
        <f>'[15]Обращения 3-22'!K28+'[15] Изм. об. 4-3'!K28</f>
        <v>121577</v>
      </c>
      <c r="L28" s="726">
        <f>'[15]Обращения 3-22'!L28+'[15] Изм. об. 4-3'!L28</f>
        <v>0</v>
      </c>
    </row>
    <row r="29" spans="1:12" ht="13.5" customHeight="1" x14ac:dyDescent="0.25">
      <c r="A29" s="720">
        <v>18</v>
      </c>
      <c r="B29" s="721">
        <v>24002</v>
      </c>
      <c r="C29" s="722" t="s">
        <v>36</v>
      </c>
      <c r="D29" s="723">
        <f t="shared" si="2"/>
        <v>29831</v>
      </c>
      <c r="E29" s="724">
        <f>'[15]Обращения 3-22'!E29+'[15] Изм. об. 4-3'!E29</f>
        <v>0</v>
      </c>
      <c r="F29" s="724">
        <f>'[15]Обращения 3-22'!F29+'[15] Изм. об. 4-3'!F29</f>
        <v>0</v>
      </c>
      <c r="G29" s="724">
        <f>'[15]Обращения 3-22'!G29+'[15] Изм. об. 4-3'!G29</f>
        <v>0</v>
      </c>
      <c r="H29" s="724">
        <f>'[15]Обращения 3-22'!H29+'[15] Изм. об. 4-3'!H29</f>
        <v>0</v>
      </c>
      <c r="I29" s="724">
        <f t="shared" si="3"/>
        <v>29831</v>
      </c>
      <c r="J29" s="724">
        <f>'[15]Обращения 3-22'!J29+'[15] Изм. об. 4-3'!J29</f>
        <v>11100</v>
      </c>
      <c r="K29" s="725">
        <f>'[15]Обращения 3-22'!K29+'[15] Изм. об. 4-3'!K29</f>
        <v>18731</v>
      </c>
      <c r="L29" s="726">
        <f>'[15]Обращения 3-22'!L29+'[15] Изм. об. 4-3'!L29</f>
        <v>0</v>
      </c>
    </row>
    <row r="30" spans="1:12" x14ac:dyDescent="0.25">
      <c r="A30" s="720">
        <v>19</v>
      </c>
      <c r="B30" s="721">
        <v>22012</v>
      </c>
      <c r="C30" s="722" t="s">
        <v>41</v>
      </c>
      <c r="D30" s="723">
        <f t="shared" si="2"/>
        <v>26060</v>
      </c>
      <c r="E30" s="724">
        <f>'[15]Обращения 3-22'!E30+'[15] Изм. об. 4-3'!E30</f>
        <v>0</v>
      </c>
      <c r="F30" s="724">
        <f>'[15]Обращения 3-22'!F30+'[15] Изм. об. 4-3'!F30</f>
        <v>0</v>
      </c>
      <c r="G30" s="724">
        <f>'[15]Обращения 3-22'!G30+'[15] Изм. об. 4-3'!G30</f>
        <v>0</v>
      </c>
      <c r="H30" s="724">
        <f>'[15]Обращения 3-22'!H30+'[15] Изм. об. 4-3'!H30</f>
        <v>0</v>
      </c>
      <c r="I30" s="724">
        <f t="shared" si="3"/>
        <v>26060</v>
      </c>
      <c r="J30" s="724">
        <f>'[15]Обращения 3-22'!J30+'[15] Изм. об. 4-3'!J30</f>
        <v>4691</v>
      </c>
      <c r="K30" s="725">
        <f>'[15]Обращения 3-22'!K30+'[15] Изм. об. 4-3'!K30</f>
        <v>21369</v>
      </c>
      <c r="L30" s="726">
        <f>'[15]Обращения 3-22'!L30+'[15] Изм. об. 4-3'!L30</f>
        <v>0</v>
      </c>
    </row>
    <row r="31" spans="1:12" x14ac:dyDescent="0.25">
      <c r="A31" s="720">
        <v>20</v>
      </c>
      <c r="B31" s="721">
        <v>21901</v>
      </c>
      <c r="C31" s="722" t="s">
        <v>8</v>
      </c>
      <c r="D31" s="723">
        <f t="shared" si="2"/>
        <v>119730</v>
      </c>
      <c r="E31" s="724">
        <f>'[15]Обращения 3-22'!E31+'[15] Изм. об. 4-3'!E31</f>
        <v>0</v>
      </c>
      <c r="F31" s="724">
        <f>'[15]Обращения 3-22'!F31+'[15] Изм. об. 4-3'!F31</f>
        <v>0</v>
      </c>
      <c r="G31" s="724">
        <f>'[15]Обращения 3-22'!G31+'[15] Изм. об. 4-3'!G31</f>
        <v>0</v>
      </c>
      <c r="H31" s="724">
        <f>'[15]Обращения 3-22'!H31+'[15] Изм. об. 4-3'!H31</f>
        <v>0</v>
      </c>
      <c r="I31" s="724">
        <f t="shared" si="3"/>
        <v>119730</v>
      </c>
      <c r="J31" s="724">
        <f>'[15]Обращения 3-22'!J31+'[15] Изм. об. 4-3'!J31</f>
        <v>46339</v>
      </c>
      <c r="K31" s="725">
        <f>'[15]Обращения 3-22'!K31+'[15] Изм. об. 4-3'!K31</f>
        <v>73391</v>
      </c>
      <c r="L31" s="726">
        <f>'[15]Обращения 3-22'!L31+'[15] Изм. об. 4-3'!L31</f>
        <v>0</v>
      </c>
    </row>
    <row r="32" spans="1:12" x14ac:dyDescent="0.25">
      <c r="A32" s="720">
        <v>21</v>
      </c>
      <c r="B32" s="721">
        <v>21502</v>
      </c>
      <c r="C32" s="722" t="s">
        <v>9</v>
      </c>
      <c r="D32" s="723">
        <f t="shared" si="2"/>
        <v>103602</v>
      </c>
      <c r="E32" s="724">
        <f>'[15]Обращения 3-22'!E32+'[15] Изм. об. 4-3'!E32</f>
        <v>0</v>
      </c>
      <c r="F32" s="724">
        <f>'[15]Обращения 3-22'!F32+'[15] Изм. об. 4-3'!F32</f>
        <v>3674</v>
      </c>
      <c r="G32" s="724">
        <f>'[15]Обращения 3-22'!G32+'[15] Изм. об. 4-3'!G32</f>
        <v>0</v>
      </c>
      <c r="H32" s="724">
        <f>'[15]Обращения 3-22'!H32+'[15] Изм. об. 4-3'!H32</f>
        <v>0</v>
      </c>
      <c r="I32" s="724">
        <f t="shared" si="3"/>
        <v>99928</v>
      </c>
      <c r="J32" s="724">
        <f>'[15]Обращения 3-22'!J32+'[15] Изм. об. 4-3'!J32</f>
        <v>34975</v>
      </c>
      <c r="K32" s="725">
        <f>'[15]Обращения 3-22'!K32+'[15] Изм. об. 4-3'!K32</f>
        <v>64953</v>
      </c>
      <c r="L32" s="726">
        <f>'[15]Обращения 3-22'!L32+'[15] Изм. об. 4-3'!L32</f>
        <v>0</v>
      </c>
    </row>
    <row r="33" spans="1:12" x14ac:dyDescent="0.25">
      <c r="A33" s="720">
        <v>22</v>
      </c>
      <c r="B33" s="721">
        <v>24006</v>
      </c>
      <c r="C33" s="722" t="s">
        <v>403</v>
      </c>
      <c r="D33" s="723">
        <f t="shared" si="2"/>
        <v>26374</v>
      </c>
      <c r="E33" s="724">
        <f>'[15]Обращения 3-22'!E33+'[15] Изм. об. 4-3'!E33</f>
        <v>0</v>
      </c>
      <c r="F33" s="724">
        <f>'[15]Обращения 3-22'!F33+'[15] Изм. об. 4-3'!F33</f>
        <v>0</v>
      </c>
      <c r="G33" s="724">
        <f>'[15]Обращения 3-22'!G33+'[15] Изм. об. 4-3'!G33</f>
        <v>0</v>
      </c>
      <c r="H33" s="724">
        <f>'[15]Обращения 3-22'!H33+'[15] Изм. об. 4-3'!H33</f>
        <v>0</v>
      </c>
      <c r="I33" s="724">
        <f t="shared" si="3"/>
        <v>26374</v>
      </c>
      <c r="J33" s="724">
        <f>'[15]Обращения 3-22'!J33+'[15] Изм. об. 4-3'!J33</f>
        <v>8176</v>
      </c>
      <c r="K33" s="725">
        <f>'[15]Обращения 3-22'!K33+'[15] Изм. об. 4-3'!K33</f>
        <v>18198</v>
      </c>
      <c r="L33" s="726">
        <f>'[15]Обращения 3-22'!L33+'[15] Изм. об. 4-3'!L33</f>
        <v>0</v>
      </c>
    </row>
    <row r="34" spans="1:12" x14ac:dyDescent="0.25">
      <c r="A34" s="720">
        <v>23</v>
      </c>
      <c r="B34" s="721">
        <v>21601</v>
      </c>
      <c r="C34" s="722" t="s">
        <v>404</v>
      </c>
      <c r="D34" s="723">
        <f t="shared" si="2"/>
        <v>174027</v>
      </c>
      <c r="E34" s="724">
        <f>'[15]Обращения 3-22'!E34+'[15] Изм. об. 4-3'!E34</f>
        <v>0</v>
      </c>
      <c r="F34" s="724">
        <f>'[15]Обращения 3-22'!F34+'[15] Изм. об. 4-3'!F34</f>
        <v>11590</v>
      </c>
      <c r="G34" s="724">
        <f>'[15]Обращения 3-22'!G34+'[15] Изм. об. 4-3'!G34</f>
        <v>0</v>
      </c>
      <c r="H34" s="724">
        <f>'[15]Обращения 3-22'!H34+'[15] Изм. об. 4-3'!H34</f>
        <v>4527</v>
      </c>
      <c r="I34" s="724">
        <f t="shared" si="3"/>
        <v>157910</v>
      </c>
      <c r="J34" s="724">
        <f>'[15]Обращения 3-22'!J34+'[15] Изм. об. 4-3'!J34</f>
        <v>44215</v>
      </c>
      <c r="K34" s="725">
        <f>'[15]Обращения 3-22'!K34+'[15] Изм. об. 4-3'!K34</f>
        <v>113695</v>
      </c>
      <c r="L34" s="726">
        <f>'[15]Обращения 3-22'!L34+'[15] Изм. об. 4-3'!L34</f>
        <v>0</v>
      </c>
    </row>
    <row r="35" spans="1:12" x14ac:dyDescent="0.25">
      <c r="A35" s="720">
        <v>24</v>
      </c>
      <c r="B35" s="721">
        <v>21602</v>
      </c>
      <c r="C35" s="722" t="s">
        <v>405</v>
      </c>
      <c r="D35" s="723">
        <f t="shared" si="2"/>
        <v>190985</v>
      </c>
      <c r="E35" s="724">
        <f>'[15]Обращения 3-22'!E35+'[15] Изм. об. 4-3'!E35</f>
        <v>0</v>
      </c>
      <c r="F35" s="724">
        <f>'[15]Обращения 3-22'!F35+'[15] Изм. об. 4-3'!F35</f>
        <v>0</v>
      </c>
      <c r="G35" s="724">
        <f>'[15]Обращения 3-22'!G35+'[15] Изм. об. 4-3'!G35</f>
        <v>0</v>
      </c>
      <c r="H35" s="724">
        <f>'[15]Обращения 3-22'!H35+'[15] Изм. об. 4-3'!H35</f>
        <v>0</v>
      </c>
      <c r="I35" s="724">
        <f t="shared" si="3"/>
        <v>190985</v>
      </c>
      <c r="J35" s="724">
        <f>'[15]Обращения 3-22'!J35+'[15] Изм. об. 4-3'!J35</f>
        <v>42017</v>
      </c>
      <c r="K35" s="725">
        <f>'[15]Обращения 3-22'!K35+'[15] Изм. об. 4-3'!K35</f>
        <v>148968</v>
      </c>
      <c r="L35" s="726">
        <f>'[15]Обращения 3-22'!L35+'[15] Изм. об. 4-3'!L35</f>
        <v>0</v>
      </c>
    </row>
    <row r="36" spans="1:12" x14ac:dyDescent="0.25">
      <c r="A36" s="720">
        <v>25</v>
      </c>
      <c r="B36" s="721">
        <v>21616</v>
      </c>
      <c r="C36" s="722" t="s">
        <v>406</v>
      </c>
      <c r="D36" s="723">
        <f t="shared" si="2"/>
        <v>74183</v>
      </c>
      <c r="E36" s="724">
        <f>'[15]Обращения 3-22'!E36+'[15] Изм. об. 4-3'!E36</f>
        <v>0</v>
      </c>
      <c r="F36" s="724">
        <f>'[15]Обращения 3-22'!F36+'[15] Изм. об. 4-3'!F36</f>
        <v>0</v>
      </c>
      <c r="G36" s="724">
        <f>'[15]Обращения 3-22'!G36+'[15] Изм. об. 4-3'!G36</f>
        <v>0</v>
      </c>
      <c r="H36" s="724">
        <f>'[15]Обращения 3-22'!H36+'[15] Изм. об. 4-3'!H36</f>
        <v>3511</v>
      </c>
      <c r="I36" s="724">
        <f t="shared" si="3"/>
        <v>70672</v>
      </c>
      <c r="J36" s="724">
        <f>'[15]Обращения 3-22'!J36+'[15] Изм. об. 4-3'!J36</f>
        <v>14134</v>
      </c>
      <c r="K36" s="725">
        <f>'[15]Обращения 3-22'!K36+'[15] Изм. об. 4-3'!K36</f>
        <v>56538</v>
      </c>
      <c r="L36" s="726">
        <f>'[15]Обращения 3-22'!L36+'[15] Изм. об. 4-3'!L36</f>
        <v>0</v>
      </c>
    </row>
    <row r="37" spans="1:12" x14ac:dyDescent="0.25">
      <c r="A37" s="720">
        <v>26</v>
      </c>
      <c r="B37" s="721">
        <v>21636</v>
      </c>
      <c r="C37" s="722" t="s">
        <v>65</v>
      </c>
      <c r="D37" s="723">
        <f t="shared" si="2"/>
        <v>65442</v>
      </c>
      <c r="E37" s="724">
        <f>'[15]Обращения 3-22'!E37+'[15] Изм. об. 4-3'!E37</f>
        <v>0</v>
      </c>
      <c r="F37" s="724">
        <f>'[15]Обращения 3-22'!F37+'[15] Изм. об. 4-3'!F37</f>
        <v>0</v>
      </c>
      <c r="G37" s="724">
        <f>'[15]Обращения 3-22'!G37+'[15] Изм. об. 4-3'!G37</f>
        <v>65442</v>
      </c>
      <c r="H37" s="724">
        <f>'[15]Обращения 3-22'!H37+'[15] Изм. об. 4-3'!H37</f>
        <v>0</v>
      </c>
      <c r="I37" s="724">
        <f t="shared" si="3"/>
        <v>0</v>
      </c>
      <c r="J37" s="724">
        <f>'[15]Обращения 3-22'!J37+'[15] Изм. об. 4-3'!J37</f>
        <v>0</v>
      </c>
      <c r="K37" s="725">
        <f>'[15]Обращения 3-22'!K37+'[15] Изм. об. 4-3'!K37</f>
        <v>0</v>
      </c>
      <c r="L37" s="726">
        <f>'[15]Обращения 3-22'!L37+'[15] Изм. об. 4-3'!L37</f>
        <v>0</v>
      </c>
    </row>
    <row r="38" spans="1:12" ht="25.5" x14ac:dyDescent="0.25">
      <c r="A38" s="720">
        <v>27</v>
      </c>
      <c r="B38" s="721">
        <v>21604</v>
      </c>
      <c r="C38" s="722" t="s">
        <v>407</v>
      </c>
      <c r="D38" s="723">
        <f t="shared" si="2"/>
        <v>10792</v>
      </c>
      <c r="E38" s="724">
        <f>'[15]Обращения 3-22'!E38+'[15] Изм. об. 4-3'!E38</f>
        <v>0</v>
      </c>
      <c r="F38" s="724">
        <f>'[15]Обращения 3-22'!F38+'[15] Изм. об. 4-3'!F38</f>
        <v>0</v>
      </c>
      <c r="G38" s="724">
        <f>'[15]Обращения 3-22'!G38+'[15] Изм. об. 4-3'!G38</f>
        <v>0</v>
      </c>
      <c r="H38" s="724">
        <f>'[15]Обращения 3-22'!H38+'[15] Изм. об. 4-3'!H38</f>
        <v>0</v>
      </c>
      <c r="I38" s="724">
        <f t="shared" si="3"/>
        <v>10792</v>
      </c>
      <c r="J38" s="724">
        <f>'[15]Обращения 3-22'!J38+'[15] Изм. об. 4-3'!J38</f>
        <v>4856</v>
      </c>
      <c r="K38" s="725">
        <f>'[15]Обращения 3-22'!K38+'[15] Изм. об. 4-3'!K38</f>
        <v>5936</v>
      </c>
      <c r="L38" s="726">
        <f>'[15]Обращения 3-22'!L38+'[15] Изм. об. 4-3'!L38</f>
        <v>0</v>
      </c>
    </row>
    <row r="39" spans="1:12" x14ac:dyDescent="0.25">
      <c r="A39" s="720">
        <v>28</v>
      </c>
      <c r="B39" s="721">
        <v>21111</v>
      </c>
      <c r="C39" s="722" t="s">
        <v>10</v>
      </c>
      <c r="D39" s="723">
        <f t="shared" si="2"/>
        <v>150590</v>
      </c>
      <c r="E39" s="724">
        <f>'[15]Обращения 3-22'!E39+'[15] Изм. об. 4-3'!E39</f>
        <v>0</v>
      </c>
      <c r="F39" s="724">
        <f>'[15]Обращения 3-22'!F39+'[15] Изм. об. 4-3'!F39</f>
        <v>5666</v>
      </c>
      <c r="G39" s="724">
        <f>'[15]Обращения 3-22'!G39+'[15] Изм. об. 4-3'!G39</f>
        <v>0</v>
      </c>
      <c r="H39" s="724">
        <f>'[15]Обращения 3-22'!H39+'[15] Изм. об. 4-3'!H39</f>
        <v>0</v>
      </c>
      <c r="I39" s="724">
        <f t="shared" si="3"/>
        <v>144924</v>
      </c>
      <c r="J39" s="724">
        <f>'[15]Обращения 3-22'!J39+'[15] Изм. об. 4-3'!J39</f>
        <v>47100</v>
      </c>
      <c r="K39" s="725">
        <f>'[15]Обращения 3-22'!K39+'[15] Изм. об. 4-3'!K39</f>
        <v>97824</v>
      </c>
      <c r="L39" s="726">
        <f>'[15]Обращения 3-22'!L39+'[15] Изм. об. 4-3'!L39</f>
        <v>0</v>
      </c>
    </row>
    <row r="40" spans="1:12" x14ac:dyDescent="0.25">
      <c r="A40" s="720">
        <v>29</v>
      </c>
      <c r="B40" s="721">
        <v>21424</v>
      </c>
      <c r="C40" s="722" t="s">
        <v>11</v>
      </c>
      <c r="D40" s="723">
        <f t="shared" si="2"/>
        <v>209908</v>
      </c>
      <c r="E40" s="724">
        <f>'[15]Обращения 3-22'!E40+'[15] Изм. об. 4-3'!E40</f>
        <v>0</v>
      </c>
      <c r="F40" s="724">
        <f>'[15]Обращения 3-22'!F40+'[15] Изм. об. 4-3'!F40</f>
        <v>3373</v>
      </c>
      <c r="G40" s="724">
        <f>'[15]Обращения 3-22'!G40+'[15] Изм. об. 4-3'!G40</f>
        <v>0</v>
      </c>
      <c r="H40" s="724">
        <f>'[15]Обращения 3-22'!H40+'[15] Изм. об. 4-3'!H40</f>
        <v>0</v>
      </c>
      <c r="I40" s="724">
        <f t="shared" si="3"/>
        <v>206535</v>
      </c>
      <c r="J40" s="724">
        <f>'[15]Обращения 3-22'!J40+'[15] Изм. об. 4-3'!J40</f>
        <v>71255</v>
      </c>
      <c r="K40" s="725">
        <f>'[15]Обращения 3-22'!K40+'[15] Изм. об. 4-3'!K40</f>
        <v>135280</v>
      </c>
      <c r="L40" s="726">
        <f>'[15]Обращения 3-22'!L40+'[15] Изм. об. 4-3'!L40</f>
        <v>0</v>
      </c>
    </row>
    <row r="41" spans="1:12" x14ac:dyDescent="0.25">
      <c r="A41" s="720">
        <v>30</v>
      </c>
      <c r="B41" s="721">
        <v>21105</v>
      </c>
      <c r="C41" s="722" t="s">
        <v>43</v>
      </c>
      <c r="D41" s="723">
        <f t="shared" si="2"/>
        <v>43148</v>
      </c>
      <c r="E41" s="724">
        <f>'[15]Обращения 3-22'!E41+'[15] Изм. об. 4-3'!E41</f>
        <v>0</v>
      </c>
      <c r="F41" s="724">
        <f>'[15]Обращения 3-22'!F41+'[15] Изм. об. 4-3'!F41</f>
        <v>0</v>
      </c>
      <c r="G41" s="724">
        <f>'[15]Обращения 3-22'!G41+'[15] Изм. об. 4-3'!G41</f>
        <v>0</v>
      </c>
      <c r="H41" s="724">
        <f>'[15]Обращения 3-22'!H41+'[15] Изм. об. 4-3'!H41</f>
        <v>0</v>
      </c>
      <c r="I41" s="724">
        <f t="shared" si="3"/>
        <v>43148</v>
      </c>
      <c r="J41" s="724">
        <f>'[15]Обращения 3-22'!J41+'[15] Изм. об. 4-3'!J41</f>
        <v>12513</v>
      </c>
      <c r="K41" s="725">
        <f>'[15]Обращения 3-22'!K41+'[15] Изм. об. 4-3'!K41</f>
        <v>30635</v>
      </c>
      <c r="L41" s="726">
        <f>'[15]Обращения 3-22'!L41+'[15] Изм. об. 4-3'!L41</f>
        <v>0</v>
      </c>
    </row>
    <row r="42" spans="1:12" x14ac:dyDescent="0.25">
      <c r="A42" s="720">
        <v>31</v>
      </c>
      <c r="B42" s="721">
        <v>29001</v>
      </c>
      <c r="C42" s="722" t="s">
        <v>12</v>
      </c>
      <c r="D42" s="723">
        <f t="shared" si="2"/>
        <v>142893</v>
      </c>
      <c r="E42" s="724">
        <f>'[15]Обращения 3-22'!E42+'[15] Изм. об. 4-3'!E42</f>
        <v>0</v>
      </c>
      <c r="F42" s="724">
        <f>'[15]Обращения 3-22'!F42+'[15] Изм. об. 4-3'!F42</f>
        <v>0</v>
      </c>
      <c r="G42" s="724">
        <f>'[15]Обращения 3-22'!G42+'[15] Изм. об. 4-3'!G42</f>
        <v>0</v>
      </c>
      <c r="H42" s="724">
        <f>'[15]Обращения 3-22'!H42+'[15] Изм. об. 4-3'!H42</f>
        <v>0</v>
      </c>
      <c r="I42" s="724">
        <f t="shared" si="3"/>
        <v>142893</v>
      </c>
      <c r="J42" s="724">
        <f>'[15]Обращения 3-22'!J42+'[15] Изм. об. 4-3'!J42</f>
        <v>42868</v>
      </c>
      <c r="K42" s="725">
        <f>'[15]Обращения 3-22'!K42+'[15] Изм. об. 4-3'!K42</f>
        <v>100025</v>
      </c>
      <c r="L42" s="726">
        <f>'[15]Обращения 3-22'!L42+'[15] Изм. об. 4-3'!L42</f>
        <v>0</v>
      </c>
    </row>
    <row r="43" spans="1:12" x14ac:dyDescent="0.25">
      <c r="A43" s="720">
        <v>32</v>
      </c>
      <c r="B43" s="721">
        <v>21605</v>
      </c>
      <c r="C43" s="722" t="s">
        <v>49</v>
      </c>
      <c r="D43" s="723">
        <f t="shared" si="2"/>
        <v>55277</v>
      </c>
      <c r="E43" s="724">
        <f>'[15]Обращения 3-22'!E43+'[15] Изм. об. 4-3'!E43</f>
        <v>0</v>
      </c>
      <c r="F43" s="724">
        <f>'[15]Обращения 3-22'!F43+'[15] Изм. об. 4-3'!F43</f>
        <v>0</v>
      </c>
      <c r="G43" s="724">
        <f>'[15]Обращения 3-22'!G43+'[15] Изм. об. 4-3'!G43</f>
        <v>0</v>
      </c>
      <c r="H43" s="724">
        <f>'[15]Обращения 3-22'!H43+'[15] Изм. об. 4-3'!H43</f>
        <v>0</v>
      </c>
      <c r="I43" s="724">
        <f t="shared" si="3"/>
        <v>55277</v>
      </c>
      <c r="J43" s="724">
        <f>'[15]Обращения 3-22'!J43+'[15] Изм. об. 4-3'!J43</f>
        <v>18794</v>
      </c>
      <c r="K43" s="725">
        <f>'[15]Обращения 3-22'!K43+'[15] Изм. об. 4-3'!K43</f>
        <v>36483</v>
      </c>
      <c r="L43" s="726">
        <f>'[15]Обращения 3-22'!L43+'[15] Изм. об. 4-3'!L43</f>
        <v>0</v>
      </c>
    </row>
    <row r="44" spans="1:12" x14ac:dyDescent="0.25">
      <c r="A44" s="720">
        <v>33</v>
      </c>
      <c r="B44" s="721">
        <v>21104</v>
      </c>
      <c r="C44" s="722" t="s">
        <v>25</v>
      </c>
      <c r="D44" s="723">
        <f t="shared" si="2"/>
        <v>139597</v>
      </c>
      <c r="E44" s="724">
        <f>'[15]Обращения 3-22'!E44+'[15] Изм. об. 4-3'!E44</f>
        <v>0</v>
      </c>
      <c r="F44" s="724">
        <f>'[15]Обращения 3-22'!F44+'[15] Изм. об. 4-3'!F44</f>
        <v>0</v>
      </c>
      <c r="G44" s="724">
        <f>'[15]Обращения 3-22'!G44+'[15] Изм. об. 4-3'!G44</f>
        <v>0</v>
      </c>
      <c r="H44" s="724">
        <f>'[15]Обращения 3-22'!H44+'[15] Изм. об. 4-3'!H44</f>
        <v>0</v>
      </c>
      <c r="I44" s="724">
        <f t="shared" si="3"/>
        <v>139597</v>
      </c>
      <c r="J44" s="724">
        <f>'[15]Обращения 3-22'!J44+'[15] Изм. об. 4-3'!J44</f>
        <v>32107</v>
      </c>
      <c r="K44" s="725">
        <f>'[15]Обращения 3-22'!K44+'[15] Изм. об. 4-3'!K44</f>
        <v>107490</v>
      </c>
      <c r="L44" s="726">
        <f>'[15]Обращения 3-22'!L44+'[15] Изм. об. 4-3'!L44</f>
        <v>0</v>
      </c>
    </row>
    <row r="45" spans="1:12" x14ac:dyDescent="0.25">
      <c r="A45" s="720">
        <v>34</v>
      </c>
      <c r="B45" s="721">
        <v>21102</v>
      </c>
      <c r="C45" s="722" t="s">
        <v>54</v>
      </c>
      <c r="D45" s="723">
        <f t="shared" si="2"/>
        <v>50223</v>
      </c>
      <c r="E45" s="724">
        <f>'[15]Обращения 3-22'!E45+'[15] Изм. об. 4-3'!E45</f>
        <v>0</v>
      </c>
      <c r="F45" s="724">
        <f>'[15]Обращения 3-22'!F45+'[15] Изм. об. 4-3'!F45</f>
        <v>0</v>
      </c>
      <c r="G45" s="724">
        <f>'[15]Обращения 3-22'!G45+'[15] Изм. об. 4-3'!G45</f>
        <v>0</v>
      </c>
      <c r="H45" s="724">
        <f>'[15]Обращения 3-22'!H45+'[15] Изм. об. 4-3'!H45</f>
        <v>0</v>
      </c>
      <c r="I45" s="724">
        <f t="shared" si="3"/>
        <v>50223</v>
      </c>
      <c r="J45" s="724">
        <f>'[15]Обращения 3-22'!J45+'[15] Изм. об. 4-3'!J45</f>
        <v>14816</v>
      </c>
      <c r="K45" s="725">
        <f>'[15]Обращения 3-22'!K45+'[15] Изм. об. 4-3'!K45</f>
        <v>35407</v>
      </c>
      <c r="L45" s="726">
        <f>'[15]Обращения 3-22'!L45+'[15] Изм. об. 4-3'!L45</f>
        <v>0</v>
      </c>
    </row>
    <row r="46" spans="1:12" x14ac:dyDescent="0.25">
      <c r="A46" s="720">
        <v>35</v>
      </c>
      <c r="B46" s="721">
        <v>21606</v>
      </c>
      <c r="C46" s="722" t="s">
        <v>57</v>
      </c>
      <c r="D46" s="723">
        <f t="shared" si="2"/>
        <v>31880</v>
      </c>
      <c r="E46" s="724">
        <f>'[15]Обращения 3-22'!E46+'[15] Изм. об. 4-3'!E46</f>
        <v>0</v>
      </c>
      <c r="F46" s="724">
        <f>'[15]Обращения 3-22'!F46+'[15] Изм. об. 4-3'!F46</f>
        <v>0</v>
      </c>
      <c r="G46" s="724">
        <f>'[15]Обращения 3-22'!G46+'[15] Изм. об. 4-3'!G46</f>
        <v>0</v>
      </c>
      <c r="H46" s="724">
        <f>'[15]Обращения 3-22'!H46+'[15] Изм. об. 4-3'!H46</f>
        <v>0</v>
      </c>
      <c r="I46" s="724">
        <f t="shared" si="3"/>
        <v>31880</v>
      </c>
      <c r="J46" s="724">
        <f>'[15]Обращения 3-22'!J46+'[15] Изм. об. 4-3'!J46</f>
        <v>10520</v>
      </c>
      <c r="K46" s="725">
        <f>'[15]Обращения 3-22'!K46+'[15] Изм. об. 4-3'!K46</f>
        <v>21360</v>
      </c>
      <c r="L46" s="726">
        <f>'[15]Обращения 3-22'!L46+'[15] Изм. об. 4-3'!L46</f>
        <v>0</v>
      </c>
    </row>
    <row r="47" spans="1:12" x14ac:dyDescent="0.25">
      <c r="A47" s="720">
        <v>36</v>
      </c>
      <c r="B47" s="721">
        <v>21607</v>
      </c>
      <c r="C47" s="722" t="s">
        <v>58</v>
      </c>
      <c r="D47" s="723">
        <f t="shared" si="2"/>
        <v>53288</v>
      </c>
      <c r="E47" s="724">
        <f>'[15]Обращения 3-22'!E47+'[15] Изм. об. 4-3'!E47</f>
        <v>0</v>
      </c>
      <c r="F47" s="724">
        <f>'[15]Обращения 3-22'!F47+'[15] Изм. об. 4-3'!F47</f>
        <v>0</v>
      </c>
      <c r="G47" s="724">
        <f>'[15]Обращения 3-22'!G47+'[15] Изм. об. 4-3'!G47</f>
        <v>0</v>
      </c>
      <c r="H47" s="724">
        <f>'[15]Обращения 3-22'!H47+'[15] Изм. об. 4-3'!H47</f>
        <v>0</v>
      </c>
      <c r="I47" s="724">
        <f t="shared" si="3"/>
        <v>53288</v>
      </c>
      <c r="J47" s="724">
        <f>'[15]Обращения 3-22'!J47+'[15] Изм. об. 4-3'!J47</f>
        <v>15454</v>
      </c>
      <c r="K47" s="725">
        <f>'[15]Обращения 3-22'!K47+'[15] Изм. об. 4-3'!K47</f>
        <v>37834</v>
      </c>
      <c r="L47" s="726">
        <f>'[15]Обращения 3-22'!L47+'[15] Изм. об. 4-3'!L47</f>
        <v>0</v>
      </c>
    </row>
    <row r="48" spans="1:12" x14ac:dyDescent="0.25">
      <c r="A48" s="720">
        <v>37</v>
      </c>
      <c r="B48" s="721">
        <v>21405</v>
      </c>
      <c r="C48" s="722" t="s">
        <v>59</v>
      </c>
      <c r="D48" s="723">
        <f t="shared" si="2"/>
        <v>26517</v>
      </c>
      <c r="E48" s="724">
        <f>'[15]Обращения 3-22'!E48+'[15] Изм. об. 4-3'!E48</f>
        <v>0</v>
      </c>
      <c r="F48" s="724">
        <f>'[15]Обращения 3-22'!F48+'[15] Изм. об. 4-3'!F48</f>
        <v>0</v>
      </c>
      <c r="G48" s="724">
        <f>'[15]Обращения 3-22'!G48+'[15] Изм. об. 4-3'!G48</f>
        <v>0</v>
      </c>
      <c r="H48" s="724">
        <f>'[15]Обращения 3-22'!H48+'[15] Изм. об. 4-3'!H48</f>
        <v>0</v>
      </c>
      <c r="I48" s="724">
        <f t="shared" si="3"/>
        <v>26517</v>
      </c>
      <c r="J48" s="724">
        <f>'[15]Обращения 3-22'!J48+'[15] Изм. об. 4-3'!J48</f>
        <v>7425</v>
      </c>
      <c r="K48" s="725">
        <f>'[15]Обращения 3-22'!K48+'[15] Изм. об. 4-3'!K48</f>
        <v>19092</v>
      </c>
      <c r="L48" s="726">
        <f>'[15]Обращения 3-22'!L48+'[15] Изм. об. 4-3'!L48</f>
        <v>0</v>
      </c>
    </row>
    <row r="49" spans="1:12" x14ac:dyDescent="0.25">
      <c r="A49" s="720">
        <v>38</v>
      </c>
      <c r="B49" s="721">
        <v>21401</v>
      </c>
      <c r="C49" s="722" t="s">
        <v>408</v>
      </c>
      <c r="D49" s="723">
        <f t="shared" si="2"/>
        <v>20686</v>
      </c>
      <c r="E49" s="724">
        <f>'[15]Обращения 3-22'!E49+'[15] Изм. об. 4-3'!E49</f>
        <v>0</v>
      </c>
      <c r="F49" s="724">
        <f>'[15]Обращения 3-22'!F49+'[15] Изм. об. 4-3'!F49</f>
        <v>0</v>
      </c>
      <c r="G49" s="724">
        <f>'[15]Обращения 3-22'!G49+'[15] Изм. об. 4-3'!G49</f>
        <v>0</v>
      </c>
      <c r="H49" s="724">
        <f>'[15]Обращения 3-22'!H49+'[15] Изм. об. 4-3'!H49</f>
        <v>0</v>
      </c>
      <c r="I49" s="724">
        <f t="shared" si="3"/>
        <v>20686</v>
      </c>
      <c r="J49" s="724">
        <f>'[15]Обращения 3-22'!J49+'[15] Изм. об. 4-3'!J49</f>
        <v>4758</v>
      </c>
      <c r="K49" s="725">
        <f>'[15]Обращения 3-22'!K49+'[15] Изм. об. 4-3'!K49</f>
        <v>15928</v>
      </c>
      <c r="L49" s="726">
        <f>'[15]Обращения 3-22'!L49+'[15] Изм. об. 4-3'!L49</f>
        <v>0</v>
      </c>
    </row>
    <row r="50" spans="1:12" x14ac:dyDescent="0.25">
      <c r="A50" s="720">
        <v>39</v>
      </c>
      <c r="B50" s="721">
        <v>21303</v>
      </c>
      <c r="C50" s="722" t="s">
        <v>13</v>
      </c>
      <c r="D50" s="723">
        <f t="shared" si="2"/>
        <v>189105</v>
      </c>
      <c r="E50" s="724">
        <f>'[15]Обращения 3-22'!E50+'[15] Изм. об. 4-3'!E50</f>
        <v>0</v>
      </c>
      <c r="F50" s="724">
        <f>'[15]Обращения 3-22'!F50+'[15] Изм. об. 4-3'!F50</f>
        <v>6946</v>
      </c>
      <c r="G50" s="724">
        <f>'[15]Обращения 3-22'!G50+'[15] Изм. об. 4-3'!G50</f>
        <v>0</v>
      </c>
      <c r="H50" s="724">
        <f>'[15]Обращения 3-22'!H50+'[15] Изм. об. 4-3'!H50</f>
        <v>0</v>
      </c>
      <c r="I50" s="724">
        <f t="shared" si="3"/>
        <v>182159</v>
      </c>
      <c r="J50" s="724">
        <f>'[15]Обращения 3-22'!J50+'[15] Изм. об. 4-3'!J50</f>
        <v>57380</v>
      </c>
      <c r="K50" s="725">
        <f>'[15]Обращения 3-22'!K50+'[15] Изм. об. 4-3'!K50</f>
        <v>124779</v>
      </c>
      <c r="L50" s="726">
        <f>'[15]Обращения 3-22'!L50+'[15] Изм. об. 4-3'!L50</f>
        <v>0</v>
      </c>
    </row>
    <row r="51" spans="1:12" x14ac:dyDescent="0.25">
      <c r="A51" s="720">
        <v>40</v>
      </c>
      <c r="B51" s="721">
        <v>28004</v>
      </c>
      <c r="C51" s="722" t="s">
        <v>30</v>
      </c>
      <c r="D51" s="723">
        <f t="shared" si="2"/>
        <v>45075</v>
      </c>
      <c r="E51" s="724">
        <f>'[15]Обращения 3-22'!E51+'[15] Изм. об. 4-3'!E51</f>
        <v>0</v>
      </c>
      <c r="F51" s="724">
        <f>'[15]Обращения 3-22'!F51+'[15] Изм. об. 4-3'!F51</f>
        <v>0</v>
      </c>
      <c r="G51" s="724">
        <f>'[15]Обращения 3-22'!G51+'[15] Изм. об. 4-3'!G51</f>
        <v>0</v>
      </c>
      <c r="H51" s="724">
        <f>'[15]Обращения 3-22'!H51+'[15] Изм. об. 4-3'!H51</f>
        <v>0</v>
      </c>
      <c r="I51" s="724">
        <f t="shared" si="3"/>
        <v>45075</v>
      </c>
      <c r="J51" s="724">
        <f>'[15]Обращения 3-22'!J51+'[15] Изм. об. 4-3'!J51</f>
        <v>9917</v>
      </c>
      <c r="K51" s="725">
        <f>'[15]Обращения 3-22'!K51+'[15] Изм. об. 4-3'!K51</f>
        <v>35158</v>
      </c>
      <c r="L51" s="726">
        <f>'[15]Обращения 3-22'!L51+'[15] Изм. об. 4-3'!L51</f>
        <v>0</v>
      </c>
    </row>
    <row r="52" spans="1:12" x14ac:dyDescent="0.25">
      <c r="A52" s="720">
        <v>41</v>
      </c>
      <c r="B52" s="721">
        <v>23002</v>
      </c>
      <c r="C52" s="722" t="s">
        <v>14</v>
      </c>
      <c r="D52" s="723">
        <f t="shared" si="2"/>
        <v>154981</v>
      </c>
      <c r="E52" s="724">
        <f>'[15]Обращения 3-22'!E52+'[15] Изм. об. 4-3'!E52</f>
        <v>0</v>
      </c>
      <c r="F52" s="724">
        <f>'[15]Обращения 3-22'!F52+'[15] Изм. об. 4-3'!F52</f>
        <v>2649</v>
      </c>
      <c r="G52" s="724">
        <f>'[15]Обращения 3-22'!G52+'[15] Изм. об. 4-3'!G52</f>
        <v>0</v>
      </c>
      <c r="H52" s="724">
        <f>'[15]Обращения 3-22'!H52+'[15] Изм. об. 4-3'!H52</f>
        <v>0</v>
      </c>
      <c r="I52" s="724">
        <f t="shared" si="3"/>
        <v>152332</v>
      </c>
      <c r="J52" s="724">
        <f>'[15]Обращения 3-22'!J52+'[15] Изм. об. 4-3'!J52</f>
        <v>33513</v>
      </c>
      <c r="K52" s="725">
        <f>'[15]Обращения 3-22'!K52+'[15] Изм. об. 4-3'!K52</f>
        <v>118819</v>
      </c>
      <c r="L52" s="726">
        <f>'[15]Обращения 3-22'!L52+'[15] Изм. об. 4-3'!L52</f>
        <v>0</v>
      </c>
    </row>
    <row r="53" spans="1:12" x14ac:dyDescent="0.25">
      <c r="A53" s="720">
        <v>42</v>
      </c>
      <c r="B53" s="721">
        <v>23005</v>
      </c>
      <c r="C53" s="722" t="s">
        <v>33</v>
      </c>
      <c r="D53" s="723">
        <f t="shared" si="2"/>
        <v>36750</v>
      </c>
      <c r="E53" s="724">
        <f>'[15]Обращения 3-22'!E53+'[15] Изм. об. 4-3'!E53</f>
        <v>0</v>
      </c>
      <c r="F53" s="724">
        <f>'[15]Обращения 3-22'!F53+'[15] Изм. об. 4-3'!F53</f>
        <v>0</v>
      </c>
      <c r="G53" s="724">
        <f>'[15]Обращения 3-22'!G53+'[15] Изм. об. 4-3'!G53</f>
        <v>0</v>
      </c>
      <c r="H53" s="724">
        <f>'[15]Обращения 3-22'!H53+'[15] Изм. об. 4-3'!H53</f>
        <v>0</v>
      </c>
      <c r="I53" s="724">
        <f t="shared" si="3"/>
        <v>36750</v>
      </c>
      <c r="J53" s="724">
        <f>'[15]Обращения 3-22'!J53+'[15] Изм. об. 4-3'!J53</f>
        <v>8453</v>
      </c>
      <c r="K53" s="725">
        <f>'[15]Обращения 3-22'!K53+'[15] Изм. об. 4-3'!K53</f>
        <v>28297</v>
      </c>
      <c r="L53" s="726">
        <f>'[15]Обращения 3-22'!L53+'[15] Изм. об. 4-3'!L53</f>
        <v>0</v>
      </c>
    </row>
    <row r="54" spans="1:12" x14ac:dyDescent="0.25">
      <c r="A54" s="720">
        <v>43</v>
      </c>
      <c r="B54" s="721">
        <v>28002</v>
      </c>
      <c r="C54" s="722" t="s">
        <v>38</v>
      </c>
      <c r="D54" s="723">
        <f t="shared" si="2"/>
        <v>52868</v>
      </c>
      <c r="E54" s="724">
        <f>'[15]Обращения 3-22'!E54+'[15] Изм. об. 4-3'!E54</f>
        <v>0</v>
      </c>
      <c r="F54" s="724">
        <f>'[15]Обращения 3-22'!F54+'[15] Изм. об. 4-3'!F54</f>
        <v>0</v>
      </c>
      <c r="G54" s="724">
        <f>'[15]Обращения 3-22'!G54+'[15] Изм. об. 4-3'!G54</f>
        <v>0</v>
      </c>
      <c r="H54" s="724">
        <f>'[15]Обращения 3-22'!H54+'[15] Изм. об. 4-3'!H54</f>
        <v>0</v>
      </c>
      <c r="I54" s="724">
        <f t="shared" si="3"/>
        <v>52868</v>
      </c>
      <c r="J54" s="724">
        <f>'[15]Обращения 3-22'!J54+'[15] Изм. об. 4-3'!J54</f>
        <v>12688</v>
      </c>
      <c r="K54" s="725">
        <f>'[15]Обращения 3-22'!K54+'[15] Изм. об. 4-3'!K54</f>
        <v>40180</v>
      </c>
      <c r="L54" s="726">
        <f>'[15]Обращения 3-22'!L54+'[15] Изм. об. 4-3'!L54</f>
        <v>0</v>
      </c>
    </row>
    <row r="55" spans="1:12" x14ac:dyDescent="0.25">
      <c r="A55" s="720">
        <v>44</v>
      </c>
      <c r="B55" s="721">
        <v>21002</v>
      </c>
      <c r="C55" s="722" t="s">
        <v>39</v>
      </c>
      <c r="D55" s="723">
        <f t="shared" si="2"/>
        <v>67389</v>
      </c>
      <c r="E55" s="724">
        <f>'[15]Обращения 3-22'!E55+'[15] Изм. об. 4-3'!E55</f>
        <v>0</v>
      </c>
      <c r="F55" s="724">
        <f>'[15]Обращения 3-22'!F55+'[15] Изм. об. 4-3'!F55</f>
        <v>0</v>
      </c>
      <c r="G55" s="724">
        <f>'[15]Обращения 3-22'!G55+'[15] Изм. об. 4-3'!G55</f>
        <v>0</v>
      </c>
      <c r="H55" s="724">
        <f>'[15]Обращения 3-22'!H55+'[15] Изм. об. 4-3'!H55</f>
        <v>0</v>
      </c>
      <c r="I55" s="724">
        <f t="shared" si="3"/>
        <v>67389</v>
      </c>
      <c r="J55" s="724">
        <f>'[15]Обращения 3-22'!J55+'[15] Изм. об. 4-3'!J55</f>
        <v>15432</v>
      </c>
      <c r="K55" s="725">
        <f>'[15]Обращения 3-22'!K55+'[15] Изм. об. 4-3'!K55</f>
        <v>51957</v>
      </c>
      <c r="L55" s="726">
        <f>'[15]Обращения 3-22'!L55+'[15] Изм. об. 4-3'!L55</f>
        <v>0</v>
      </c>
    </row>
    <row r="56" spans="1:12" x14ac:dyDescent="0.25">
      <c r="A56" s="720">
        <v>45</v>
      </c>
      <c r="B56" s="721">
        <v>23006</v>
      </c>
      <c r="C56" s="722" t="s">
        <v>40</v>
      </c>
      <c r="D56" s="723">
        <f t="shared" si="2"/>
        <v>23782</v>
      </c>
      <c r="E56" s="724">
        <f>'[15]Обращения 3-22'!E56+'[15] Изм. об. 4-3'!E56</f>
        <v>0</v>
      </c>
      <c r="F56" s="724">
        <f>'[15]Обращения 3-22'!F56+'[15] Изм. об. 4-3'!F56</f>
        <v>0</v>
      </c>
      <c r="G56" s="724">
        <f>'[15]Обращения 3-22'!G56+'[15] Изм. об. 4-3'!G56</f>
        <v>0</v>
      </c>
      <c r="H56" s="724">
        <f>'[15]Обращения 3-22'!H56+'[15] Изм. об. 4-3'!H56</f>
        <v>0</v>
      </c>
      <c r="I56" s="724">
        <f t="shared" si="3"/>
        <v>23782</v>
      </c>
      <c r="J56" s="724">
        <f>'[15]Обращения 3-22'!J56+'[15] Изм. об. 4-3'!J56</f>
        <v>7135</v>
      </c>
      <c r="K56" s="725">
        <f>'[15]Обращения 3-22'!K56+'[15] Изм. об. 4-3'!K56</f>
        <v>16647</v>
      </c>
      <c r="L56" s="726">
        <f>'[15]Обращения 3-22'!L56+'[15] Изм. об. 4-3'!L56</f>
        <v>0</v>
      </c>
    </row>
    <row r="57" spans="1:12" x14ac:dyDescent="0.25">
      <c r="A57" s="720">
        <v>46</v>
      </c>
      <c r="B57" s="721">
        <v>21001</v>
      </c>
      <c r="C57" s="722" t="s">
        <v>53</v>
      </c>
      <c r="D57" s="723">
        <f t="shared" si="2"/>
        <v>46580</v>
      </c>
      <c r="E57" s="724">
        <f>'[15]Обращения 3-22'!E57+'[15] Изм. об. 4-3'!E57</f>
        <v>0</v>
      </c>
      <c r="F57" s="724">
        <f>'[15]Обращения 3-22'!F57+'[15] Изм. об. 4-3'!F57</f>
        <v>0</v>
      </c>
      <c r="G57" s="724">
        <f>'[15]Обращения 3-22'!G57+'[15] Изм. об. 4-3'!G57</f>
        <v>0</v>
      </c>
      <c r="H57" s="724">
        <f>'[15]Обращения 3-22'!H57+'[15] Изм. об. 4-3'!H57</f>
        <v>0</v>
      </c>
      <c r="I57" s="724">
        <f t="shared" si="3"/>
        <v>46580</v>
      </c>
      <c r="J57" s="724">
        <f>'[15]Обращения 3-22'!J57+'[15] Изм. об. 4-3'!J57</f>
        <v>12018</v>
      </c>
      <c r="K57" s="725">
        <f>'[15]Обращения 3-22'!K57+'[15] Изм. об. 4-3'!K57</f>
        <v>34562</v>
      </c>
      <c r="L57" s="726">
        <f>'[15]Обращения 3-22'!L57+'[15] Изм. об. 4-3'!L57</f>
        <v>0</v>
      </c>
    </row>
    <row r="58" spans="1:12" x14ac:dyDescent="0.25">
      <c r="A58" s="720">
        <v>47</v>
      </c>
      <c r="B58" s="721">
        <v>21003</v>
      </c>
      <c r="C58" s="722" t="s">
        <v>56</v>
      </c>
      <c r="D58" s="723">
        <f t="shared" si="2"/>
        <v>67538</v>
      </c>
      <c r="E58" s="724">
        <f>'[15]Обращения 3-22'!E58+'[15] Изм. об. 4-3'!E58</f>
        <v>0</v>
      </c>
      <c r="F58" s="724">
        <f>'[15]Обращения 3-22'!F58+'[15] Изм. об. 4-3'!F58</f>
        <v>0</v>
      </c>
      <c r="G58" s="724">
        <f>'[15]Обращения 3-22'!G58+'[15] Изм. об. 4-3'!G58</f>
        <v>0</v>
      </c>
      <c r="H58" s="724">
        <f>'[15]Обращения 3-22'!H58+'[15] Изм. об. 4-3'!H58</f>
        <v>0</v>
      </c>
      <c r="I58" s="724">
        <f t="shared" si="3"/>
        <v>67538</v>
      </c>
      <c r="J58" s="724">
        <f>'[15]Обращения 3-22'!J58+'[15] Изм. об. 4-3'!J58</f>
        <v>18911</v>
      </c>
      <c r="K58" s="725">
        <f>'[15]Обращения 3-22'!K58+'[15] Изм. об. 4-3'!K58</f>
        <v>48627</v>
      </c>
      <c r="L58" s="726">
        <f>'[15]Обращения 3-22'!L58+'[15] Изм. об. 4-3'!L58</f>
        <v>0</v>
      </c>
    </row>
    <row r="59" spans="1:12" x14ac:dyDescent="0.25">
      <c r="A59" s="720">
        <v>48</v>
      </c>
      <c r="B59" s="721">
        <v>21701</v>
      </c>
      <c r="C59" s="722" t="s">
        <v>15</v>
      </c>
      <c r="D59" s="723">
        <f t="shared" si="2"/>
        <v>218060</v>
      </c>
      <c r="E59" s="724">
        <f>'[15]Обращения 3-22'!E59+'[15] Изм. об. 4-3'!E59</f>
        <v>0</v>
      </c>
      <c r="F59" s="724">
        <f>'[15]Обращения 3-22'!F59+'[15] Изм. об. 4-3'!F59</f>
        <v>0</v>
      </c>
      <c r="G59" s="724">
        <f>'[15]Обращения 3-22'!G59+'[15] Изм. об. 4-3'!G59</f>
        <v>0</v>
      </c>
      <c r="H59" s="724">
        <f>'[15]Обращения 3-22'!H59+'[15] Изм. об. 4-3'!H59</f>
        <v>0</v>
      </c>
      <c r="I59" s="724">
        <f t="shared" si="3"/>
        <v>218060</v>
      </c>
      <c r="J59" s="724">
        <f>'[15]Обращения 3-22'!J59+'[15] Изм. об. 4-3'!J59</f>
        <v>47973</v>
      </c>
      <c r="K59" s="725">
        <f>'[15]Обращения 3-22'!K59+'[15] Изм. об. 4-3'!K59</f>
        <v>170087</v>
      </c>
      <c r="L59" s="726">
        <f>'[15]Обращения 3-22'!L59+'[15] Изм. об. 4-3'!L59</f>
        <v>0</v>
      </c>
    </row>
    <row r="60" spans="1:12" x14ac:dyDescent="0.25">
      <c r="A60" s="720">
        <v>49</v>
      </c>
      <c r="B60" s="721">
        <v>21706</v>
      </c>
      <c r="C60" s="722" t="s">
        <v>61</v>
      </c>
      <c r="D60" s="723">
        <f t="shared" si="2"/>
        <v>37102</v>
      </c>
      <c r="E60" s="724">
        <f>'[15]Обращения 3-22'!E60+'[15] Изм. об. 4-3'!E60</f>
        <v>0</v>
      </c>
      <c r="F60" s="724">
        <f>'[15]Обращения 3-22'!F60+'[15] Изм. об. 4-3'!F60</f>
        <v>0</v>
      </c>
      <c r="G60" s="724">
        <f>'[15]Обращения 3-22'!G60+'[15] Изм. об. 4-3'!G60</f>
        <v>0</v>
      </c>
      <c r="H60" s="724">
        <f>'[15]Обращения 3-22'!H60+'[15] Изм. об. 4-3'!H60</f>
        <v>0</v>
      </c>
      <c r="I60" s="724">
        <f t="shared" si="3"/>
        <v>37102</v>
      </c>
      <c r="J60" s="724">
        <f>'[15]Обращения 3-22'!J60+'[15] Изм. об. 4-3'!J60</f>
        <v>9016</v>
      </c>
      <c r="K60" s="725">
        <f>'[15]Обращения 3-22'!K60+'[15] Изм. об. 4-3'!K60</f>
        <v>28086</v>
      </c>
      <c r="L60" s="726">
        <f>'[15]Обращения 3-22'!L60+'[15] Изм. об. 4-3'!L60</f>
        <v>0</v>
      </c>
    </row>
    <row r="61" spans="1:12" x14ac:dyDescent="0.25">
      <c r="A61" s="720">
        <v>50</v>
      </c>
      <c r="B61" s="721">
        <v>21749</v>
      </c>
      <c r="C61" s="722" t="s">
        <v>409</v>
      </c>
      <c r="D61" s="723">
        <f t="shared" si="2"/>
        <v>50</v>
      </c>
      <c r="E61" s="724">
        <f>'[15]Обращения 3-22'!E61+'[15] Изм. об. 4-3'!E61</f>
        <v>0</v>
      </c>
      <c r="F61" s="724">
        <f>'[15]Обращения 3-22'!F61+'[15] Изм. об. 4-3'!F61</f>
        <v>0</v>
      </c>
      <c r="G61" s="724">
        <f>'[15]Обращения 3-22'!G61+'[15] Изм. об. 4-3'!G61</f>
        <v>50</v>
      </c>
      <c r="H61" s="724">
        <f>'[15]Обращения 3-22'!H61+'[15] Изм. об. 4-3'!H61</f>
        <v>0</v>
      </c>
      <c r="I61" s="724">
        <f t="shared" si="3"/>
        <v>0</v>
      </c>
      <c r="J61" s="724">
        <f>'[15]Обращения 3-22'!J61+'[15] Изм. об. 4-3'!J61</f>
        <v>0</v>
      </c>
      <c r="K61" s="725">
        <f>'[15]Обращения 3-22'!K61+'[15] Изм. об. 4-3'!K61</f>
        <v>0</v>
      </c>
      <c r="L61" s="726">
        <f>'[15]Обращения 3-22'!L61+'[15] Изм. об. 4-3'!L61</f>
        <v>0</v>
      </c>
    </row>
    <row r="62" spans="1:12" x14ac:dyDescent="0.25">
      <c r="A62" s="720">
        <v>51</v>
      </c>
      <c r="B62" s="721">
        <v>21110</v>
      </c>
      <c r="C62" s="722" t="s">
        <v>410</v>
      </c>
      <c r="D62" s="723">
        <f t="shared" si="2"/>
        <v>62278</v>
      </c>
      <c r="E62" s="724">
        <f>'[15]Обращения 3-22'!E62+'[15] Изм. об. 4-3'!E62</f>
        <v>0</v>
      </c>
      <c r="F62" s="724">
        <f>'[15]Обращения 3-22'!F62+'[15] Изм. об. 4-3'!F62</f>
        <v>0</v>
      </c>
      <c r="G62" s="724">
        <f>'[15]Обращения 3-22'!G62+'[15] Изм. об. 4-3'!G62</f>
        <v>0</v>
      </c>
      <c r="H62" s="724">
        <f>'[15]Обращения 3-22'!H62+'[15] Изм. об. 4-3'!H62</f>
        <v>0</v>
      </c>
      <c r="I62" s="724">
        <f t="shared" si="3"/>
        <v>62278</v>
      </c>
      <c r="J62" s="724">
        <f>'[15]Обращения 3-22'!J62+'[15] Изм. об. 4-3'!J62</f>
        <v>11646</v>
      </c>
      <c r="K62" s="725">
        <f>'[15]Обращения 3-22'!K62+'[15] Изм. об. 4-3'!K62</f>
        <v>50632</v>
      </c>
      <c r="L62" s="726">
        <f>'[15]Обращения 3-22'!L62+'[15] Изм. об. 4-3'!L62</f>
        <v>0</v>
      </c>
    </row>
    <row r="63" spans="1:12" x14ac:dyDescent="0.25">
      <c r="A63" s="720">
        <v>52</v>
      </c>
      <c r="B63" s="721">
        <v>21100</v>
      </c>
      <c r="C63" s="722" t="s">
        <v>411</v>
      </c>
      <c r="D63" s="723">
        <f t="shared" si="2"/>
        <v>50982</v>
      </c>
      <c r="E63" s="724">
        <f>'[15]Обращения 3-22'!E63+'[15] Изм. об. 4-3'!E63</f>
        <v>0</v>
      </c>
      <c r="F63" s="724">
        <f>'[15]Обращения 3-22'!F63+'[15] Изм. об. 4-3'!F63</f>
        <v>0</v>
      </c>
      <c r="G63" s="724">
        <f>'[15]Обращения 3-22'!G63+'[15] Изм. об. 4-3'!G63</f>
        <v>0</v>
      </c>
      <c r="H63" s="724">
        <f>'[15]Обращения 3-22'!H63+'[15] Изм. об. 4-3'!H63</f>
        <v>0</v>
      </c>
      <c r="I63" s="724">
        <f t="shared" si="3"/>
        <v>50982</v>
      </c>
      <c r="J63" s="724">
        <f>'[15]Обращения 3-22'!J63+'[15] Изм. об. 4-3'!J63</f>
        <v>11216</v>
      </c>
      <c r="K63" s="725">
        <f>'[15]Обращения 3-22'!K63+'[15] Изм. об. 4-3'!K63</f>
        <v>39766</v>
      </c>
      <c r="L63" s="726">
        <f>'[15]Обращения 3-22'!L63+'[15] Изм. об. 4-3'!L63</f>
        <v>0</v>
      </c>
    </row>
    <row r="64" spans="1:12" x14ac:dyDescent="0.25">
      <c r="A64" s="720">
        <v>53</v>
      </c>
      <c r="B64" s="721">
        <v>27000</v>
      </c>
      <c r="C64" s="722" t="s">
        <v>412</v>
      </c>
      <c r="D64" s="723">
        <f t="shared" si="2"/>
        <v>75577</v>
      </c>
      <c r="E64" s="724">
        <f>'[15]Обращения 3-22'!E64+'[15] Изм. об. 4-3'!E64</f>
        <v>0</v>
      </c>
      <c r="F64" s="724">
        <f>'[15]Обращения 3-22'!F64+'[15] Изм. об. 4-3'!F64</f>
        <v>0</v>
      </c>
      <c r="G64" s="724">
        <f>'[15]Обращения 3-22'!G64+'[15] Изм. об. 4-3'!G64</f>
        <v>0</v>
      </c>
      <c r="H64" s="724">
        <f>'[15]Обращения 3-22'!H64+'[15] Изм. об. 4-3'!H64</f>
        <v>3897</v>
      </c>
      <c r="I64" s="724">
        <f t="shared" si="3"/>
        <v>71680</v>
      </c>
      <c r="J64" s="724">
        <f>'[15]Обращения 3-22'!J64+'[15] Изм. об. 4-3'!J64</f>
        <v>17203</v>
      </c>
      <c r="K64" s="725">
        <f>'[15]Обращения 3-22'!K64+'[15] Изм. об. 4-3'!K64</f>
        <v>54477</v>
      </c>
      <c r="L64" s="726">
        <f>'[15]Обращения 3-22'!L64+'[15] Изм. об. 4-3'!L64</f>
        <v>0</v>
      </c>
    </row>
    <row r="65" spans="1:12" x14ac:dyDescent="0.25">
      <c r="A65" s="720">
        <v>54</v>
      </c>
      <c r="B65" s="721">
        <v>21120</v>
      </c>
      <c r="C65" s="722" t="s">
        <v>413</v>
      </c>
      <c r="D65" s="723">
        <f t="shared" si="2"/>
        <v>92967</v>
      </c>
      <c r="E65" s="724">
        <f>'[15]Обращения 3-22'!E65+'[15] Изм. об. 4-3'!E65</f>
        <v>0</v>
      </c>
      <c r="F65" s="724">
        <f>'[15]Обращения 3-22'!F65+'[15] Изм. об. 4-3'!F65</f>
        <v>0</v>
      </c>
      <c r="G65" s="724">
        <f>'[15]Обращения 3-22'!G65+'[15] Изм. об. 4-3'!G65</f>
        <v>0</v>
      </c>
      <c r="H65" s="724">
        <f>'[15]Обращения 3-22'!H65+'[15] Изм. об. 4-3'!H65</f>
        <v>3734</v>
      </c>
      <c r="I65" s="724">
        <f t="shared" si="3"/>
        <v>89233</v>
      </c>
      <c r="J65" s="724">
        <f>'[15]Обращения 3-22'!J65+'[15] Изм. об. 4-3'!J65</f>
        <v>20256</v>
      </c>
      <c r="K65" s="725">
        <f>'[15]Обращения 3-22'!K65+'[15] Изм. об. 4-3'!K65</f>
        <v>68977</v>
      </c>
      <c r="L65" s="726">
        <f>'[15]Обращения 3-22'!L65+'[15] Изм. об. 4-3'!L65</f>
        <v>0</v>
      </c>
    </row>
    <row r="66" spans="1:12" x14ac:dyDescent="0.25">
      <c r="A66" s="720">
        <v>55</v>
      </c>
      <c r="B66" s="721">
        <v>21130</v>
      </c>
      <c r="C66" s="722" t="s">
        <v>414</v>
      </c>
      <c r="D66" s="723">
        <f t="shared" si="2"/>
        <v>34954</v>
      </c>
      <c r="E66" s="724">
        <f>'[15]Обращения 3-22'!E66+'[15] Изм. об. 4-3'!E66</f>
        <v>0</v>
      </c>
      <c r="F66" s="724">
        <f>'[15]Обращения 3-22'!F66+'[15] Изм. об. 4-3'!F66</f>
        <v>0</v>
      </c>
      <c r="G66" s="724">
        <f>'[15]Обращения 3-22'!G66+'[15] Изм. об. 4-3'!G66</f>
        <v>0</v>
      </c>
      <c r="H66" s="724">
        <f>'[15]Обращения 3-22'!H66+'[15] Изм. об. 4-3'!H66</f>
        <v>0</v>
      </c>
      <c r="I66" s="724">
        <f t="shared" si="3"/>
        <v>34954</v>
      </c>
      <c r="J66" s="724">
        <f>'[15]Обращения 3-22'!J66+'[15] Изм. об. 4-3'!J66</f>
        <v>8389</v>
      </c>
      <c r="K66" s="725">
        <f>'[15]Обращения 3-22'!K66+'[15] Изм. об. 4-3'!K66</f>
        <v>26565</v>
      </c>
      <c r="L66" s="726">
        <f>'[15]Обращения 3-22'!L66+'[15] Изм. об. 4-3'!L66</f>
        <v>0</v>
      </c>
    </row>
    <row r="67" spans="1:12" x14ac:dyDescent="0.25">
      <c r="A67" s="720">
        <v>56</v>
      </c>
      <c r="B67" s="721">
        <v>21140</v>
      </c>
      <c r="C67" s="722" t="s">
        <v>415</v>
      </c>
      <c r="D67" s="723">
        <f t="shared" si="2"/>
        <v>23383</v>
      </c>
      <c r="E67" s="724">
        <f>'[15]Обращения 3-22'!E67+'[15] Изм. об. 4-3'!E67</f>
        <v>0</v>
      </c>
      <c r="F67" s="724">
        <f>'[15]Обращения 3-22'!F67+'[15] Изм. об. 4-3'!F67</f>
        <v>0</v>
      </c>
      <c r="G67" s="724">
        <f>'[15]Обращения 3-22'!G67+'[15] Изм. об. 4-3'!G67</f>
        <v>23383</v>
      </c>
      <c r="H67" s="724">
        <f>'[15]Обращения 3-22'!H67+'[15] Изм. об. 4-3'!H67</f>
        <v>0</v>
      </c>
      <c r="I67" s="724">
        <f t="shared" si="3"/>
        <v>0</v>
      </c>
      <c r="J67" s="724">
        <f>'[15]Обращения 3-22'!J67+'[15] Изм. об. 4-3'!J67</f>
        <v>0</v>
      </c>
      <c r="K67" s="725">
        <f>'[15]Обращения 3-22'!K67+'[15] Изм. об. 4-3'!K67</f>
        <v>0</v>
      </c>
      <c r="L67" s="726">
        <f>'[15]Обращения 3-22'!L67+'[15] Изм. об. 4-3'!L67</f>
        <v>0</v>
      </c>
    </row>
    <row r="68" spans="1:12" x14ac:dyDescent="0.25">
      <c r="A68" s="720">
        <v>57</v>
      </c>
      <c r="B68" s="721">
        <v>21150</v>
      </c>
      <c r="C68" s="722" t="s">
        <v>416</v>
      </c>
      <c r="D68" s="723">
        <f t="shared" si="2"/>
        <v>37194</v>
      </c>
      <c r="E68" s="724">
        <f>'[15]Обращения 3-22'!E68+'[15] Изм. об. 4-3'!E68</f>
        <v>0</v>
      </c>
      <c r="F68" s="724">
        <f>'[15]Обращения 3-22'!F68+'[15] Изм. об. 4-3'!F68</f>
        <v>0</v>
      </c>
      <c r="G68" s="724">
        <f>'[15]Обращения 3-22'!G68+'[15] Изм. об. 4-3'!G68</f>
        <v>37194</v>
      </c>
      <c r="H68" s="724">
        <f>'[15]Обращения 3-22'!H68+'[15] Изм. об. 4-3'!H68</f>
        <v>0</v>
      </c>
      <c r="I68" s="724">
        <f t="shared" si="3"/>
        <v>0</v>
      </c>
      <c r="J68" s="724">
        <f>'[15]Обращения 3-22'!J68+'[15] Изм. об. 4-3'!J68</f>
        <v>0</v>
      </c>
      <c r="K68" s="725">
        <f>'[15]Обращения 3-22'!K68+'[15] Изм. об. 4-3'!K68</f>
        <v>0</v>
      </c>
      <c r="L68" s="726">
        <f>'[15]Обращения 3-22'!L68+'[15] Изм. об. 4-3'!L68</f>
        <v>0</v>
      </c>
    </row>
    <row r="69" spans="1:12" x14ac:dyDescent="0.25">
      <c r="A69" s="720">
        <v>58</v>
      </c>
      <c r="B69" s="721">
        <v>29100</v>
      </c>
      <c r="C69" s="722" t="s">
        <v>417</v>
      </c>
      <c r="D69" s="723">
        <f t="shared" si="2"/>
        <v>121097</v>
      </c>
      <c r="E69" s="724">
        <f>'[15]Обращения 3-22'!E69+'[15] Изм. об. 4-3'!E69</f>
        <v>5965</v>
      </c>
      <c r="F69" s="724">
        <f>'[15]Обращения 3-22'!F69+'[15] Изм. об. 4-3'!F69</f>
        <v>0</v>
      </c>
      <c r="G69" s="724">
        <f>'[15]Обращения 3-22'!G69+'[15] Изм. об. 4-3'!G69</f>
        <v>0</v>
      </c>
      <c r="H69" s="724">
        <f>'[15]Обращения 3-22'!H69+'[15] Изм. об. 4-3'!H69</f>
        <v>0</v>
      </c>
      <c r="I69" s="724">
        <f t="shared" si="3"/>
        <v>115132</v>
      </c>
      <c r="J69" s="724">
        <f>'[15]Обращения 3-22'!J69+'[15] Изм. об. 4-3'!J69</f>
        <v>29128</v>
      </c>
      <c r="K69" s="725">
        <f>'[15]Обращения 3-22'!K69+'[15] Изм. об. 4-3'!K69</f>
        <v>86004</v>
      </c>
      <c r="L69" s="726">
        <f>'[15]Обращения 3-22'!L69+'[15] Изм. об. 4-3'!L69</f>
        <v>0</v>
      </c>
    </row>
    <row r="70" spans="1:12" x14ac:dyDescent="0.25">
      <c r="A70" s="720">
        <v>59</v>
      </c>
      <c r="B70" s="721">
        <v>29300</v>
      </c>
      <c r="C70" s="722" t="s">
        <v>418</v>
      </c>
      <c r="D70" s="723">
        <f t="shared" si="2"/>
        <v>59977</v>
      </c>
      <c r="E70" s="724">
        <f>'[15]Обращения 3-22'!E70+'[15] Изм. об. 4-3'!E70</f>
        <v>0</v>
      </c>
      <c r="F70" s="724">
        <f>'[15]Обращения 3-22'!F70+'[15] Изм. об. 4-3'!F70</f>
        <v>0</v>
      </c>
      <c r="G70" s="724">
        <f>'[15]Обращения 3-22'!G70+'[15] Изм. об. 4-3'!G70</f>
        <v>0</v>
      </c>
      <c r="H70" s="724">
        <f>'[15]Обращения 3-22'!H70+'[15] Изм. об. 4-3'!H70</f>
        <v>0</v>
      </c>
      <c r="I70" s="724">
        <f t="shared" si="3"/>
        <v>59977</v>
      </c>
      <c r="J70" s="724">
        <f>'[15]Обращения 3-22'!J70+'[15] Изм. об. 4-3'!J70</f>
        <v>17393</v>
      </c>
      <c r="K70" s="725">
        <f>'[15]Обращения 3-22'!K70+'[15] Изм. об. 4-3'!K70</f>
        <v>42584</v>
      </c>
      <c r="L70" s="726">
        <f>'[15]Обращения 3-22'!L70+'[15] Изм. об. 4-3'!L70</f>
        <v>0</v>
      </c>
    </row>
    <row r="71" spans="1:12" x14ac:dyDescent="0.25">
      <c r="A71" s="720">
        <v>60</v>
      </c>
      <c r="B71" s="721">
        <v>29700</v>
      </c>
      <c r="C71" s="722" t="s">
        <v>419</v>
      </c>
      <c r="D71" s="723">
        <f t="shared" si="2"/>
        <v>160322</v>
      </c>
      <c r="E71" s="724">
        <f>'[15]Обращения 3-22'!E71+'[15] Изм. об. 4-3'!E71</f>
        <v>5672</v>
      </c>
      <c r="F71" s="724">
        <f>'[15]Обращения 3-22'!F71+'[15] Изм. об. 4-3'!F71</f>
        <v>0</v>
      </c>
      <c r="G71" s="724">
        <f>'[15]Обращения 3-22'!G71+'[15] Изм. об. 4-3'!G71</f>
        <v>0</v>
      </c>
      <c r="H71" s="724">
        <f>'[15]Обращения 3-22'!H71+'[15] Изм. об. 4-3'!H71</f>
        <v>0</v>
      </c>
      <c r="I71" s="724">
        <f t="shared" si="3"/>
        <v>154650</v>
      </c>
      <c r="J71" s="724">
        <f>'[15]Обращения 3-22'!J71+'[15] Изм. об. 4-3'!J71</f>
        <v>41887</v>
      </c>
      <c r="K71" s="725">
        <f>'[15]Обращения 3-22'!K71+'[15] Изм. об. 4-3'!K71</f>
        <v>112763</v>
      </c>
      <c r="L71" s="726">
        <f>'[15]Обращения 3-22'!L71+'[15] Изм. об. 4-3'!L71</f>
        <v>0</v>
      </c>
    </row>
    <row r="72" spans="1:12" x14ac:dyDescent="0.25">
      <c r="A72" s="720">
        <v>61</v>
      </c>
      <c r="B72" s="721">
        <v>21040</v>
      </c>
      <c r="C72" s="722" t="s">
        <v>420</v>
      </c>
      <c r="D72" s="723">
        <f t="shared" si="2"/>
        <v>17292</v>
      </c>
      <c r="E72" s="724">
        <f>'[15]Обращения 3-22'!E72+'[15] Изм. об. 4-3'!E72</f>
        <v>0</v>
      </c>
      <c r="F72" s="724">
        <f>'[15]Обращения 3-22'!F72+'[15] Изм. об. 4-3'!F72</f>
        <v>0</v>
      </c>
      <c r="G72" s="724">
        <f>'[15]Обращения 3-22'!G72+'[15] Изм. об. 4-3'!G72</f>
        <v>17292</v>
      </c>
      <c r="H72" s="724">
        <f>'[15]Обращения 3-22'!H72+'[15] Изм. об. 4-3'!H72</f>
        <v>0</v>
      </c>
      <c r="I72" s="724">
        <f t="shared" si="3"/>
        <v>0</v>
      </c>
      <c r="J72" s="724">
        <f>'[15]Обращения 3-22'!J72+'[15] Изм. об. 4-3'!J72</f>
        <v>0</v>
      </c>
      <c r="K72" s="725">
        <f>'[15]Обращения 3-22'!K72+'[15] Изм. об. 4-3'!K72</f>
        <v>0</v>
      </c>
      <c r="L72" s="726">
        <f>'[15]Обращения 3-22'!L72+'[15] Изм. об. 4-3'!L72</f>
        <v>0</v>
      </c>
    </row>
    <row r="73" spans="1:12" x14ac:dyDescent="0.25">
      <c r="A73" s="720">
        <v>62</v>
      </c>
      <c r="B73" s="721">
        <v>21050</v>
      </c>
      <c r="C73" s="722" t="s">
        <v>421</v>
      </c>
      <c r="D73" s="723">
        <f t="shared" si="2"/>
        <v>19558</v>
      </c>
      <c r="E73" s="724">
        <f>'[15]Обращения 3-22'!E73+'[15] Изм. об. 4-3'!E73</f>
        <v>0</v>
      </c>
      <c r="F73" s="724">
        <f>'[15]Обращения 3-22'!F73+'[15] Изм. об. 4-3'!F73</f>
        <v>0</v>
      </c>
      <c r="G73" s="724">
        <f>'[15]Обращения 3-22'!G73+'[15] Изм. об. 4-3'!G73</f>
        <v>19558</v>
      </c>
      <c r="H73" s="724">
        <f>'[15]Обращения 3-22'!H73+'[15] Изм. об. 4-3'!H73</f>
        <v>0</v>
      </c>
      <c r="I73" s="724">
        <f t="shared" si="3"/>
        <v>0</v>
      </c>
      <c r="J73" s="724">
        <f>'[15]Обращения 3-22'!J73+'[15] Изм. об. 4-3'!J73</f>
        <v>0</v>
      </c>
      <c r="K73" s="725">
        <f>'[15]Обращения 3-22'!K73+'[15] Изм. об. 4-3'!K73</f>
        <v>0</v>
      </c>
      <c r="L73" s="726">
        <f>'[15]Обращения 3-22'!L73+'[15] Изм. об. 4-3'!L73</f>
        <v>0</v>
      </c>
    </row>
    <row r="74" spans="1:12" x14ac:dyDescent="0.25">
      <c r="A74" s="720">
        <v>63</v>
      </c>
      <c r="B74" s="721">
        <v>21060</v>
      </c>
      <c r="C74" s="722" t="s">
        <v>422</v>
      </c>
      <c r="D74" s="723">
        <f t="shared" si="2"/>
        <v>24108</v>
      </c>
      <c r="E74" s="724">
        <f>'[15]Обращения 3-22'!E74+'[15] Изм. об. 4-3'!E74</f>
        <v>0</v>
      </c>
      <c r="F74" s="724">
        <f>'[15]Обращения 3-22'!F74+'[15] Изм. об. 4-3'!F74</f>
        <v>0</v>
      </c>
      <c r="G74" s="724">
        <f>'[15]Обращения 3-22'!G74+'[15] Изм. об. 4-3'!G74</f>
        <v>24108</v>
      </c>
      <c r="H74" s="724">
        <f>'[15]Обращения 3-22'!H74+'[15] Изм. об. 4-3'!H74</f>
        <v>0</v>
      </c>
      <c r="I74" s="724">
        <f t="shared" si="3"/>
        <v>0</v>
      </c>
      <c r="J74" s="724">
        <f>'[15]Обращения 3-22'!J74+'[15] Изм. об. 4-3'!J74</f>
        <v>0</v>
      </c>
      <c r="K74" s="725">
        <f>'[15]Обращения 3-22'!K74+'[15] Изм. об. 4-3'!K74</f>
        <v>0</v>
      </c>
      <c r="L74" s="726">
        <f>'[15]Обращения 3-22'!L74+'[15] Изм. об. 4-3'!L74</f>
        <v>0</v>
      </c>
    </row>
    <row r="75" spans="1:12" x14ac:dyDescent="0.25">
      <c r="A75" s="720">
        <v>64</v>
      </c>
      <c r="B75" s="721">
        <v>21070</v>
      </c>
      <c r="C75" s="722" t="s">
        <v>423</v>
      </c>
      <c r="D75" s="723">
        <f t="shared" si="2"/>
        <v>19442</v>
      </c>
      <c r="E75" s="724">
        <f>'[15]Обращения 3-22'!E75+'[15] Изм. об. 4-3'!E75</f>
        <v>0</v>
      </c>
      <c r="F75" s="724">
        <f>'[15]Обращения 3-22'!F75+'[15] Изм. об. 4-3'!F75</f>
        <v>0</v>
      </c>
      <c r="G75" s="724">
        <f>'[15]Обращения 3-22'!G75+'[15] Изм. об. 4-3'!G75</f>
        <v>19442</v>
      </c>
      <c r="H75" s="724">
        <f>'[15]Обращения 3-22'!H75+'[15] Изм. об. 4-3'!H75</f>
        <v>0</v>
      </c>
      <c r="I75" s="724">
        <f t="shared" si="3"/>
        <v>0</v>
      </c>
      <c r="J75" s="724">
        <f>'[15]Обращения 3-22'!J75+'[15] Изм. об. 4-3'!J75</f>
        <v>0</v>
      </c>
      <c r="K75" s="725">
        <f>'[15]Обращения 3-22'!K75+'[15] Изм. об. 4-3'!K75</f>
        <v>0</v>
      </c>
      <c r="L75" s="726">
        <f>'[15]Обращения 3-22'!L75+'[15] Изм. об. 4-3'!L75</f>
        <v>0</v>
      </c>
    </row>
    <row r="76" spans="1:12" x14ac:dyDescent="0.25">
      <c r="A76" s="720">
        <v>65</v>
      </c>
      <c r="B76" s="721">
        <v>21080</v>
      </c>
      <c r="C76" s="722" t="s">
        <v>424</v>
      </c>
      <c r="D76" s="723">
        <f t="shared" ref="D76:D123" si="4">E76+F76+G76+H76+I76</f>
        <v>27914</v>
      </c>
      <c r="E76" s="724">
        <f>'[15]Обращения 3-22'!E76+'[15] Изм. об. 4-3'!E76</f>
        <v>0</v>
      </c>
      <c r="F76" s="724">
        <f>'[15]Обращения 3-22'!F76+'[15] Изм. об. 4-3'!F76</f>
        <v>0</v>
      </c>
      <c r="G76" s="724">
        <f>'[15]Обращения 3-22'!G76+'[15] Изм. об. 4-3'!G76</f>
        <v>27914</v>
      </c>
      <c r="H76" s="724">
        <f>'[15]Обращения 3-22'!H76+'[15] Изм. об. 4-3'!H76</f>
        <v>0</v>
      </c>
      <c r="I76" s="724">
        <f t="shared" si="3"/>
        <v>0</v>
      </c>
      <c r="J76" s="724">
        <f>'[15]Обращения 3-22'!J76+'[15] Изм. об. 4-3'!J76</f>
        <v>0</v>
      </c>
      <c r="K76" s="725">
        <f>'[15]Обращения 3-22'!K76+'[15] Изм. об. 4-3'!K76</f>
        <v>0</v>
      </c>
      <c r="L76" s="726">
        <f>'[15]Обращения 3-22'!L76+'[15] Изм. об. 4-3'!L76</f>
        <v>0</v>
      </c>
    </row>
    <row r="77" spans="1:12" x14ac:dyDescent="0.25">
      <c r="A77" s="720">
        <v>66</v>
      </c>
      <c r="B77" s="721">
        <v>21160</v>
      </c>
      <c r="C77" s="722" t="s">
        <v>425</v>
      </c>
      <c r="D77" s="723">
        <f t="shared" si="4"/>
        <v>18290</v>
      </c>
      <c r="E77" s="724">
        <f>'[15]Обращения 3-22'!E77+'[15] Изм. об. 4-3'!E77</f>
        <v>0</v>
      </c>
      <c r="F77" s="724">
        <f>'[15]Обращения 3-22'!F77+'[15] Изм. об. 4-3'!F77</f>
        <v>0</v>
      </c>
      <c r="G77" s="724">
        <f>'[15]Обращения 3-22'!G77+'[15] Изм. об. 4-3'!G77</f>
        <v>18290</v>
      </c>
      <c r="H77" s="724">
        <f>'[15]Обращения 3-22'!H77+'[15] Изм. об. 4-3'!H77</f>
        <v>0</v>
      </c>
      <c r="I77" s="724">
        <f t="shared" ref="I77:I123" si="5">J77+K77</f>
        <v>0</v>
      </c>
      <c r="J77" s="724">
        <f>'[15]Обращения 3-22'!J77+'[15] Изм. об. 4-3'!J77</f>
        <v>0</v>
      </c>
      <c r="K77" s="725">
        <f>'[15]Обращения 3-22'!K77+'[15] Изм. об. 4-3'!K77</f>
        <v>0</v>
      </c>
      <c r="L77" s="726">
        <f>'[15]Обращения 3-22'!L77+'[15] Изм. об. 4-3'!L77</f>
        <v>0</v>
      </c>
    </row>
    <row r="78" spans="1:12" x14ac:dyDescent="0.25">
      <c r="A78" s="720">
        <v>67</v>
      </c>
      <c r="B78" s="721">
        <v>21310</v>
      </c>
      <c r="C78" s="722" t="s">
        <v>426</v>
      </c>
      <c r="D78" s="723">
        <f t="shared" si="4"/>
        <v>17310</v>
      </c>
      <c r="E78" s="724">
        <f>'[15]Обращения 3-22'!E78+'[15] Изм. об. 4-3'!E78</f>
        <v>0</v>
      </c>
      <c r="F78" s="724">
        <f>'[15]Обращения 3-22'!F78+'[15] Изм. об. 4-3'!F78</f>
        <v>0</v>
      </c>
      <c r="G78" s="724">
        <f>'[15]Обращения 3-22'!G78+'[15] Изм. об. 4-3'!G78</f>
        <v>17310</v>
      </c>
      <c r="H78" s="724">
        <f>'[15]Обращения 3-22'!H78+'[15] Изм. об. 4-3'!H78</f>
        <v>0</v>
      </c>
      <c r="I78" s="724">
        <f t="shared" si="5"/>
        <v>0</v>
      </c>
      <c r="J78" s="724">
        <f>'[15]Обращения 3-22'!J78+'[15] Изм. об. 4-3'!J78</f>
        <v>0</v>
      </c>
      <c r="K78" s="725">
        <f>'[15]Обращения 3-22'!K78+'[15] Изм. об. 4-3'!K78</f>
        <v>0</v>
      </c>
      <c r="L78" s="726">
        <f>'[15]Обращения 3-22'!L78+'[15] Изм. об. 4-3'!L78</f>
        <v>0</v>
      </c>
    </row>
    <row r="79" spans="1:12" ht="25.5" x14ac:dyDescent="0.25">
      <c r="A79" s="720">
        <v>68</v>
      </c>
      <c r="B79" s="721">
        <v>29400</v>
      </c>
      <c r="C79" s="722" t="s">
        <v>16</v>
      </c>
      <c r="D79" s="723">
        <f t="shared" si="4"/>
        <v>118127</v>
      </c>
      <c r="E79" s="724">
        <f>'[15]Обращения 3-22'!E79+'[15] Изм. об. 4-3'!E79</f>
        <v>0</v>
      </c>
      <c r="F79" s="724">
        <f>'[15]Обращения 3-22'!F79+'[15] Изм. об. 4-3'!F79</f>
        <v>0</v>
      </c>
      <c r="G79" s="724">
        <f>'[15]Обращения 3-22'!G79+'[15] Изм. об. 4-3'!G79</f>
        <v>0</v>
      </c>
      <c r="H79" s="724">
        <f>'[15]Обращения 3-22'!H79+'[15] Изм. об. 4-3'!H79</f>
        <v>2046</v>
      </c>
      <c r="I79" s="724">
        <f t="shared" si="5"/>
        <v>116081</v>
      </c>
      <c r="J79" s="724">
        <f>'[15]Обращения 3-22'!J79+'[15] Изм. об. 4-3'!J79</f>
        <v>23216</v>
      </c>
      <c r="K79" s="725">
        <f>'[15]Обращения 3-22'!K79+'[15] Изм. об. 4-3'!K79</f>
        <v>92865</v>
      </c>
      <c r="L79" s="726">
        <f>'[15]Обращения 3-22'!L79+'[15] Изм. об. 4-3'!L79</f>
        <v>0</v>
      </c>
    </row>
    <row r="80" spans="1:12" x14ac:dyDescent="0.25">
      <c r="A80" s="720">
        <v>69</v>
      </c>
      <c r="B80" s="721">
        <v>23500</v>
      </c>
      <c r="C80" s="722" t="s">
        <v>427</v>
      </c>
      <c r="D80" s="723">
        <f t="shared" si="4"/>
        <v>216316</v>
      </c>
      <c r="E80" s="724">
        <f>'[15]Обращения 3-22'!E80+'[15] Изм. об. 4-3'!E80</f>
        <v>0</v>
      </c>
      <c r="F80" s="724">
        <f>'[15]Обращения 3-22'!F80+'[15] Изм. об. 4-3'!F80</f>
        <v>0</v>
      </c>
      <c r="G80" s="724">
        <f>'[15]Обращения 3-22'!G80+'[15] Изм. об. 4-3'!G80</f>
        <v>0</v>
      </c>
      <c r="H80" s="724">
        <f>'[15]Обращения 3-22'!H80+'[15] Изм. об. 4-3'!H80</f>
        <v>4902</v>
      </c>
      <c r="I80" s="724">
        <f t="shared" si="5"/>
        <v>211414</v>
      </c>
      <c r="J80" s="724">
        <f>'[15]Обращения 3-22'!J80+'[15] Изм. об. 4-3'!J80</f>
        <v>67948</v>
      </c>
      <c r="K80" s="725">
        <f>'[15]Обращения 3-22'!K80+'[15] Изм. об. 4-3'!K80</f>
        <v>143466</v>
      </c>
      <c r="L80" s="726">
        <f>'[15]Обращения 3-22'!L80+'[15] Изм. об. 4-3'!L80</f>
        <v>0</v>
      </c>
    </row>
    <row r="81" spans="1:12" x14ac:dyDescent="0.25">
      <c r="A81" s="720">
        <v>70</v>
      </c>
      <c r="B81" s="721">
        <v>21800</v>
      </c>
      <c r="C81" s="722" t="s">
        <v>428</v>
      </c>
      <c r="D81" s="723">
        <f t="shared" si="4"/>
        <v>139889</v>
      </c>
      <c r="E81" s="724">
        <f>'[15]Обращения 3-22'!E81+'[15] Изм. об. 4-3'!E81</f>
        <v>0</v>
      </c>
      <c r="F81" s="724">
        <f>'[15]Обращения 3-22'!F81+'[15] Изм. об. 4-3'!F81</f>
        <v>3912</v>
      </c>
      <c r="G81" s="724">
        <f>'[15]Обращения 3-22'!G81+'[15] Изм. об. 4-3'!G81</f>
        <v>0</v>
      </c>
      <c r="H81" s="724">
        <f>'[15]Обращения 3-22'!H81+'[15] Изм. об. 4-3'!H81</f>
        <v>5290</v>
      </c>
      <c r="I81" s="724">
        <f t="shared" si="5"/>
        <v>130687</v>
      </c>
      <c r="J81" s="724">
        <f>'[15]Обращения 3-22'!J81+'[15] Изм. об. 4-3'!J81</f>
        <v>31988</v>
      </c>
      <c r="K81" s="725">
        <f>'[15]Обращения 3-22'!K81+'[15] Изм. об. 4-3'!K81</f>
        <v>98699</v>
      </c>
      <c r="L81" s="726">
        <f>'[15]Обращения 3-22'!L81+'[15] Изм. об. 4-3'!L81</f>
        <v>0</v>
      </c>
    </row>
    <row r="82" spans="1:12" x14ac:dyDescent="0.25">
      <c r="A82" s="720">
        <v>71</v>
      </c>
      <c r="B82" s="721">
        <v>24200</v>
      </c>
      <c r="C82" s="722" t="s">
        <v>429</v>
      </c>
      <c r="D82" s="723">
        <f t="shared" si="4"/>
        <v>39207</v>
      </c>
      <c r="E82" s="724">
        <f>'[15]Обращения 3-22'!E82+'[15] Изм. об. 4-3'!E82</f>
        <v>0</v>
      </c>
      <c r="F82" s="724">
        <f>'[15]Обращения 3-22'!F82+'[15] Изм. об. 4-3'!F82</f>
        <v>0</v>
      </c>
      <c r="G82" s="724">
        <f>'[15]Обращения 3-22'!G82+'[15] Изм. об. 4-3'!G82</f>
        <v>0</v>
      </c>
      <c r="H82" s="724">
        <f>'[15]Обращения 3-22'!H82+'[15] Изм. об. 4-3'!H82</f>
        <v>0</v>
      </c>
      <c r="I82" s="724">
        <f t="shared" si="5"/>
        <v>39207</v>
      </c>
      <c r="J82" s="724">
        <f>'[15]Обращения 3-22'!J82+'[15] Изм. об. 4-3'!J82</f>
        <v>11370</v>
      </c>
      <c r="K82" s="725">
        <f>'[15]Обращения 3-22'!K82+'[15] Изм. об. 4-3'!K82</f>
        <v>27837</v>
      </c>
      <c r="L82" s="726">
        <f>'[15]Обращения 3-22'!L82+'[15] Изм. об. 4-3'!L82</f>
        <v>0</v>
      </c>
    </row>
    <row r="83" spans="1:12" x14ac:dyDescent="0.25">
      <c r="A83" s="720">
        <v>72</v>
      </c>
      <c r="B83" s="721">
        <v>22300</v>
      </c>
      <c r="C83" s="722" t="s">
        <v>430</v>
      </c>
      <c r="D83" s="723">
        <f t="shared" si="4"/>
        <v>222050</v>
      </c>
      <c r="E83" s="724">
        <f>'[15]Обращения 3-22'!E83+'[15] Изм. об. 4-3'!E83</f>
        <v>0</v>
      </c>
      <c r="F83" s="724">
        <f>'[15]Обращения 3-22'!F83+'[15] Изм. об. 4-3'!F83</f>
        <v>6464</v>
      </c>
      <c r="G83" s="724">
        <f>'[15]Обращения 3-22'!G83+'[15] Изм. об. 4-3'!G83</f>
        <v>0</v>
      </c>
      <c r="H83" s="724">
        <f>'[15]Обращения 3-22'!H83+'[15] Изм. об. 4-3'!H83</f>
        <v>0</v>
      </c>
      <c r="I83" s="724">
        <f t="shared" si="5"/>
        <v>215586</v>
      </c>
      <c r="J83" s="724">
        <f>'[15]Обращения 3-22'!J83+'[15] Изм. об. 4-3'!J83</f>
        <v>69203</v>
      </c>
      <c r="K83" s="725">
        <f>'[15]Обращения 3-22'!K83+'[15] Изм. об. 4-3'!K83</f>
        <v>146383</v>
      </c>
      <c r="L83" s="726">
        <f>'[15]Обращения 3-22'!L83+'[15] Изм. об. 4-3'!L83</f>
        <v>0</v>
      </c>
    </row>
    <row r="84" spans="1:12" x14ac:dyDescent="0.25">
      <c r="A84" s="720">
        <v>73</v>
      </c>
      <c r="B84" s="721">
        <v>21200</v>
      </c>
      <c r="C84" s="722" t="s">
        <v>431</v>
      </c>
      <c r="D84" s="723">
        <f t="shared" si="4"/>
        <v>52721</v>
      </c>
      <c r="E84" s="724">
        <f>'[15]Обращения 3-22'!E84+'[15] Изм. об. 4-3'!E84</f>
        <v>0</v>
      </c>
      <c r="F84" s="724">
        <f>'[15]Обращения 3-22'!F84+'[15] Изм. об. 4-3'!F84</f>
        <v>0</v>
      </c>
      <c r="G84" s="724">
        <f>'[15]Обращения 3-22'!G84+'[15] Изм. об. 4-3'!G84</f>
        <v>0</v>
      </c>
      <c r="H84" s="724">
        <f>'[15]Обращения 3-22'!H84+'[15] Изм. об. 4-3'!H84</f>
        <v>0</v>
      </c>
      <c r="I84" s="724">
        <f t="shared" si="5"/>
        <v>52721</v>
      </c>
      <c r="J84" s="724">
        <f>'[15]Обращения 3-22'!J84+'[15] Изм. об. 4-3'!J84</f>
        <v>11599</v>
      </c>
      <c r="K84" s="725">
        <f>'[15]Обращения 3-22'!K84+'[15] Изм. об. 4-3'!K84</f>
        <v>41122</v>
      </c>
      <c r="L84" s="726">
        <f>'[15]Обращения 3-22'!L84+'[15] Изм. об. 4-3'!L84</f>
        <v>0</v>
      </c>
    </row>
    <row r="85" spans="1:12" x14ac:dyDescent="0.25">
      <c r="A85" s="720">
        <v>74</v>
      </c>
      <c r="B85" s="721">
        <v>28000</v>
      </c>
      <c r="C85" s="722" t="s">
        <v>432</v>
      </c>
      <c r="D85" s="723">
        <f t="shared" si="4"/>
        <v>155207</v>
      </c>
      <c r="E85" s="724">
        <f>'[15]Обращения 3-22'!E85+'[15] Изм. об. 4-3'!E85</f>
        <v>0</v>
      </c>
      <c r="F85" s="724">
        <f>'[15]Обращения 3-22'!F85+'[15] Изм. об. 4-3'!F85</f>
        <v>0</v>
      </c>
      <c r="G85" s="724">
        <f>'[15]Обращения 3-22'!G85+'[15] Изм. об. 4-3'!G85</f>
        <v>0</v>
      </c>
      <c r="H85" s="724">
        <f>'[15]Обращения 3-22'!H85+'[15] Изм. об. 4-3'!H85</f>
        <v>0</v>
      </c>
      <c r="I85" s="724">
        <f t="shared" si="5"/>
        <v>155207</v>
      </c>
      <c r="J85" s="724">
        <f>'[15]Обращения 3-22'!J85+'[15] Изм. об. 4-3'!J85</f>
        <v>45558</v>
      </c>
      <c r="K85" s="725">
        <f>'[15]Обращения 3-22'!K85+'[15] Изм. об. 4-3'!K85</f>
        <v>109649</v>
      </c>
      <c r="L85" s="726">
        <f>'[15]Обращения 3-22'!L85+'[15] Изм. об. 4-3'!L85</f>
        <v>0</v>
      </c>
    </row>
    <row r="86" spans="1:12" x14ac:dyDescent="0.25">
      <c r="A86" s="720">
        <v>75</v>
      </c>
      <c r="B86" s="721">
        <v>23200</v>
      </c>
      <c r="C86" s="722" t="s">
        <v>433</v>
      </c>
      <c r="D86" s="723">
        <f t="shared" si="4"/>
        <v>33669</v>
      </c>
      <c r="E86" s="724">
        <f>'[15]Обращения 3-22'!E86+'[15] Изм. об. 4-3'!E86</f>
        <v>0</v>
      </c>
      <c r="F86" s="724">
        <f>'[15]Обращения 3-22'!F86+'[15] Изм. об. 4-3'!F86</f>
        <v>0</v>
      </c>
      <c r="G86" s="724">
        <f>'[15]Обращения 3-22'!G86+'[15] Изм. об. 4-3'!G86</f>
        <v>33669</v>
      </c>
      <c r="H86" s="724">
        <f>'[15]Обращения 3-22'!H86+'[15] Изм. об. 4-3'!H86</f>
        <v>0</v>
      </c>
      <c r="I86" s="724">
        <f t="shared" si="5"/>
        <v>0</v>
      </c>
      <c r="J86" s="724">
        <f>'[15]Обращения 3-22'!J86+'[15] Изм. об. 4-3'!J86</f>
        <v>0</v>
      </c>
      <c r="K86" s="725">
        <f>'[15]Обращения 3-22'!K86+'[15] Изм. об. 4-3'!K86</f>
        <v>0</v>
      </c>
      <c r="L86" s="726">
        <f>'[15]Обращения 3-22'!L86+'[15] Изм. об. 4-3'!L86</f>
        <v>0</v>
      </c>
    </row>
    <row r="87" spans="1:12" ht="25.5" x14ac:dyDescent="0.25">
      <c r="A87" s="873">
        <v>76</v>
      </c>
      <c r="B87" s="875">
        <v>22800</v>
      </c>
      <c r="C87" s="722" t="s">
        <v>2272</v>
      </c>
      <c r="D87" s="723">
        <f t="shared" si="4"/>
        <v>12662</v>
      </c>
      <c r="E87" s="724">
        <f>'[15]Обращения 3-22'!E87+'[15] Изм. об. 4-3'!E87</f>
        <v>0</v>
      </c>
      <c r="F87" s="724">
        <f>'[15]Обращения 3-22'!F87+'[15] Изм. об. 4-3'!F87</f>
        <v>0</v>
      </c>
      <c r="G87" s="1202">
        <f>'[15]Обращения 3-22'!G87+'[15] Изм. об. 4-3'!G87-894</f>
        <v>0</v>
      </c>
      <c r="H87" s="1202">
        <f>'[15]Обращения 3-22'!H87+'[15] Изм. об. 4-3'!H87</f>
        <v>0</v>
      </c>
      <c r="I87" s="1202">
        <f t="shared" si="5"/>
        <v>12662</v>
      </c>
      <c r="J87" s="1203">
        <f>'[15]Обращения 3-22'!J87+'[15] Изм. об. 4-3'!J87+894</f>
        <v>2178</v>
      </c>
      <c r="K87" s="725">
        <f>'[15]Обращения 3-22'!K87+'[15] Изм. об. 4-3'!K87</f>
        <v>10484</v>
      </c>
      <c r="L87" s="726">
        <f>'[15]Обращения 3-22'!L87+'[15] Изм. об. 4-3'!L87</f>
        <v>0</v>
      </c>
    </row>
    <row r="88" spans="1:12" ht="25.5" x14ac:dyDescent="0.25">
      <c r="A88" s="874"/>
      <c r="B88" s="876"/>
      <c r="C88" s="722" t="s">
        <v>66</v>
      </c>
      <c r="D88" s="723">
        <f t="shared" si="4"/>
        <v>3965</v>
      </c>
      <c r="E88" s="724">
        <f>'[15]Обращения 3-22'!E88+'[15] Изм. об. 4-3'!E88</f>
        <v>0</v>
      </c>
      <c r="F88" s="724">
        <f>'[15]Обращения 3-22'!F88+'[15] Изм. об. 4-3'!F88</f>
        <v>0</v>
      </c>
      <c r="G88" s="1202">
        <v>3965</v>
      </c>
      <c r="H88" s="1202">
        <f>'[15]Обращения 3-22'!H88+'[15] Изм. об. 4-3'!H88</f>
        <v>0</v>
      </c>
      <c r="I88" s="1202">
        <f t="shared" si="5"/>
        <v>0</v>
      </c>
      <c r="J88" s="1202">
        <f>'[15]Обращения 3-22'!J88+'[15] Изм. об. 4-3'!J88-3965</f>
        <v>0</v>
      </c>
      <c r="K88" s="725">
        <f>'[15]Обращения 3-22'!K88+'[15] Изм. об. 4-3'!K88</f>
        <v>0</v>
      </c>
      <c r="L88" s="726">
        <f>'[15]Обращения 3-22'!L88+'[15] Изм. об. 4-3'!L88</f>
        <v>0</v>
      </c>
    </row>
    <row r="89" spans="1:12" x14ac:dyDescent="0.25">
      <c r="A89" s="720">
        <v>77</v>
      </c>
      <c r="B89" s="721">
        <v>25000</v>
      </c>
      <c r="C89" s="722" t="s">
        <v>434</v>
      </c>
      <c r="D89" s="723">
        <f t="shared" si="4"/>
        <v>1341</v>
      </c>
      <c r="E89" s="724">
        <f>'[15]Обращения 3-22'!E89+'[15] Изм. об. 4-3'!E89</f>
        <v>0</v>
      </c>
      <c r="F89" s="724">
        <f>'[15]Обращения 3-22'!F89+'[15] Изм. об. 4-3'!F89</f>
        <v>0</v>
      </c>
      <c r="G89" s="724">
        <f>'[15]Обращения 3-22'!G89+'[15] Изм. об. 4-3'!G89</f>
        <v>1341</v>
      </c>
      <c r="H89" s="724">
        <f>'[15]Обращения 3-22'!H89+'[15] Изм. об. 4-3'!H89</f>
        <v>0</v>
      </c>
      <c r="I89" s="724">
        <f t="shared" si="5"/>
        <v>0</v>
      </c>
      <c r="J89" s="724">
        <f>'[15]Обращения 3-22'!J89+'[15] Изм. об. 4-3'!J89</f>
        <v>0</v>
      </c>
      <c r="K89" s="725">
        <f>'[15]Обращения 3-22'!K89+'[15] Изм. об. 4-3'!K89</f>
        <v>0</v>
      </c>
      <c r="L89" s="726">
        <f>'[15]Обращения 3-22'!L89+'[15] Изм. об. 4-3'!L89</f>
        <v>0</v>
      </c>
    </row>
    <row r="90" spans="1:12" x14ac:dyDescent="0.25">
      <c r="A90" s="720">
        <v>78</v>
      </c>
      <c r="B90" s="721">
        <v>20171</v>
      </c>
      <c r="C90" s="722" t="s">
        <v>387</v>
      </c>
      <c r="D90" s="723">
        <f t="shared" si="4"/>
        <v>9900</v>
      </c>
      <c r="E90" s="724">
        <f>'[15]Обращения 3-22'!E90+'[15] Изм. об. 4-3'!E90</f>
        <v>0</v>
      </c>
      <c r="F90" s="724">
        <f>'[15]Обращения 3-22'!F90+'[15] Изм. об. 4-3'!F90</f>
        <v>0</v>
      </c>
      <c r="G90" s="724">
        <f>'[15]Обращения 3-22'!G90+'[15] Изм. об. 4-3'!G90</f>
        <v>0</v>
      </c>
      <c r="H90" s="724">
        <f>'[15]Обращения 3-22'!H90+'[15] Изм. об. 4-3'!H90</f>
        <v>0</v>
      </c>
      <c r="I90" s="724">
        <f t="shared" si="5"/>
        <v>9900</v>
      </c>
      <c r="J90" s="724">
        <f>'[15]Обращения 3-22'!J90+'[15] Изм. об. 4-3'!J90</f>
        <v>2079</v>
      </c>
      <c r="K90" s="725">
        <f>'[15]Обращения 3-22'!K90+'[15] Изм. об. 4-3'!K90</f>
        <v>7821</v>
      </c>
      <c r="L90" s="726">
        <f>'[15]Обращения 3-22'!L90+'[15] Изм. об. 4-3'!L90</f>
        <v>0</v>
      </c>
    </row>
    <row r="91" spans="1:12" x14ac:dyDescent="0.25">
      <c r="A91" s="720">
        <v>79</v>
      </c>
      <c r="B91" s="721">
        <v>22117</v>
      </c>
      <c r="C91" s="722" t="s">
        <v>435</v>
      </c>
      <c r="D91" s="723">
        <f t="shared" si="4"/>
        <v>35120</v>
      </c>
      <c r="E91" s="724">
        <f>'[15]Обращения 3-22'!E91+'[15] Изм. об. 4-3'!E91</f>
        <v>0</v>
      </c>
      <c r="F91" s="724">
        <f>'[15]Обращения 3-22'!F91+'[15] Изм. об. 4-3'!F91</f>
        <v>0</v>
      </c>
      <c r="G91" s="724">
        <f>'[15]Обращения 3-22'!G91+'[15] Изм. об. 4-3'!G91</f>
        <v>0</v>
      </c>
      <c r="H91" s="724">
        <f>'[15]Обращения 3-22'!H91+'[15] Изм. об. 4-3'!H91</f>
        <v>0</v>
      </c>
      <c r="I91" s="724">
        <f t="shared" si="5"/>
        <v>35120</v>
      </c>
      <c r="J91" s="724">
        <f>'[15]Обращения 3-22'!J91+'[15] Изм. об. 4-3'!J91</f>
        <v>7375</v>
      </c>
      <c r="K91" s="725">
        <f>'[15]Обращения 3-22'!K91+'[15] Изм. об. 4-3'!K91</f>
        <v>27745</v>
      </c>
      <c r="L91" s="726">
        <f>'[15]Обращения 3-22'!L91+'[15] Изм. об. 4-3'!L91</f>
        <v>0</v>
      </c>
    </row>
    <row r="92" spans="1:12" x14ac:dyDescent="0.25">
      <c r="A92" s="720">
        <v>80</v>
      </c>
      <c r="B92" s="721">
        <v>22204</v>
      </c>
      <c r="C92" s="722" t="s">
        <v>27</v>
      </c>
      <c r="D92" s="723">
        <f t="shared" si="4"/>
        <v>30559</v>
      </c>
      <c r="E92" s="724">
        <f>'[15]Обращения 3-22'!E92+'[15] Изм. об. 4-3'!E92</f>
        <v>0</v>
      </c>
      <c r="F92" s="724">
        <f>'[15]Обращения 3-22'!F92+'[15] Изм. об. 4-3'!F92</f>
        <v>0</v>
      </c>
      <c r="G92" s="724">
        <f>'[15]Обращения 3-22'!G92+'[15] Изм. об. 4-3'!G92</f>
        <v>0</v>
      </c>
      <c r="H92" s="724">
        <f>'[15]Обращения 3-22'!H92+'[15] Изм. об. 4-3'!H92</f>
        <v>0</v>
      </c>
      <c r="I92" s="724">
        <f t="shared" si="5"/>
        <v>30559</v>
      </c>
      <c r="J92" s="724">
        <f>'[15]Обращения 3-22'!J92+'[15] Изм. об. 4-3'!J92</f>
        <v>9626</v>
      </c>
      <c r="K92" s="725">
        <f>'[15]Обращения 3-22'!K92+'[15] Изм. об. 4-3'!K92</f>
        <v>20933</v>
      </c>
      <c r="L92" s="726">
        <f>'[15]Обращения 3-22'!L92+'[15] Изм. об. 4-3'!L92</f>
        <v>0</v>
      </c>
    </row>
    <row r="93" spans="1:12" x14ac:dyDescent="0.25">
      <c r="A93" s="720">
        <v>81</v>
      </c>
      <c r="B93" s="721">
        <v>26005</v>
      </c>
      <c r="C93" s="722" t="s">
        <v>32</v>
      </c>
      <c r="D93" s="723">
        <f t="shared" si="4"/>
        <v>32467</v>
      </c>
      <c r="E93" s="724">
        <f>'[15]Обращения 3-22'!E93+'[15] Изм. об. 4-3'!E93</f>
        <v>0</v>
      </c>
      <c r="F93" s="724">
        <f>'[15]Обращения 3-22'!F93+'[15] Изм. об. 4-3'!F93</f>
        <v>0</v>
      </c>
      <c r="G93" s="724">
        <f>'[15]Обращения 3-22'!G93+'[15] Изм. об. 4-3'!G93</f>
        <v>0</v>
      </c>
      <c r="H93" s="724">
        <f>'[15]Обращения 3-22'!H93+'[15] Изм. об. 4-3'!H93</f>
        <v>0</v>
      </c>
      <c r="I93" s="724">
        <f t="shared" si="5"/>
        <v>32467</v>
      </c>
      <c r="J93" s="724">
        <f>'[15]Обращения 3-22'!J93+'[15] Изм. об. 4-3'!J93</f>
        <v>9708</v>
      </c>
      <c r="K93" s="725">
        <f>'[15]Обращения 3-22'!K93+'[15] Изм. об. 4-3'!K93</f>
        <v>22759</v>
      </c>
      <c r="L93" s="726">
        <f>'[15]Обращения 3-22'!L93+'[15] Изм. об. 4-3'!L93</f>
        <v>0</v>
      </c>
    </row>
    <row r="94" spans="1:12" x14ac:dyDescent="0.25">
      <c r="A94" s="720">
        <v>82</v>
      </c>
      <c r="B94" s="721">
        <v>22202</v>
      </c>
      <c r="C94" s="722" t="s">
        <v>18</v>
      </c>
      <c r="D94" s="723">
        <f t="shared" si="4"/>
        <v>86603</v>
      </c>
      <c r="E94" s="724">
        <f>'[15]Обращения 3-22'!E94+'[15] Изм. об. 4-3'!E94</f>
        <v>0</v>
      </c>
      <c r="F94" s="724">
        <f>'[15]Обращения 3-22'!F94+'[15] Изм. об. 4-3'!F94</f>
        <v>0</v>
      </c>
      <c r="G94" s="724">
        <f>'[15]Обращения 3-22'!G94+'[15] Изм. об. 4-3'!G94</f>
        <v>0</v>
      </c>
      <c r="H94" s="724">
        <f>'[15]Обращения 3-22'!H94+'[15] Изм. об. 4-3'!H94</f>
        <v>0</v>
      </c>
      <c r="I94" s="724">
        <f t="shared" si="5"/>
        <v>86603</v>
      </c>
      <c r="J94" s="724">
        <f>'[15]Обращения 3-22'!J94+'[15] Изм. об. 4-3'!J94</f>
        <v>21651</v>
      </c>
      <c r="K94" s="725">
        <f>'[15]Обращения 3-22'!K94+'[15] Изм. об. 4-3'!K94</f>
        <v>64952</v>
      </c>
      <c r="L94" s="726">
        <f>'[15]Обращения 3-22'!L94+'[15] Изм. об. 4-3'!L94</f>
        <v>0</v>
      </c>
    </row>
    <row r="95" spans="1:12" x14ac:dyDescent="0.25">
      <c r="A95" s="720">
        <v>83</v>
      </c>
      <c r="B95" s="721">
        <v>26002</v>
      </c>
      <c r="C95" s="722" t="s">
        <v>19</v>
      </c>
      <c r="D95" s="723">
        <f t="shared" si="4"/>
        <v>37444</v>
      </c>
      <c r="E95" s="724">
        <f>'[15]Обращения 3-22'!E95+'[15] Изм. об. 4-3'!E95</f>
        <v>0</v>
      </c>
      <c r="F95" s="724">
        <f>'[15]Обращения 3-22'!F95+'[15] Изм. об. 4-3'!F95</f>
        <v>0</v>
      </c>
      <c r="G95" s="724">
        <f>'[15]Обращения 3-22'!G95+'[15] Изм. об. 4-3'!G95</f>
        <v>0</v>
      </c>
      <c r="H95" s="724">
        <f>'[15]Обращения 3-22'!H95+'[15] Изм. об. 4-3'!H95</f>
        <v>0</v>
      </c>
      <c r="I95" s="724">
        <f t="shared" si="5"/>
        <v>37444</v>
      </c>
      <c r="J95" s="724">
        <f>'[15]Обращения 3-22'!J95+'[15] Изм. об. 4-3'!J95</f>
        <v>9623</v>
      </c>
      <c r="K95" s="725">
        <f>'[15]Обращения 3-22'!K95+'[15] Изм. об. 4-3'!K95</f>
        <v>27821</v>
      </c>
      <c r="L95" s="726">
        <f>'[15]Обращения 3-22'!L95+'[15] Изм. об. 4-3'!L95</f>
        <v>0</v>
      </c>
    </row>
    <row r="96" spans="1:12" x14ac:dyDescent="0.25">
      <c r="A96" s="720">
        <v>84</v>
      </c>
      <c r="B96" s="721">
        <v>22002</v>
      </c>
      <c r="C96" s="722" t="s">
        <v>34</v>
      </c>
      <c r="D96" s="723">
        <f t="shared" si="4"/>
        <v>45599</v>
      </c>
      <c r="E96" s="724">
        <f>'[15]Обращения 3-22'!E96+'[15] Изм. об. 4-3'!E96</f>
        <v>0</v>
      </c>
      <c r="F96" s="724">
        <f>'[15]Обращения 3-22'!F96+'[15] Изм. об. 4-3'!F96</f>
        <v>0</v>
      </c>
      <c r="G96" s="724">
        <f>'[15]Обращения 3-22'!G96+'[15] Изм. об. 4-3'!G96</f>
        <v>0</v>
      </c>
      <c r="H96" s="724">
        <f>'[15]Обращения 3-22'!H96+'[15] Изм. об. 4-3'!H96</f>
        <v>0</v>
      </c>
      <c r="I96" s="724">
        <f t="shared" si="5"/>
        <v>45599</v>
      </c>
      <c r="J96" s="724">
        <f>'[15]Обращения 3-22'!J96+'[15] Изм. об. 4-3'!J96</f>
        <v>11856</v>
      </c>
      <c r="K96" s="725">
        <f>'[15]Обращения 3-22'!K96+'[15] Изм. об. 4-3'!K96</f>
        <v>33743</v>
      </c>
      <c r="L96" s="726">
        <f>'[15]Обращения 3-22'!L96+'[15] Изм. об. 4-3'!L96</f>
        <v>0</v>
      </c>
    </row>
    <row r="97" spans="1:12" x14ac:dyDescent="0.25">
      <c r="A97" s="720">
        <v>85</v>
      </c>
      <c r="B97" s="721">
        <v>22201</v>
      </c>
      <c r="C97" s="722" t="s">
        <v>42</v>
      </c>
      <c r="D97" s="723">
        <f t="shared" si="4"/>
        <v>93864</v>
      </c>
      <c r="E97" s="724">
        <f>'[15]Обращения 3-22'!E97+'[15] Изм. об. 4-3'!E97</f>
        <v>0</v>
      </c>
      <c r="F97" s="724">
        <f>'[15]Обращения 3-22'!F97+'[15] Изм. об. 4-3'!F97</f>
        <v>0</v>
      </c>
      <c r="G97" s="724">
        <f>'[15]Обращения 3-22'!G97+'[15] Изм. об. 4-3'!G97</f>
        <v>0</v>
      </c>
      <c r="H97" s="724">
        <f>'[15]Обращения 3-22'!H97+'[15] Изм. об. 4-3'!H97</f>
        <v>0</v>
      </c>
      <c r="I97" s="724">
        <f t="shared" si="5"/>
        <v>93864</v>
      </c>
      <c r="J97" s="724">
        <f>'[15]Обращения 3-22'!J97+'[15] Изм. об. 4-3'!J97</f>
        <v>27221</v>
      </c>
      <c r="K97" s="725">
        <f>'[15]Обращения 3-22'!K97+'[15] Изм. об. 4-3'!K97</f>
        <v>66643</v>
      </c>
      <c r="L97" s="726">
        <f>'[15]Обращения 3-22'!L97+'[15] Изм. об. 4-3'!L97</f>
        <v>0</v>
      </c>
    </row>
    <row r="98" spans="1:12" x14ac:dyDescent="0.25">
      <c r="A98" s="720">
        <v>86</v>
      </c>
      <c r="B98" s="721">
        <v>22205</v>
      </c>
      <c r="C98" s="722" t="s">
        <v>46</v>
      </c>
      <c r="D98" s="723">
        <f t="shared" si="4"/>
        <v>78198</v>
      </c>
      <c r="E98" s="724">
        <f>'[15]Обращения 3-22'!E98+'[15] Изм. об. 4-3'!E98</f>
        <v>0</v>
      </c>
      <c r="F98" s="724">
        <f>'[15]Обращения 3-22'!F98+'[15] Изм. об. 4-3'!F98</f>
        <v>0</v>
      </c>
      <c r="G98" s="724">
        <f>'[15]Обращения 3-22'!G98+'[15] Изм. об. 4-3'!G98</f>
        <v>0</v>
      </c>
      <c r="H98" s="724">
        <f>'[15]Обращения 3-22'!H98+'[15] Изм. об. 4-3'!H98</f>
        <v>0</v>
      </c>
      <c r="I98" s="724">
        <f t="shared" si="5"/>
        <v>78198</v>
      </c>
      <c r="J98" s="724">
        <f>'[15]Обращения 3-22'!J98+'[15] Изм. об. 4-3'!J98</f>
        <v>17204</v>
      </c>
      <c r="K98" s="725">
        <f>'[15]Обращения 3-22'!K98+'[15] Изм. об. 4-3'!K98</f>
        <v>60994</v>
      </c>
      <c r="L98" s="726">
        <f>'[15]Обращения 3-22'!L98+'[15] Изм. об. 4-3'!L98</f>
        <v>0</v>
      </c>
    </row>
    <row r="99" spans="1:12" x14ac:dyDescent="0.25">
      <c r="A99" s="720">
        <v>87</v>
      </c>
      <c r="B99" s="721">
        <v>26004</v>
      </c>
      <c r="C99" s="722" t="s">
        <v>47</v>
      </c>
      <c r="D99" s="723">
        <f t="shared" si="4"/>
        <v>27793</v>
      </c>
      <c r="E99" s="724">
        <f>'[15]Обращения 3-22'!E99+'[15] Изм. об. 4-3'!E99</f>
        <v>0</v>
      </c>
      <c r="F99" s="724">
        <f>'[15]Обращения 3-22'!F99+'[15] Изм. об. 4-3'!F99</f>
        <v>0</v>
      </c>
      <c r="G99" s="724">
        <f>'[15]Обращения 3-22'!G99+'[15] Изм. об. 4-3'!G99</f>
        <v>0</v>
      </c>
      <c r="H99" s="724">
        <f>'[15]Обращения 3-22'!H99+'[15] Изм. об. 4-3'!H99</f>
        <v>0</v>
      </c>
      <c r="I99" s="724">
        <f t="shared" si="5"/>
        <v>27793</v>
      </c>
      <c r="J99" s="724">
        <f>'[15]Обращения 3-22'!J99+'[15] Изм. об. 4-3'!J99</f>
        <v>7782</v>
      </c>
      <c r="K99" s="725">
        <f>'[15]Обращения 3-22'!K99+'[15] Изм. об. 4-3'!K99</f>
        <v>20011</v>
      </c>
      <c r="L99" s="726">
        <f>'[15]Обращения 3-22'!L99+'[15] Изм. об. 4-3'!L99</f>
        <v>0</v>
      </c>
    </row>
    <row r="100" spans="1:12" x14ac:dyDescent="0.25">
      <c r="A100" s="720">
        <v>88</v>
      </c>
      <c r="B100" s="721">
        <v>22208</v>
      </c>
      <c r="C100" s="722" t="s">
        <v>50</v>
      </c>
      <c r="D100" s="723">
        <f t="shared" si="4"/>
        <v>45634</v>
      </c>
      <c r="E100" s="724">
        <f>'[15]Обращения 3-22'!E100+'[15] Изм. об. 4-3'!E100</f>
        <v>0</v>
      </c>
      <c r="F100" s="724">
        <f>'[15]Обращения 3-22'!F100+'[15] Изм. об. 4-3'!F100</f>
        <v>0</v>
      </c>
      <c r="G100" s="724">
        <f>'[15]Обращения 3-22'!G100+'[15] Изм. об. 4-3'!G100</f>
        <v>0</v>
      </c>
      <c r="H100" s="724">
        <f>'[15]Обращения 3-22'!H100+'[15] Изм. об. 4-3'!H100</f>
        <v>0</v>
      </c>
      <c r="I100" s="724">
        <f t="shared" si="5"/>
        <v>45634</v>
      </c>
      <c r="J100" s="724">
        <f>'[15]Обращения 3-22'!J100+'[15] Изм. об. 4-3'!J100</f>
        <v>8670</v>
      </c>
      <c r="K100" s="725">
        <f>'[15]Обращения 3-22'!K100+'[15] Изм. об. 4-3'!K100</f>
        <v>36964</v>
      </c>
      <c r="L100" s="726">
        <f>'[15]Обращения 3-22'!L100+'[15] Изм. об. 4-3'!L100</f>
        <v>0</v>
      </c>
    </row>
    <row r="101" spans="1:12" x14ac:dyDescent="0.25">
      <c r="A101" s="720">
        <v>89</v>
      </c>
      <c r="B101" s="721">
        <v>26003</v>
      </c>
      <c r="C101" s="722" t="s">
        <v>51</v>
      </c>
      <c r="D101" s="723">
        <f t="shared" si="4"/>
        <v>43286</v>
      </c>
      <c r="E101" s="724">
        <f>'[15]Обращения 3-22'!E101+'[15] Изм. об. 4-3'!E101</f>
        <v>0</v>
      </c>
      <c r="F101" s="724">
        <f>'[15]Обращения 3-22'!F101+'[15] Изм. об. 4-3'!F101</f>
        <v>0</v>
      </c>
      <c r="G101" s="724">
        <f>'[15]Обращения 3-22'!G101+'[15] Изм. об. 4-3'!G101</f>
        <v>0</v>
      </c>
      <c r="H101" s="724">
        <f>'[15]Обращения 3-22'!H101+'[15] Изм. об. 4-3'!H101</f>
        <v>0</v>
      </c>
      <c r="I101" s="724">
        <f t="shared" si="5"/>
        <v>43286</v>
      </c>
      <c r="J101" s="724">
        <f>'[15]Обращения 3-22'!J101+'[15] Изм. об. 4-3'!J101</f>
        <v>12337</v>
      </c>
      <c r="K101" s="725">
        <f>'[15]Обращения 3-22'!K101+'[15] Изм. об. 4-3'!K101</f>
        <v>30949</v>
      </c>
      <c r="L101" s="726">
        <f>'[15]Обращения 3-22'!L101+'[15] Изм. об. 4-3'!L101</f>
        <v>0</v>
      </c>
    </row>
    <row r="102" spans="1:12" x14ac:dyDescent="0.25">
      <c r="A102" s="720">
        <v>90</v>
      </c>
      <c r="B102" s="721">
        <v>26001</v>
      </c>
      <c r="C102" s="722" t="s">
        <v>20</v>
      </c>
      <c r="D102" s="723">
        <f t="shared" si="4"/>
        <v>53140</v>
      </c>
      <c r="E102" s="724">
        <f>'[15]Обращения 3-22'!E102+'[15] Изм. об. 4-3'!E102</f>
        <v>0</v>
      </c>
      <c r="F102" s="724">
        <f>'[15]Обращения 3-22'!F102+'[15] Изм. об. 4-3'!F102</f>
        <v>2581</v>
      </c>
      <c r="G102" s="724">
        <f>'[15]Обращения 3-22'!G102+'[15] Изм. об. 4-3'!G102</f>
        <v>0</v>
      </c>
      <c r="H102" s="724">
        <f>'[15]Обращения 3-22'!H102+'[15] Изм. об. 4-3'!H102</f>
        <v>0</v>
      </c>
      <c r="I102" s="724">
        <f t="shared" si="5"/>
        <v>50559</v>
      </c>
      <c r="J102" s="724">
        <f>'[15]Обращения 3-22'!J102+'[15] Изм. об. 4-3'!J102</f>
        <v>10365</v>
      </c>
      <c r="K102" s="725">
        <f>'[15]Обращения 3-22'!K102+'[15] Изм. об. 4-3'!K102</f>
        <v>40194</v>
      </c>
      <c r="L102" s="726">
        <f>'[15]Обращения 3-22'!L102+'[15] Изм. об. 4-3'!L102</f>
        <v>0</v>
      </c>
    </row>
    <row r="103" spans="1:12" x14ac:dyDescent="0.25">
      <c r="A103" s="720">
        <v>91</v>
      </c>
      <c r="B103" s="721">
        <v>22203</v>
      </c>
      <c r="C103" s="722" t="s">
        <v>55</v>
      </c>
      <c r="D103" s="723">
        <f t="shared" si="4"/>
        <v>34379</v>
      </c>
      <c r="E103" s="724">
        <f>'[15]Обращения 3-22'!E103+'[15] Изм. об. 4-3'!E103</f>
        <v>0</v>
      </c>
      <c r="F103" s="724">
        <f>'[15]Обращения 3-22'!F103+'[15] Изм. об. 4-3'!F103</f>
        <v>0</v>
      </c>
      <c r="G103" s="724">
        <f>'[15]Обращения 3-22'!G103+'[15] Изм. об. 4-3'!G103</f>
        <v>0</v>
      </c>
      <c r="H103" s="724">
        <f>'[15]Обращения 3-22'!H103+'[15] Изм. об. 4-3'!H103</f>
        <v>0</v>
      </c>
      <c r="I103" s="724">
        <f t="shared" si="5"/>
        <v>34379</v>
      </c>
      <c r="J103" s="724">
        <f>'[15]Обращения 3-22'!J103+'[15] Изм. об. 4-3'!J103</f>
        <v>8939</v>
      </c>
      <c r="K103" s="725">
        <f>'[15]Обращения 3-22'!K103+'[15] Изм. об. 4-3'!K103</f>
        <v>25440</v>
      </c>
      <c r="L103" s="726">
        <f>'[15]Обращения 3-22'!L103+'[15] Изм. об. 4-3'!L103</f>
        <v>0</v>
      </c>
    </row>
    <row r="104" spans="1:12" x14ac:dyDescent="0.25">
      <c r="A104" s="720">
        <v>92</v>
      </c>
      <c r="B104" s="721">
        <v>27002</v>
      </c>
      <c r="C104" s="722" t="s">
        <v>60</v>
      </c>
      <c r="D104" s="723">
        <f t="shared" si="4"/>
        <v>49710</v>
      </c>
      <c r="E104" s="724">
        <f>'[15]Обращения 3-22'!E104+'[15] Изм. об. 4-3'!E104</f>
        <v>0</v>
      </c>
      <c r="F104" s="724">
        <f>'[15]Обращения 3-22'!F104+'[15] Изм. об. 4-3'!F104</f>
        <v>0</v>
      </c>
      <c r="G104" s="724">
        <f>'[15]Обращения 3-22'!G104+'[15] Изм. об. 4-3'!G104</f>
        <v>0</v>
      </c>
      <c r="H104" s="724">
        <f>'[15]Обращения 3-22'!H104+'[15] Изм. об. 4-3'!H104</f>
        <v>0</v>
      </c>
      <c r="I104" s="724">
        <f t="shared" si="5"/>
        <v>49710</v>
      </c>
      <c r="J104" s="724">
        <f>'[15]Обращения 3-22'!J104+'[15] Изм. об. 4-3'!J104</f>
        <v>10439</v>
      </c>
      <c r="K104" s="725">
        <f>'[15]Обращения 3-22'!K104+'[15] Изм. об. 4-3'!K104</f>
        <v>39271</v>
      </c>
      <c r="L104" s="726">
        <f>'[15]Обращения 3-22'!L104+'[15] Изм. об. 4-3'!L104</f>
        <v>0</v>
      </c>
    </row>
    <row r="105" spans="1:12" x14ac:dyDescent="0.25">
      <c r="A105" s="720">
        <v>93</v>
      </c>
      <c r="B105" s="721">
        <v>22000</v>
      </c>
      <c r="C105" s="722" t="s">
        <v>21</v>
      </c>
      <c r="D105" s="723">
        <f t="shared" si="4"/>
        <v>85239</v>
      </c>
      <c r="E105" s="724">
        <f>'[15]Обращения 3-22'!E105+'[15] Изм. об. 4-3'!E105</f>
        <v>0</v>
      </c>
      <c r="F105" s="724">
        <f>'[15]Обращения 3-22'!F105+'[15] Изм. об. 4-3'!F105</f>
        <v>0</v>
      </c>
      <c r="G105" s="724">
        <f>'[15]Обращения 3-22'!G105+'[15] Изм. об. 4-3'!G105</f>
        <v>0</v>
      </c>
      <c r="H105" s="724">
        <f>'[15]Обращения 3-22'!H105+'[15] Изм. об. 4-3'!H105</f>
        <v>0</v>
      </c>
      <c r="I105" s="724">
        <f t="shared" si="5"/>
        <v>85239</v>
      </c>
      <c r="J105" s="724">
        <f>'[15]Обращения 3-22'!J105+'[15] Изм. об. 4-3'!J105</f>
        <v>20457</v>
      </c>
      <c r="K105" s="725">
        <f>'[15]Обращения 3-22'!K105+'[15] Изм. об. 4-3'!K105</f>
        <v>64782</v>
      </c>
      <c r="L105" s="726">
        <f>'[15]Обращения 3-22'!L105+'[15] Изм. об. 4-3'!L105</f>
        <v>0</v>
      </c>
    </row>
    <row r="106" spans="1:12" x14ac:dyDescent="0.25">
      <c r="A106" s="720">
        <v>94</v>
      </c>
      <c r="B106" s="721">
        <v>22003</v>
      </c>
      <c r="C106" s="722" t="s">
        <v>62</v>
      </c>
      <c r="D106" s="723">
        <f t="shared" si="4"/>
        <v>37956</v>
      </c>
      <c r="E106" s="724">
        <f>'[15]Обращения 3-22'!E106+'[15] Изм. об. 4-3'!E106</f>
        <v>0</v>
      </c>
      <c r="F106" s="724">
        <f>'[15]Обращения 3-22'!F106+'[15] Изм. об. 4-3'!F106</f>
        <v>0</v>
      </c>
      <c r="G106" s="724">
        <f>'[15]Обращения 3-22'!G106+'[15] Изм. об. 4-3'!G106</f>
        <v>0</v>
      </c>
      <c r="H106" s="724">
        <f>'[15]Обращения 3-22'!H106+'[15] Изм. об. 4-3'!H106</f>
        <v>0</v>
      </c>
      <c r="I106" s="724">
        <f t="shared" si="5"/>
        <v>37956</v>
      </c>
      <c r="J106" s="724">
        <f>'[15]Обращения 3-22'!J106+'[15] Изм. об. 4-3'!J106</f>
        <v>8350</v>
      </c>
      <c r="K106" s="725">
        <f>'[15]Обращения 3-22'!K106+'[15] Изм. об. 4-3'!K106</f>
        <v>29606</v>
      </c>
      <c r="L106" s="726">
        <f>'[15]Обращения 3-22'!L106+'[15] Изм. об. 4-3'!L106</f>
        <v>0</v>
      </c>
    </row>
    <row r="107" spans="1:12" x14ac:dyDescent="0.25">
      <c r="A107" s="720">
        <v>95</v>
      </c>
      <c r="B107" s="721">
        <v>20251</v>
      </c>
      <c r="C107" s="722" t="s">
        <v>436</v>
      </c>
      <c r="D107" s="723">
        <f t="shared" si="4"/>
        <v>1814</v>
      </c>
      <c r="E107" s="724">
        <f>'[15]Обращения 3-22'!E107+'[15] Изм. об. 4-3'!E107</f>
        <v>0</v>
      </c>
      <c r="F107" s="724">
        <f>'[15]Обращения 3-22'!F107+'[15] Изм. об. 4-3'!F107</f>
        <v>0</v>
      </c>
      <c r="G107" s="724">
        <f>'[15]Обращения 3-22'!G107+'[15] Изм. об. 4-3'!G107</f>
        <v>1814</v>
      </c>
      <c r="H107" s="724">
        <f>'[15]Обращения 3-22'!H107+'[15] Изм. об. 4-3'!H107</f>
        <v>0</v>
      </c>
      <c r="I107" s="724">
        <f t="shared" si="5"/>
        <v>0</v>
      </c>
      <c r="J107" s="724">
        <f>'[15]Обращения 3-22'!J107+'[15] Изм. об. 4-3'!J107</f>
        <v>0</v>
      </c>
      <c r="K107" s="725">
        <f>'[15]Обращения 3-22'!K107+'[15] Изм. об. 4-3'!K107</f>
        <v>0</v>
      </c>
      <c r="L107" s="726">
        <f>'[15]Обращения 3-22'!L107+'[15] Изм. об. 4-3'!L107</f>
        <v>0</v>
      </c>
    </row>
    <row r="108" spans="1:12" x14ac:dyDescent="0.25">
      <c r="A108" s="720">
        <v>96</v>
      </c>
      <c r="B108" s="721">
        <v>20260</v>
      </c>
      <c r="C108" s="722" t="s">
        <v>437</v>
      </c>
      <c r="D108" s="723">
        <f t="shared" si="4"/>
        <v>621</v>
      </c>
      <c r="E108" s="724">
        <f>'[15]Обращения 3-22'!E108+'[15] Изм. об. 4-3'!E108</f>
        <v>0</v>
      </c>
      <c r="F108" s="724">
        <f>'[15]Обращения 3-22'!F108+'[15] Изм. об. 4-3'!F108</f>
        <v>0</v>
      </c>
      <c r="G108" s="724">
        <f>'[15]Обращения 3-22'!G108+'[15] Изм. об. 4-3'!G108</f>
        <v>621</v>
      </c>
      <c r="H108" s="724">
        <f>'[15]Обращения 3-22'!H108+'[15] Изм. об. 4-3'!H108</f>
        <v>0</v>
      </c>
      <c r="I108" s="724">
        <f t="shared" si="5"/>
        <v>0</v>
      </c>
      <c r="J108" s="724">
        <f>'[15]Обращения 3-22'!J108+'[15] Изм. об. 4-3'!J108</f>
        <v>0</v>
      </c>
      <c r="K108" s="725">
        <f>'[15]Обращения 3-22'!K108+'[15] Изм. об. 4-3'!K108</f>
        <v>0</v>
      </c>
      <c r="L108" s="726">
        <f>'[15]Обращения 3-22'!L108+'[15] Изм. об. 4-3'!L108</f>
        <v>0</v>
      </c>
    </row>
    <row r="109" spans="1:12" x14ac:dyDescent="0.25">
      <c r="A109" s="720">
        <v>97</v>
      </c>
      <c r="B109" s="721">
        <v>20235</v>
      </c>
      <c r="C109" s="722" t="s">
        <v>438</v>
      </c>
      <c r="D109" s="723">
        <f t="shared" si="4"/>
        <v>28</v>
      </c>
      <c r="E109" s="724">
        <f>'[15]Обращения 3-22'!E109+'[15] Изм. об. 4-3'!E109</f>
        <v>0</v>
      </c>
      <c r="F109" s="724">
        <f>'[15]Обращения 3-22'!F109+'[15] Изм. об. 4-3'!F109</f>
        <v>0</v>
      </c>
      <c r="G109" s="724">
        <f>'[15]Обращения 3-22'!G109+'[15] Изм. об. 4-3'!G109</f>
        <v>28</v>
      </c>
      <c r="H109" s="724">
        <f>'[15]Обращения 3-22'!H109+'[15] Изм. об. 4-3'!H109</f>
        <v>0</v>
      </c>
      <c r="I109" s="724">
        <f t="shared" si="5"/>
        <v>0</v>
      </c>
      <c r="J109" s="724">
        <f>'[15]Обращения 3-22'!J109+'[15] Изм. об. 4-3'!J109</f>
        <v>0</v>
      </c>
      <c r="K109" s="725">
        <f>'[15]Обращения 3-22'!K109+'[15] Изм. об. 4-3'!K109</f>
        <v>0</v>
      </c>
      <c r="L109" s="726">
        <f>'[15]Обращения 3-22'!L109+'[15] Изм. об. 4-3'!L109</f>
        <v>0</v>
      </c>
    </row>
    <row r="110" spans="1:12" x14ac:dyDescent="0.25">
      <c r="A110" s="720">
        <v>98</v>
      </c>
      <c r="B110" s="721">
        <v>29140</v>
      </c>
      <c r="C110" s="722" t="s">
        <v>439</v>
      </c>
      <c r="D110" s="723">
        <f t="shared" si="4"/>
        <v>7705</v>
      </c>
      <c r="E110" s="724">
        <f>'[15]Обращения 3-22'!E110+'[15] Изм. об. 4-3'!E110</f>
        <v>0</v>
      </c>
      <c r="F110" s="724">
        <f>'[15]Обращения 3-22'!F110+'[15] Изм. об. 4-3'!F110</f>
        <v>0</v>
      </c>
      <c r="G110" s="724">
        <f>'[15]Обращения 3-22'!G110+'[15] Изм. об. 4-3'!G110</f>
        <v>7705</v>
      </c>
      <c r="H110" s="724">
        <f>'[15]Обращения 3-22'!H110+'[15] Изм. об. 4-3'!H110</f>
        <v>0</v>
      </c>
      <c r="I110" s="724">
        <f t="shared" si="5"/>
        <v>0</v>
      </c>
      <c r="J110" s="724">
        <f>'[15]Обращения 3-22'!J110+'[15] Изм. об. 4-3'!J110</f>
        <v>0</v>
      </c>
      <c r="K110" s="725">
        <f>'[15]Обращения 3-22'!K110+'[15] Изм. об. 4-3'!K110</f>
        <v>0</v>
      </c>
      <c r="L110" s="726">
        <f>'[15]Обращения 3-22'!L110+'[15] Изм. об. 4-3'!L110</f>
        <v>0</v>
      </c>
    </row>
    <row r="111" spans="1:12" x14ac:dyDescent="0.25">
      <c r="A111" s="720">
        <v>99</v>
      </c>
      <c r="B111" s="721">
        <v>20157</v>
      </c>
      <c r="C111" s="722" t="s">
        <v>440</v>
      </c>
      <c r="D111" s="723">
        <f t="shared" si="4"/>
        <v>16</v>
      </c>
      <c r="E111" s="724">
        <f>'[15]Обращения 3-22'!E111+'[15] Изм. об. 4-3'!E111</f>
        <v>0</v>
      </c>
      <c r="F111" s="724">
        <f>'[15]Обращения 3-22'!F111+'[15] Изм. об. 4-3'!F111</f>
        <v>0</v>
      </c>
      <c r="G111" s="724">
        <f>'[15]Обращения 3-22'!G111+'[15] Изм. об. 4-3'!G111</f>
        <v>16</v>
      </c>
      <c r="H111" s="724">
        <f>'[15]Обращения 3-22'!H111+'[15] Изм. об. 4-3'!H111</f>
        <v>0</v>
      </c>
      <c r="I111" s="724">
        <f t="shared" si="5"/>
        <v>0</v>
      </c>
      <c r="J111" s="724">
        <f>'[15]Обращения 3-22'!J111+'[15] Изм. об. 4-3'!J111</f>
        <v>0</v>
      </c>
      <c r="K111" s="725">
        <f>'[15]Обращения 3-22'!K111+'[15] Изм. об. 4-3'!K111</f>
        <v>0</v>
      </c>
      <c r="L111" s="726">
        <f>'[15]Обращения 3-22'!L111+'[15] Изм. об. 4-3'!L111</f>
        <v>0</v>
      </c>
    </row>
    <row r="112" spans="1:12" x14ac:dyDescent="0.25">
      <c r="A112" s="720">
        <v>100</v>
      </c>
      <c r="B112" s="721">
        <v>20172</v>
      </c>
      <c r="C112" s="722" t="s">
        <v>441</v>
      </c>
      <c r="D112" s="723">
        <f t="shared" si="4"/>
        <v>68</v>
      </c>
      <c r="E112" s="724">
        <f>'[15]Обращения 3-22'!E112+'[15] Изм. об. 4-3'!E112</f>
        <v>0</v>
      </c>
      <c r="F112" s="724">
        <f>'[15]Обращения 3-22'!F112+'[15] Изм. об. 4-3'!F112</f>
        <v>0</v>
      </c>
      <c r="G112" s="724">
        <f>'[15]Обращения 3-22'!G112+'[15] Изм. об. 4-3'!G112</f>
        <v>68</v>
      </c>
      <c r="H112" s="724">
        <f>'[15]Обращения 3-22'!H112+'[15] Изм. об. 4-3'!H112</f>
        <v>0</v>
      </c>
      <c r="I112" s="724">
        <f t="shared" si="5"/>
        <v>0</v>
      </c>
      <c r="J112" s="724">
        <f>'[15]Обращения 3-22'!J112+'[15] Изм. об. 4-3'!J112</f>
        <v>0</v>
      </c>
      <c r="K112" s="725">
        <f>'[15]Обращения 3-22'!K112+'[15] Изм. об. 4-3'!K112</f>
        <v>0</v>
      </c>
      <c r="L112" s="726">
        <f>'[15]Обращения 3-22'!L112+'[15] Изм. об. 4-3'!L112</f>
        <v>0</v>
      </c>
    </row>
    <row r="113" spans="1:12" x14ac:dyDescent="0.25">
      <c r="A113" s="720">
        <v>101</v>
      </c>
      <c r="B113" s="721">
        <v>20165</v>
      </c>
      <c r="C113" s="722" t="s">
        <v>442</v>
      </c>
      <c r="D113" s="723">
        <f t="shared" si="4"/>
        <v>652</v>
      </c>
      <c r="E113" s="724">
        <f>'[15]Обращения 3-22'!E113+'[15] Изм. об. 4-3'!E113</f>
        <v>0</v>
      </c>
      <c r="F113" s="724">
        <f>'[15]Обращения 3-22'!F113+'[15] Изм. об. 4-3'!F113</f>
        <v>0</v>
      </c>
      <c r="G113" s="724">
        <f>'[15]Обращения 3-22'!G113+'[15] Изм. об. 4-3'!G113</f>
        <v>652</v>
      </c>
      <c r="H113" s="724">
        <f>'[15]Обращения 3-22'!H113+'[15] Изм. об. 4-3'!H113</f>
        <v>0</v>
      </c>
      <c r="I113" s="724">
        <f t="shared" si="5"/>
        <v>0</v>
      </c>
      <c r="J113" s="724">
        <f>'[15]Обращения 3-22'!J113+'[15] Изм. об. 4-3'!J113</f>
        <v>0</v>
      </c>
      <c r="K113" s="725">
        <f>'[15]Обращения 3-22'!K113+'[15] Изм. об. 4-3'!K113</f>
        <v>0</v>
      </c>
      <c r="L113" s="726">
        <f>'[15]Обращения 3-22'!L113+'[15] Изм. об. 4-3'!L113</f>
        <v>0</v>
      </c>
    </row>
    <row r="114" spans="1:12" x14ac:dyDescent="0.25">
      <c r="A114" s="720">
        <v>102</v>
      </c>
      <c r="B114" s="721">
        <v>20161</v>
      </c>
      <c r="C114" s="722" t="s">
        <v>443</v>
      </c>
      <c r="D114" s="723">
        <f t="shared" si="4"/>
        <v>2866</v>
      </c>
      <c r="E114" s="724">
        <f>'[15]Обращения 3-22'!E114+'[15] Изм. об. 4-3'!E114</f>
        <v>0</v>
      </c>
      <c r="F114" s="724">
        <f>'[15]Обращения 3-22'!F114+'[15] Изм. об. 4-3'!F114</f>
        <v>0</v>
      </c>
      <c r="G114" s="724">
        <f>'[15]Обращения 3-22'!G114+'[15] Изм. об. 4-3'!G114</f>
        <v>2866</v>
      </c>
      <c r="H114" s="724">
        <f>'[15]Обращения 3-22'!H114+'[15] Изм. об. 4-3'!H114</f>
        <v>0</v>
      </c>
      <c r="I114" s="724">
        <f t="shared" si="5"/>
        <v>0</v>
      </c>
      <c r="J114" s="724">
        <f>'[15]Обращения 3-22'!J114+'[15] Изм. об. 4-3'!J114</f>
        <v>0</v>
      </c>
      <c r="K114" s="725">
        <f>'[15]Обращения 3-22'!K114+'[15] Изм. об. 4-3'!K114</f>
        <v>0</v>
      </c>
      <c r="L114" s="726">
        <f>'[15]Обращения 3-22'!L114+'[15] Изм. об. 4-3'!L114</f>
        <v>0</v>
      </c>
    </row>
    <row r="115" spans="1:12" x14ac:dyDescent="0.25">
      <c r="A115" s="720">
        <v>103</v>
      </c>
      <c r="B115" s="721">
        <v>22120</v>
      </c>
      <c r="C115" s="722" t="s">
        <v>444</v>
      </c>
      <c r="D115" s="723">
        <f t="shared" si="4"/>
        <v>244</v>
      </c>
      <c r="E115" s="724">
        <f>'[15]Обращения 3-22'!E115+'[15] Изм. об. 4-3'!E115</f>
        <v>0</v>
      </c>
      <c r="F115" s="724">
        <f>'[15]Обращения 3-22'!F115+'[15] Изм. об. 4-3'!F115</f>
        <v>0</v>
      </c>
      <c r="G115" s="724">
        <f>'[15]Обращения 3-22'!G115+'[15] Изм. об. 4-3'!G115</f>
        <v>244</v>
      </c>
      <c r="H115" s="724">
        <f>'[15]Обращения 3-22'!H115+'[15] Изм. об. 4-3'!H115</f>
        <v>0</v>
      </c>
      <c r="I115" s="724">
        <f t="shared" si="5"/>
        <v>0</v>
      </c>
      <c r="J115" s="724">
        <f>'[15]Обращения 3-22'!J115+'[15] Изм. об. 4-3'!J115</f>
        <v>0</v>
      </c>
      <c r="K115" s="725">
        <f>'[15]Обращения 3-22'!K115+'[15] Изм. об. 4-3'!K115</f>
        <v>0</v>
      </c>
      <c r="L115" s="726">
        <f>'[15]Обращения 3-22'!L115+'[15] Изм. об. 4-3'!L115</f>
        <v>0</v>
      </c>
    </row>
    <row r="116" spans="1:12" x14ac:dyDescent="0.25">
      <c r="A116" s="720">
        <v>104</v>
      </c>
      <c r="B116" s="721">
        <v>22113</v>
      </c>
      <c r="C116" s="722" t="s">
        <v>2</v>
      </c>
      <c r="D116" s="723">
        <f t="shared" si="4"/>
        <v>5257</v>
      </c>
      <c r="E116" s="724">
        <f>'[15]Обращения 3-22'!E116+'[15] Изм. об. 4-3'!E116</f>
        <v>0</v>
      </c>
      <c r="F116" s="724">
        <f>'[15]Обращения 3-22'!F116+'[15] Изм. об. 4-3'!F116</f>
        <v>0</v>
      </c>
      <c r="G116" s="724">
        <f>'[15]Обращения 3-22'!G116+'[15] Изм. об. 4-3'!G116</f>
        <v>168</v>
      </c>
      <c r="H116" s="724">
        <f>'[15]Обращения 3-22'!H116+'[15] Изм. об. 4-3'!H116</f>
        <v>5089</v>
      </c>
      <c r="I116" s="724">
        <f t="shared" si="5"/>
        <v>0</v>
      </c>
      <c r="J116" s="724">
        <f>'[15]Обращения 3-22'!J116+'[15] Изм. об. 4-3'!J116</f>
        <v>0</v>
      </c>
      <c r="K116" s="725">
        <f>'[15]Обращения 3-22'!K116+'[15] Изм. об. 4-3'!K116</f>
        <v>0</v>
      </c>
      <c r="L116" s="726">
        <f>'[15]Обращения 3-22'!L116+'[15] Изм. об. 4-3'!L116</f>
        <v>0</v>
      </c>
    </row>
    <row r="117" spans="1:12" ht="25.5" x14ac:dyDescent="0.25">
      <c r="A117" s="720">
        <v>105</v>
      </c>
      <c r="B117" s="721">
        <v>22109</v>
      </c>
      <c r="C117" s="722" t="s">
        <v>445</v>
      </c>
      <c r="D117" s="723">
        <f t="shared" si="4"/>
        <v>23691</v>
      </c>
      <c r="E117" s="724">
        <f>'[15]Обращения 3-22'!E117+'[15] Изм. об. 4-3'!E117</f>
        <v>0</v>
      </c>
      <c r="F117" s="724">
        <f>'[15]Обращения 3-22'!F117+'[15] Изм. об. 4-3'!F117</f>
        <v>0</v>
      </c>
      <c r="G117" s="724">
        <f>'[15]Обращения 3-22'!G117+'[15] Изм. об. 4-3'!G117</f>
        <v>23691</v>
      </c>
      <c r="H117" s="724">
        <f>'[15]Обращения 3-22'!H117+'[15] Изм. об. 4-3'!H117</f>
        <v>0</v>
      </c>
      <c r="I117" s="724">
        <f t="shared" si="5"/>
        <v>0</v>
      </c>
      <c r="J117" s="724">
        <f>'[15]Обращения 3-22'!J117+'[15] Изм. об. 4-3'!J117</f>
        <v>0</v>
      </c>
      <c r="K117" s="725">
        <f>'[15]Обращения 3-22'!K117+'[15] Изм. об. 4-3'!K117</f>
        <v>0</v>
      </c>
      <c r="L117" s="726">
        <f>'[15]Обращения 3-22'!L117+'[15] Изм. об. 4-3'!L117</f>
        <v>0</v>
      </c>
    </row>
    <row r="118" spans="1:12" x14ac:dyDescent="0.25">
      <c r="A118" s="720">
        <v>106</v>
      </c>
      <c r="B118" s="721">
        <v>22112</v>
      </c>
      <c r="C118" s="722" t="s">
        <v>64</v>
      </c>
      <c r="D118" s="723">
        <f t="shared" si="4"/>
        <v>54613</v>
      </c>
      <c r="E118" s="724">
        <f>'[15]Обращения 3-22'!E118+'[15] Изм. об. 4-3'!E118</f>
        <v>0</v>
      </c>
      <c r="F118" s="724">
        <f>'[15]Обращения 3-22'!F118+'[15] Изм. об. 4-3'!F118</f>
        <v>0</v>
      </c>
      <c r="G118" s="724">
        <f>'[15]Обращения 3-22'!G118+'[15] Изм. об. 4-3'!G118</f>
        <v>54613</v>
      </c>
      <c r="H118" s="724">
        <f>'[15]Обращения 3-22'!H118+'[15] Изм. об. 4-3'!H118</f>
        <v>0</v>
      </c>
      <c r="I118" s="724">
        <f t="shared" si="5"/>
        <v>0</v>
      </c>
      <c r="J118" s="724">
        <f>'[15]Обращения 3-22'!J118+'[15] Изм. об. 4-3'!J118</f>
        <v>0</v>
      </c>
      <c r="K118" s="725">
        <f>'[15]Обращения 3-22'!K118+'[15] Изм. об. 4-3'!K118</f>
        <v>0</v>
      </c>
      <c r="L118" s="726">
        <f>'[15]Обращения 3-22'!L118+'[15] Изм. об. 4-3'!L118</f>
        <v>0</v>
      </c>
    </row>
    <row r="119" spans="1:12" x14ac:dyDescent="0.25">
      <c r="A119" s="720">
        <v>107</v>
      </c>
      <c r="B119" s="721">
        <v>26000</v>
      </c>
      <c r="C119" s="722" t="s">
        <v>22</v>
      </c>
      <c r="D119" s="723">
        <f t="shared" si="4"/>
        <v>33850</v>
      </c>
      <c r="E119" s="724">
        <f>'[15]Обращения 3-22'!E119+'[15] Изм. об. 4-3'!E119</f>
        <v>0</v>
      </c>
      <c r="F119" s="724">
        <f>'[15]Обращения 3-22'!F119+'[15] Изм. об. 4-3'!F119</f>
        <v>0</v>
      </c>
      <c r="G119" s="724">
        <f>'[15]Обращения 3-22'!G119+'[15] Изм. об. 4-3'!G119</f>
        <v>33850</v>
      </c>
      <c r="H119" s="724">
        <f>'[15]Обращения 3-22'!H119+'[15] Изм. об. 4-3'!H119</f>
        <v>0</v>
      </c>
      <c r="I119" s="724">
        <f t="shared" si="5"/>
        <v>0</v>
      </c>
      <c r="J119" s="724">
        <f>'[15]Обращения 3-22'!J119+'[15] Изм. об. 4-3'!J119</f>
        <v>0</v>
      </c>
      <c r="K119" s="725">
        <f>'[15]Обращения 3-22'!K119+'[15] Изм. об. 4-3'!K119</f>
        <v>0</v>
      </c>
      <c r="L119" s="726">
        <f>'[15]Обращения 3-22'!L119+'[15] Изм. об. 4-3'!L119</f>
        <v>0</v>
      </c>
    </row>
    <row r="120" spans="1:12" x14ac:dyDescent="0.25">
      <c r="A120" s="720">
        <v>108</v>
      </c>
      <c r="B120" s="721">
        <v>22124</v>
      </c>
      <c r="C120" s="722" t="s">
        <v>67</v>
      </c>
      <c r="D120" s="723">
        <f t="shared" si="4"/>
        <v>0</v>
      </c>
      <c r="E120" s="724">
        <f>'[15]Обращения 3-22'!E120+'[15] Изм. об. 4-3'!E120</f>
        <v>0</v>
      </c>
      <c r="F120" s="724">
        <f>'[15]Обращения 3-22'!F120+'[15] Изм. об. 4-3'!F120</f>
        <v>0</v>
      </c>
      <c r="G120" s="724">
        <f>'[15]Обращения 3-22'!G120+'[15] Изм. об. 4-3'!G120</f>
        <v>0</v>
      </c>
      <c r="H120" s="724">
        <f>'[15]Обращения 3-22'!H120+'[15] Изм. об. 4-3'!H120</f>
        <v>0</v>
      </c>
      <c r="I120" s="724">
        <f t="shared" si="5"/>
        <v>0</v>
      </c>
      <c r="J120" s="724">
        <f>'[15]Обращения 3-22'!J120+'[15] Изм. об. 4-3'!J120</f>
        <v>0</v>
      </c>
      <c r="K120" s="725">
        <f>'[15]Обращения 3-22'!K120+'[15] Изм. об. 4-3'!K120</f>
        <v>0</v>
      </c>
      <c r="L120" s="726">
        <f>'[15]Обращения 3-22'!L120+'[15] Изм. об. 4-3'!L120</f>
        <v>3524</v>
      </c>
    </row>
    <row r="121" spans="1:12" x14ac:dyDescent="0.25">
      <c r="A121" s="720">
        <v>109</v>
      </c>
      <c r="B121" s="721">
        <v>22400</v>
      </c>
      <c r="C121" s="722" t="s">
        <v>446</v>
      </c>
      <c r="D121" s="723">
        <f t="shared" si="4"/>
        <v>77526</v>
      </c>
      <c r="E121" s="724">
        <f>'[15]Обращения 3-22'!E121+'[15] Изм. об. 4-3'!E121</f>
        <v>0</v>
      </c>
      <c r="F121" s="724">
        <f>'[15]Обращения 3-22'!F121+'[15] Изм. об. 4-3'!F121</f>
        <v>0</v>
      </c>
      <c r="G121" s="724">
        <f>'[15]Обращения 3-22'!G121+'[15] Изм. об. 4-3'!G121</f>
        <v>0</v>
      </c>
      <c r="H121" s="724">
        <f>'[15]Обращения 3-22'!H121+'[15] Изм. об. 4-3'!H121</f>
        <v>0</v>
      </c>
      <c r="I121" s="724">
        <f t="shared" si="5"/>
        <v>77526</v>
      </c>
      <c r="J121" s="724">
        <f>'[15]Обращения 3-22'!J121+'[15] Изм. об. 4-3'!J121</f>
        <v>29682</v>
      </c>
      <c r="K121" s="725">
        <f>'[15]Обращения 3-22'!K121+'[15] Изм. об. 4-3'!K121</f>
        <v>47844</v>
      </c>
      <c r="L121" s="726">
        <f>'[15]Обращения 3-22'!L121+'[15] Изм. об. 4-3'!L121</f>
        <v>0</v>
      </c>
    </row>
    <row r="122" spans="1:12" x14ac:dyDescent="0.25">
      <c r="A122" s="720">
        <v>110</v>
      </c>
      <c r="B122" s="721">
        <v>22720</v>
      </c>
      <c r="C122" s="722" t="s">
        <v>447</v>
      </c>
      <c r="D122" s="723">
        <f t="shared" si="4"/>
        <v>209782</v>
      </c>
      <c r="E122" s="724">
        <f>'[15]Обращения 3-22'!E122+'[15] Изм. об. 4-3'!E122</f>
        <v>0</v>
      </c>
      <c r="F122" s="724">
        <f>'[15]Обращения 3-22'!F122+'[15] Изм. об. 4-3'!F122</f>
        <v>7174</v>
      </c>
      <c r="G122" s="724">
        <f>'[15]Обращения 3-22'!G122+'[15] Изм. об. 4-3'!G122</f>
        <v>0</v>
      </c>
      <c r="H122" s="724">
        <f>'[15]Обращения 3-22'!H122+'[15] Изм. об. 4-3'!H122</f>
        <v>7250</v>
      </c>
      <c r="I122" s="724">
        <f t="shared" si="5"/>
        <v>195358</v>
      </c>
      <c r="J122" s="724">
        <f>'[15]Обращения 3-22'!J122+'[15] Изм. об. 4-3'!J122</f>
        <v>41221</v>
      </c>
      <c r="K122" s="725">
        <f>'[15]Обращения 3-22'!K122+'[15] Изм. об. 4-3'!K122</f>
        <v>154137</v>
      </c>
      <c r="L122" s="726">
        <f>'[15]Обращения 3-22'!L122+'[15] Изм. об. 4-3'!L122</f>
        <v>0</v>
      </c>
    </row>
    <row r="123" spans="1:12" ht="15.75" thickBot="1" x14ac:dyDescent="0.3">
      <c r="A123" s="731">
        <v>111</v>
      </c>
      <c r="B123" s="732">
        <v>22121</v>
      </c>
      <c r="C123" s="733" t="s">
        <v>68</v>
      </c>
      <c r="D123" s="734">
        <f t="shared" si="4"/>
        <v>16692</v>
      </c>
      <c r="E123" s="735">
        <f>'[15]Обращения 3-22'!E123+'[15] Изм. об. 4-3'!E123</f>
        <v>0</v>
      </c>
      <c r="F123" s="735">
        <f>'[15]Обращения 3-22'!F123+'[15] Изм. об. 4-3'!F123</f>
        <v>0</v>
      </c>
      <c r="G123" s="735">
        <f>'[15]Обращения 3-22'!G123+'[15] Изм. об. 4-3'!G123</f>
        <v>16692</v>
      </c>
      <c r="H123" s="735">
        <f>'[15]Обращения 3-22'!H123+'[15] Изм. об. 4-3'!H123</f>
        <v>0</v>
      </c>
      <c r="I123" s="735">
        <f t="shared" si="5"/>
        <v>0</v>
      </c>
      <c r="J123" s="735">
        <f>'[15]Обращения 3-22'!J123+'[15] Изм. об. 4-3'!J123</f>
        <v>0</v>
      </c>
      <c r="K123" s="736">
        <f>'[15]Обращения 3-22'!K123+'[15] Изм. об. 4-3'!K123</f>
        <v>0</v>
      </c>
      <c r="L123" s="737">
        <f>'[15]Обращения 3-22'!L123+'[15] Изм. об. 4-3'!L123</f>
        <v>0</v>
      </c>
    </row>
    <row r="124" spans="1:12" x14ac:dyDescent="0.25">
      <c r="D124" s="738"/>
      <c r="E124" s="738"/>
      <c r="F124" s="738"/>
      <c r="G124" s="738"/>
      <c r="H124" s="738"/>
      <c r="I124" s="738"/>
      <c r="J124" s="738"/>
      <c r="K124" s="738"/>
      <c r="L124" s="738"/>
    </row>
    <row r="125" spans="1:12" x14ac:dyDescent="0.25">
      <c r="C125" s="739"/>
    </row>
    <row r="126" spans="1:12" x14ac:dyDescent="0.25">
      <c r="C126" s="739"/>
      <c r="D126" s="738"/>
      <c r="E126" s="738"/>
      <c r="F126" s="738"/>
      <c r="G126" s="738"/>
      <c r="H126" s="738"/>
      <c r="I126" s="738"/>
      <c r="J126" s="738"/>
      <c r="K126" s="738"/>
      <c r="L126" s="738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C197-821B-4EF6-982E-B4584B79A232}">
  <dimension ref="A1:I9"/>
  <sheetViews>
    <sheetView workbookViewId="0">
      <selection activeCell="D18" sqref="D18"/>
    </sheetView>
  </sheetViews>
  <sheetFormatPr defaultRowHeight="15" x14ac:dyDescent="0.25"/>
  <cols>
    <col min="1" max="1" width="5.28515625" style="704" customWidth="1"/>
    <col min="2" max="2" width="9.140625" style="704"/>
    <col min="3" max="3" width="30.7109375" style="704" customWidth="1"/>
    <col min="4" max="4" width="12.5703125" style="704" customWidth="1"/>
    <col min="5" max="9" width="12.42578125" style="704" customWidth="1"/>
    <col min="10" max="16384" width="9.140625" style="704"/>
  </cols>
  <sheetData>
    <row r="1" spans="1:9" ht="42.75" customHeight="1" x14ac:dyDescent="0.25">
      <c r="A1" s="890" t="s">
        <v>581</v>
      </c>
      <c r="B1" s="891"/>
      <c r="C1" s="891"/>
      <c r="D1" s="891"/>
      <c r="E1" s="891"/>
      <c r="F1" s="891"/>
      <c r="G1" s="891"/>
      <c r="H1" s="891"/>
      <c r="I1" s="891"/>
    </row>
    <row r="3" spans="1:9" ht="33.75" customHeight="1" x14ac:dyDescent="0.25">
      <c r="A3" s="881" t="s">
        <v>0</v>
      </c>
      <c r="B3" s="881" t="s">
        <v>296</v>
      </c>
      <c r="C3" s="881" t="s">
        <v>338</v>
      </c>
      <c r="D3" s="881" t="s">
        <v>2335</v>
      </c>
      <c r="E3" s="881"/>
      <c r="F3" s="881"/>
      <c r="G3" s="881"/>
      <c r="H3" s="881"/>
      <c r="I3" s="881"/>
    </row>
    <row r="4" spans="1:9" ht="23.25" customHeight="1" x14ac:dyDescent="0.25">
      <c r="A4" s="881"/>
      <c r="B4" s="881"/>
      <c r="C4" s="881"/>
      <c r="D4" s="892" t="s">
        <v>2336</v>
      </c>
      <c r="E4" s="883" t="s">
        <v>164</v>
      </c>
      <c r="F4" s="894"/>
      <c r="G4" s="894"/>
      <c r="H4" s="894"/>
      <c r="I4" s="895"/>
    </row>
    <row r="5" spans="1:9" ht="87" customHeight="1" x14ac:dyDescent="0.25">
      <c r="A5" s="881"/>
      <c r="B5" s="881"/>
      <c r="C5" s="881"/>
      <c r="D5" s="893"/>
      <c r="E5" s="740" t="s">
        <v>582</v>
      </c>
      <c r="F5" s="740" t="s">
        <v>583</v>
      </c>
      <c r="G5" s="740" t="s">
        <v>584</v>
      </c>
      <c r="H5" s="740" t="s">
        <v>585</v>
      </c>
      <c r="I5" s="740" t="s">
        <v>586</v>
      </c>
    </row>
    <row r="6" spans="1:9" x14ac:dyDescent="0.25">
      <c r="A6" s="712">
        <v>1</v>
      </c>
      <c r="B6" s="708">
        <v>2</v>
      </c>
      <c r="C6" s="708">
        <v>3</v>
      </c>
      <c r="D6" s="708">
        <v>4</v>
      </c>
      <c r="E6" s="708">
        <v>5</v>
      </c>
      <c r="F6" s="708">
        <v>6</v>
      </c>
      <c r="G6" s="708">
        <v>7</v>
      </c>
      <c r="H6" s="708">
        <v>8</v>
      </c>
      <c r="I6" s="708">
        <v>9</v>
      </c>
    </row>
    <row r="7" spans="1:9" x14ac:dyDescent="0.25">
      <c r="A7" s="712"/>
      <c r="B7" s="708"/>
      <c r="C7" s="134" t="s">
        <v>1</v>
      </c>
      <c r="D7" s="717">
        <f>D9+D8</f>
        <v>11370</v>
      </c>
      <c r="E7" s="717">
        <f t="shared" ref="E7:I7" si="0">E9+E8</f>
        <v>100</v>
      </c>
      <c r="F7" s="717">
        <f t="shared" si="0"/>
        <v>1000</v>
      </c>
      <c r="G7" s="717">
        <f t="shared" si="0"/>
        <v>2062</v>
      </c>
      <c r="H7" s="717">
        <f t="shared" si="0"/>
        <v>262</v>
      </c>
      <c r="I7" s="717">
        <f t="shared" si="0"/>
        <v>100</v>
      </c>
    </row>
    <row r="8" spans="1:9" ht="25.5" x14ac:dyDescent="0.25">
      <c r="A8" s="741"/>
      <c r="B8" s="721"/>
      <c r="C8" s="742" t="s">
        <v>3</v>
      </c>
      <c r="D8" s="743">
        <f>'[16]Обращения по мед.реаб.(19-21)'!D8+'[16]Изм-я 6-19'!D8</f>
        <v>7846</v>
      </c>
      <c r="E8" s="744"/>
      <c r="F8" s="745"/>
      <c r="G8" s="745"/>
      <c r="H8" s="745"/>
      <c r="I8" s="745"/>
    </row>
    <row r="9" spans="1:9" x14ac:dyDescent="0.25">
      <c r="A9" s="741">
        <v>1</v>
      </c>
      <c r="B9" s="721">
        <v>22124</v>
      </c>
      <c r="C9" s="742" t="s">
        <v>67</v>
      </c>
      <c r="D9" s="743">
        <f>E9+F9+G9+H9+I9</f>
        <v>3524</v>
      </c>
      <c r="E9" s="746">
        <f>'[16]Обращения по мед.реаб.(19-21)'!E9+'[16]Изм-я 6-19'!E9</f>
        <v>100</v>
      </c>
      <c r="F9" s="746">
        <f>'[16]Обращения по мед.реаб.(19-21)'!F9+'[16]Изм-я 6-19'!F9</f>
        <v>1000</v>
      </c>
      <c r="G9" s="746">
        <f>'[16]Обращения по мед.реаб.(19-21)'!G9+'[16]Изм-я 6-19'!G9</f>
        <v>2062</v>
      </c>
      <c r="H9" s="746">
        <f>'[16]Обращения по мед.реаб.(19-21)'!H9+'[16]Изм-я 6-19'!H9</f>
        <v>262</v>
      </c>
      <c r="I9" s="746">
        <f>'[16]Обращения по мед.реаб.(19-21)'!I9+'[16]Изм-я 6-19'!I9</f>
        <v>100</v>
      </c>
    </row>
  </sheetData>
  <mergeCells count="7">
    <mergeCell ref="A1:I1"/>
    <mergeCell ref="A3:A5"/>
    <mergeCell ref="B3:B5"/>
    <mergeCell ref="C3:C5"/>
    <mergeCell ref="D3:I3"/>
    <mergeCell ref="D4:D5"/>
    <mergeCell ref="E4:I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48"/>
  <sheetViews>
    <sheetView workbookViewId="0">
      <pane xSplit="3" ySplit="9" topLeftCell="G10" activePane="bottomRight" state="frozen"/>
      <selection activeCell="P41" sqref="P41"/>
      <selection pane="topRight" activeCell="P41" sqref="P41"/>
      <selection pane="bottomLeft" activeCell="P41" sqref="P41"/>
      <selection pane="bottomRight" activeCell="O154" sqref="O154"/>
    </sheetView>
  </sheetViews>
  <sheetFormatPr defaultRowHeight="12" x14ac:dyDescent="0.2"/>
  <cols>
    <col min="1" max="1" width="5" style="544" customWidth="1"/>
    <col min="2" max="2" width="7.7109375" style="544" customWidth="1"/>
    <col min="3" max="3" width="30.7109375" style="544" customWidth="1"/>
    <col min="4" max="4" width="12.140625" style="544" customWidth="1"/>
    <col min="5" max="5" width="9.7109375" style="544" customWidth="1"/>
    <col min="6" max="6" width="17" style="544" customWidth="1"/>
    <col min="7" max="7" width="12.42578125" style="544" customWidth="1"/>
    <col min="8" max="8" width="9.5703125" style="544" customWidth="1"/>
    <col min="9" max="10" width="10.7109375" style="544" customWidth="1"/>
    <col min="11" max="11" width="9.42578125" style="544" customWidth="1"/>
    <col min="12" max="12" width="18.28515625" style="544" customWidth="1"/>
    <col min="13" max="13" width="12.7109375" style="544" customWidth="1"/>
    <col min="14" max="14" width="12.28515625" style="544" customWidth="1"/>
    <col min="15" max="15" width="19.42578125" style="544" customWidth="1"/>
    <col min="16" max="16" width="9" style="544" customWidth="1"/>
    <col min="17" max="16384" width="9.140625" style="544"/>
  </cols>
  <sheetData>
    <row r="1" spans="1:19" ht="41.25" customHeight="1" x14ac:dyDescent="0.2">
      <c r="A1" s="896" t="s">
        <v>162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</row>
    <row r="2" spans="1:19" ht="15" customHeight="1" x14ac:dyDescent="0.2">
      <c r="A2" s="897" t="s">
        <v>0</v>
      </c>
      <c r="B2" s="898" t="s">
        <v>106</v>
      </c>
      <c r="C2" s="897" t="s">
        <v>107</v>
      </c>
      <c r="D2" s="897" t="s">
        <v>163</v>
      </c>
      <c r="E2" s="897" t="s">
        <v>164</v>
      </c>
      <c r="F2" s="897"/>
      <c r="G2" s="897"/>
      <c r="H2" s="897"/>
      <c r="I2" s="897"/>
      <c r="J2" s="897"/>
      <c r="K2" s="897"/>
      <c r="L2" s="897"/>
      <c r="M2" s="897"/>
      <c r="N2" s="897"/>
      <c r="O2" s="897"/>
    </row>
    <row r="3" spans="1:19" ht="40.5" customHeight="1" x14ac:dyDescent="0.2">
      <c r="A3" s="897"/>
      <c r="B3" s="899"/>
      <c r="C3" s="897"/>
      <c r="D3" s="897"/>
      <c r="E3" s="901" t="s">
        <v>165</v>
      </c>
      <c r="F3" s="902"/>
      <c r="G3" s="902"/>
      <c r="H3" s="903" t="s">
        <v>166</v>
      </c>
      <c r="I3" s="903"/>
      <c r="J3" s="903"/>
      <c r="K3" s="897" t="s">
        <v>167</v>
      </c>
      <c r="L3" s="897"/>
      <c r="M3" s="897"/>
      <c r="N3" s="897"/>
      <c r="O3" s="897"/>
    </row>
    <row r="4" spans="1:19" ht="12.75" customHeight="1" x14ac:dyDescent="0.2">
      <c r="A4" s="897"/>
      <c r="B4" s="899"/>
      <c r="C4" s="897"/>
      <c r="D4" s="897"/>
      <c r="E4" s="897" t="s">
        <v>1</v>
      </c>
      <c r="F4" s="904" t="s">
        <v>164</v>
      </c>
      <c r="G4" s="905"/>
      <c r="H4" s="897" t="s">
        <v>1</v>
      </c>
      <c r="I4" s="904" t="s">
        <v>168</v>
      </c>
      <c r="J4" s="905"/>
      <c r="K4" s="903" t="s">
        <v>1</v>
      </c>
      <c r="L4" s="906" t="s">
        <v>164</v>
      </c>
      <c r="M4" s="906"/>
      <c r="N4" s="906"/>
      <c r="O4" s="906"/>
    </row>
    <row r="5" spans="1:19" ht="84.75" customHeight="1" x14ac:dyDescent="0.2">
      <c r="A5" s="897"/>
      <c r="B5" s="900"/>
      <c r="C5" s="897"/>
      <c r="D5" s="897"/>
      <c r="E5" s="897"/>
      <c r="F5" s="545" t="s">
        <v>169</v>
      </c>
      <c r="G5" s="546" t="s">
        <v>170</v>
      </c>
      <c r="H5" s="897"/>
      <c r="I5" s="546" t="s">
        <v>171</v>
      </c>
      <c r="J5" s="546" t="s">
        <v>172</v>
      </c>
      <c r="K5" s="897"/>
      <c r="L5" s="547" t="s">
        <v>173</v>
      </c>
      <c r="M5" s="547" t="s">
        <v>174</v>
      </c>
      <c r="N5" s="547" t="s">
        <v>175</v>
      </c>
      <c r="O5" s="547" t="s">
        <v>294</v>
      </c>
    </row>
    <row r="6" spans="1:19" s="552" customFormat="1" ht="12" customHeight="1" x14ac:dyDescent="0.2">
      <c r="A6" s="548">
        <v>1</v>
      </c>
      <c r="B6" s="548">
        <v>2</v>
      </c>
      <c r="C6" s="548">
        <v>3</v>
      </c>
      <c r="D6" s="549">
        <v>4</v>
      </c>
      <c r="E6" s="549">
        <v>5</v>
      </c>
      <c r="F6" s="549">
        <v>6</v>
      </c>
      <c r="G6" s="549">
        <v>7</v>
      </c>
      <c r="H6" s="549">
        <v>8</v>
      </c>
      <c r="I6" s="549">
        <v>9</v>
      </c>
      <c r="J6" s="549">
        <v>10</v>
      </c>
      <c r="K6" s="548">
        <v>11</v>
      </c>
      <c r="L6" s="550">
        <v>12</v>
      </c>
      <c r="M6" s="550">
        <v>13</v>
      </c>
      <c r="N6" s="550">
        <v>15</v>
      </c>
      <c r="O6" s="550">
        <v>17</v>
      </c>
      <c r="P6" s="551"/>
    </row>
    <row r="7" spans="1:19" s="552" customFormat="1" ht="12" customHeight="1" x14ac:dyDescent="0.2">
      <c r="A7" s="907" t="s">
        <v>1</v>
      </c>
      <c r="B7" s="907"/>
      <c r="C7" s="907"/>
      <c r="D7" s="553">
        <f t="shared" ref="D7" si="0">E7+H7+K7</f>
        <v>11607969</v>
      </c>
      <c r="E7" s="553">
        <f t="shared" ref="E7" si="1">F7+G7</f>
        <v>1077600</v>
      </c>
      <c r="F7" s="553">
        <f>F8+F9</f>
        <v>230628</v>
      </c>
      <c r="G7" s="553">
        <f>G8+G9</f>
        <v>846972</v>
      </c>
      <c r="H7" s="553">
        <f>I7+J7</f>
        <v>1041944</v>
      </c>
      <c r="I7" s="553">
        <f t="shared" ref="I7:J7" si="2">I8+I9</f>
        <v>1031376</v>
      </c>
      <c r="J7" s="553">
        <f t="shared" si="2"/>
        <v>10568</v>
      </c>
      <c r="K7" s="554">
        <f>SUM(L7:O7)</f>
        <v>9488425</v>
      </c>
      <c r="L7" s="555">
        <f t="shared" ref="L7:O7" si="3">L8+L9</f>
        <v>260935</v>
      </c>
      <c r="M7" s="555">
        <f t="shared" si="3"/>
        <v>1651392</v>
      </c>
      <c r="N7" s="555">
        <f t="shared" si="3"/>
        <v>4705224</v>
      </c>
      <c r="O7" s="555">
        <f t="shared" si="3"/>
        <v>2870874</v>
      </c>
      <c r="P7" s="551"/>
      <c r="Q7" s="556"/>
    </row>
    <row r="8" spans="1:19" s="552" customFormat="1" ht="12" customHeight="1" x14ac:dyDescent="0.2">
      <c r="A8" s="908" t="s">
        <v>3</v>
      </c>
      <c r="B8" s="909"/>
      <c r="C8" s="910"/>
      <c r="D8" s="549">
        <v>319481</v>
      </c>
      <c r="E8" s="549">
        <v>0</v>
      </c>
      <c r="F8" s="549">
        <v>0</v>
      </c>
      <c r="G8" s="549">
        <v>0</v>
      </c>
      <c r="H8" s="549">
        <v>0</v>
      </c>
      <c r="I8" s="549">
        <v>0</v>
      </c>
      <c r="J8" s="549">
        <v>0</v>
      </c>
      <c r="K8" s="548">
        <v>319481</v>
      </c>
      <c r="L8" s="550">
        <v>0</v>
      </c>
      <c r="M8" s="550">
        <v>476</v>
      </c>
      <c r="N8" s="550">
        <v>319005</v>
      </c>
      <c r="O8" s="550">
        <v>0</v>
      </c>
      <c r="P8" s="551"/>
      <c r="Q8" s="556"/>
    </row>
    <row r="9" spans="1:19" s="552" customFormat="1" ht="12" customHeight="1" x14ac:dyDescent="0.2">
      <c r="A9" s="911" t="s">
        <v>4</v>
      </c>
      <c r="B9" s="912"/>
      <c r="C9" s="913"/>
      <c r="D9" s="553">
        <f>E9+H9+K9</f>
        <v>11288488</v>
      </c>
      <c r="E9" s="553">
        <f>F9+G9</f>
        <v>1077600</v>
      </c>
      <c r="F9" s="553">
        <f>SUM(F10:F147)</f>
        <v>230628</v>
      </c>
      <c r="G9" s="553">
        <f>SUM(G10:G147)</f>
        <v>846972</v>
      </c>
      <c r="H9" s="553">
        <f>I9+J9</f>
        <v>1041944</v>
      </c>
      <c r="I9" s="553">
        <f>SUM(I10:I147)</f>
        <v>1031376</v>
      </c>
      <c r="J9" s="553">
        <f>SUM(J10:J147)</f>
        <v>10568</v>
      </c>
      <c r="K9" s="554">
        <f>SUM(L9:O9)</f>
        <v>9168944</v>
      </c>
      <c r="L9" s="555">
        <f>SUM(L10:L147)</f>
        <v>260935</v>
      </c>
      <c r="M9" s="555">
        <f>SUM(M10:M147)</f>
        <v>1650916</v>
      </c>
      <c r="N9" s="555">
        <f>SUM(N10:N147)</f>
        <v>4386219</v>
      </c>
      <c r="O9" s="555">
        <f>SUM(O10:O147)</f>
        <v>2870874</v>
      </c>
      <c r="P9" s="551"/>
      <c r="Q9" s="556"/>
      <c r="S9" s="556"/>
    </row>
    <row r="10" spans="1:19" x14ac:dyDescent="0.2">
      <c r="A10" s="35">
        <v>1</v>
      </c>
      <c r="B10" s="36" t="s">
        <v>69</v>
      </c>
      <c r="C10" s="37" t="s">
        <v>29</v>
      </c>
      <c r="D10" s="557">
        <f t="shared" ref="D10:D80" si="4">E10+H10+K10</f>
        <v>50090</v>
      </c>
      <c r="E10" s="557">
        <f>F10+G10</f>
        <v>5617</v>
      </c>
      <c r="F10" s="557">
        <v>1148</v>
      </c>
      <c r="G10" s="557">
        <v>4469</v>
      </c>
      <c r="H10" s="549">
        <f t="shared" ref="H10:H74" si="5">I10+J10</f>
        <v>5193</v>
      </c>
      <c r="I10" s="557">
        <v>5133</v>
      </c>
      <c r="J10" s="557">
        <v>60</v>
      </c>
      <c r="K10" s="557">
        <f t="shared" ref="K10:K73" si="6">SUM(L10:O10)</f>
        <v>39280</v>
      </c>
      <c r="L10" s="558">
        <v>1399</v>
      </c>
      <c r="M10" s="558">
        <v>18363</v>
      </c>
      <c r="N10" s="558">
        <v>14777</v>
      </c>
      <c r="O10" s="558">
        <v>4741</v>
      </c>
      <c r="P10" s="551"/>
      <c r="Q10" s="556"/>
      <c r="S10" s="556"/>
    </row>
    <row r="11" spans="1:19" x14ac:dyDescent="0.2">
      <c r="A11" s="35">
        <v>2</v>
      </c>
      <c r="B11" s="38" t="s">
        <v>70</v>
      </c>
      <c r="C11" s="37" t="s">
        <v>31</v>
      </c>
      <c r="D11" s="557">
        <f t="shared" si="4"/>
        <v>52037</v>
      </c>
      <c r="E11" s="557">
        <f t="shared" ref="E11:E81" si="7">F11+G11</f>
        <v>5037</v>
      </c>
      <c r="F11" s="557">
        <v>1220</v>
      </c>
      <c r="G11" s="557">
        <v>3817</v>
      </c>
      <c r="H11" s="549">
        <f t="shared" si="5"/>
        <v>5591</v>
      </c>
      <c r="I11" s="557">
        <v>5457</v>
      </c>
      <c r="J11" s="557">
        <v>134</v>
      </c>
      <c r="K11" s="557">
        <f t="shared" si="6"/>
        <v>41409</v>
      </c>
      <c r="L11" s="558">
        <v>1381</v>
      </c>
      <c r="M11" s="558">
        <v>14058</v>
      </c>
      <c r="N11" s="558">
        <v>21696</v>
      </c>
      <c r="O11" s="558">
        <v>4274</v>
      </c>
      <c r="P11" s="551"/>
      <c r="Q11" s="556"/>
      <c r="S11" s="556"/>
    </row>
    <row r="12" spans="1:19" x14ac:dyDescent="0.2">
      <c r="A12" s="35">
        <v>3</v>
      </c>
      <c r="B12" s="12" t="s">
        <v>71</v>
      </c>
      <c r="C12" s="9" t="s">
        <v>5</v>
      </c>
      <c r="D12" s="557">
        <f t="shared" si="4"/>
        <v>164813</v>
      </c>
      <c r="E12" s="557">
        <f t="shared" si="7"/>
        <v>16131</v>
      </c>
      <c r="F12" s="557">
        <v>3320</v>
      </c>
      <c r="G12" s="557">
        <v>12811</v>
      </c>
      <c r="H12" s="549">
        <f t="shared" si="5"/>
        <v>15391</v>
      </c>
      <c r="I12" s="557">
        <v>14848</v>
      </c>
      <c r="J12" s="557">
        <v>543</v>
      </c>
      <c r="K12" s="557">
        <f t="shared" si="6"/>
        <v>133291</v>
      </c>
      <c r="L12" s="558">
        <v>3757</v>
      </c>
      <c r="M12" s="558">
        <v>20251</v>
      </c>
      <c r="N12" s="558">
        <v>50000</v>
      </c>
      <c r="O12" s="558">
        <v>59283</v>
      </c>
      <c r="P12" s="551"/>
      <c r="Q12" s="556"/>
      <c r="S12" s="556"/>
    </row>
    <row r="13" spans="1:19" x14ac:dyDescent="0.2">
      <c r="A13" s="35">
        <v>4</v>
      </c>
      <c r="B13" s="36" t="s">
        <v>72</v>
      </c>
      <c r="C13" s="37" t="s">
        <v>35</v>
      </c>
      <c r="D13" s="557">
        <f t="shared" si="4"/>
        <v>52476</v>
      </c>
      <c r="E13" s="557">
        <f t="shared" si="7"/>
        <v>4743</v>
      </c>
      <c r="F13" s="557">
        <v>1338</v>
      </c>
      <c r="G13" s="557">
        <v>3405</v>
      </c>
      <c r="H13" s="549">
        <f t="shared" si="5"/>
        <v>6045</v>
      </c>
      <c r="I13" s="557">
        <v>5984</v>
      </c>
      <c r="J13" s="557">
        <v>61</v>
      </c>
      <c r="K13" s="557">
        <f t="shared" si="6"/>
        <v>41688</v>
      </c>
      <c r="L13" s="558">
        <v>2014</v>
      </c>
      <c r="M13" s="558">
        <v>7464</v>
      </c>
      <c r="N13" s="558">
        <v>22887</v>
      </c>
      <c r="O13" s="558">
        <v>9323</v>
      </c>
      <c r="P13" s="551"/>
      <c r="Q13" s="556"/>
      <c r="S13" s="556"/>
    </row>
    <row r="14" spans="1:19" x14ac:dyDescent="0.2">
      <c r="A14" s="35">
        <v>5</v>
      </c>
      <c r="B14" s="36" t="s">
        <v>108</v>
      </c>
      <c r="C14" s="37" t="s">
        <v>37</v>
      </c>
      <c r="D14" s="557">
        <f t="shared" si="4"/>
        <v>58929</v>
      </c>
      <c r="E14" s="557">
        <f t="shared" si="7"/>
        <v>6040</v>
      </c>
      <c r="F14" s="557">
        <v>1359</v>
      </c>
      <c r="G14" s="557">
        <v>4681</v>
      </c>
      <c r="H14" s="549">
        <f t="shared" si="5"/>
        <v>6161</v>
      </c>
      <c r="I14" s="557">
        <v>6076</v>
      </c>
      <c r="J14" s="557">
        <v>85</v>
      </c>
      <c r="K14" s="557">
        <f t="shared" si="6"/>
        <v>46728</v>
      </c>
      <c r="L14" s="558">
        <v>1537</v>
      </c>
      <c r="M14" s="558">
        <v>9937</v>
      </c>
      <c r="N14" s="558">
        <v>19745</v>
      </c>
      <c r="O14" s="558">
        <v>15509</v>
      </c>
      <c r="P14" s="551"/>
      <c r="Q14" s="556"/>
      <c r="S14" s="556"/>
    </row>
    <row r="15" spans="1:19" x14ac:dyDescent="0.2">
      <c r="A15" s="35">
        <v>6</v>
      </c>
      <c r="B15" s="12" t="s">
        <v>73</v>
      </c>
      <c r="C15" s="9" t="s">
        <v>6</v>
      </c>
      <c r="D15" s="557">
        <f t="shared" si="4"/>
        <v>415448</v>
      </c>
      <c r="E15" s="557">
        <f t="shared" si="7"/>
        <v>42424</v>
      </c>
      <c r="F15" s="557">
        <v>9022</v>
      </c>
      <c r="G15" s="557">
        <v>33402</v>
      </c>
      <c r="H15" s="549">
        <f t="shared" si="5"/>
        <v>40512</v>
      </c>
      <c r="I15" s="557">
        <v>40347</v>
      </c>
      <c r="J15" s="557">
        <v>165</v>
      </c>
      <c r="K15" s="557">
        <f t="shared" si="6"/>
        <v>332512</v>
      </c>
      <c r="L15" s="558">
        <v>10308</v>
      </c>
      <c r="M15" s="558">
        <v>92187</v>
      </c>
      <c r="N15" s="558">
        <v>129609</v>
      </c>
      <c r="O15" s="558">
        <v>100408</v>
      </c>
      <c r="P15" s="551"/>
      <c r="Q15" s="556"/>
      <c r="S15" s="556"/>
    </row>
    <row r="16" spans="1:19" x14ac:dyDescent="0.2">
      <c r="A16" s="35">
        <v>7</v>
      </c>
      <c r="B16" s="39" t="s">
        <v>109</v>
      </c>
      <c r="C16" s="40" t="s">
        <v>23</v>
      </c>
      <c r="D16" s="557">
        <f t="shared" si="4"/>
        <v>160619</v>
      </c>
      <c r="E16" s="557">
        <f t="shared" si="7"/>
        <v>15325</v>
      </c>
      <c r="F16" s="557">
        <v>3358</v>
      </c>
      <c r="G16" s="557">
        <v>11967</v>
      </c>
      <c r="H16" s="549">
        <f t="shared" si="5"/>
        <v>15153</v>
      </c>
      <c r="I16" s="557">
        <v>15015</v>
      </c>
      <c r="J16" s="557">
        <v>138</v>
      </c>
      <c r="K16" s="557">
        <f t="shared" si="6"/>
        <v>130141</v>
      </c>
      <c r="L16" s="558">
        <v>3799</v>
      </c>
      <c r="M16" s="558">
        <v>11520</v>
      </c>
      <c r="N16" s="558">
        <v>56010</v>
      </c>
      <c r="O16" s="558">
        <v>58812</v>
      </c>
      <c r="P16" s="551"/>
      <c r="Q16" s="556"/>
      <c r="S16" s="556"/>
    </row>
    <row r="17" spans="1:19" x14ac:dyDescent="0.2">
      <c r="A17" s="35">
        <v>8</v>
      </c>
      <c r="B17" s="12" t="s">
        <v>110</v>
      </c>
      <c r="C17" s="9" t="s">
        <v>44</v>
      </c>
      <c r="D17" s="557">
        <f t="shared" si="4"/>
        <v>62901</v>
      </c>
      <c r="E17" s="557">
        <f t="shared" si="7"/>
        <v>6365</v>
      </c>
      <c r="F17" s="557">
        <v>1452</v>
      </c>
      <c r="G17" s="557">
        <v>4913</v>
      </c>
      <c r="H17" s="549">
        <f t="shared" si="5"/>
        <v>6650</v>
      </c>
      <c r="I17" s="557">
        <v>6491</v>
      </c>
      <c r="J17" s="557">
        <v>159</v>
      </c>
      <c r="K17" s="557">
        <f t="shared" si="6"/>
        <v>49886</v>
      </c>
      <c r="L17" s="558">
        <v>1642</v>
      </c>
      <c r="M17" s="558">
        <v>12460</v>
      </c>
      <c r="N17" s="558">
        <v>19134</v>
      </c>
      <c r="O17" s="558">
        <v>16650</v>
      </c>
      <c r="P17" s="551"/>
      <c r="Q17" s="556"/>
      <c r="S17" s="556"/>
    </row>
    <row r="18" spans="1:19" x14ac:dyDescent="0.2">
      <c r="A18" s="35">
        <v>9</v>
      </c>
      <c r="B18" s="12" t="s">
        <v>74</v>
      </c>
      <c r="C18" s="9" t="s">
        <v>45</v>
      </c>
      <c r="D18" s="557">
        <f t="shared" si="4"/>
        <v>58065</v>
      </c>
      <c r="E18" s="557">
        <f t="shared" si="7"/>
        <v>6179</v>
      </c>
      <c r="F18" s="557">
        <v>1322</v>
      </c>
      <c r="G18" s="557">
        <v>4857</v>
      </c>
      <c r="H18" s="549">
        <f t="shared" si="5"/>
        <v>5955</v>
      </c>
      <c r="I18" s="557">
        <v>5913</v>
      </c>
      <c r="J18" s="557">
        <v>42</v>
      </c>
      <c r="K18" s="557">
        <f t="shared" si="6"/>
        <v>45931</v>
      </c>
      <c r="L18" s="558">
        <v>1796</v>
      </c>
      <c r="M18" s="558">
        <v>9226</v>
      </c>
      <c r="N18" s="558">
        <v>22401</v>
      </c>
      <c r="O18" s="558">
        <v>12508</v>
      </c>
      <c r="P18" s="551"/>
      <c r="Q18" s="556"/>
      <c r="S18" s="556"/>
    </row>
    <row r="19" spans="1:19" x14ac:dyDescent="0.2">
      <c r="A19" s="35">
        <v>10</v>
      </c>
      <c r="B19" s="12" t="s">
        <v>111</v>
      </c>
      <c r="C19" s="9" t="s">
        <v>48</v>
      </c>
      <c r="D19" s="557">
        <f t="shared" si="4"/>
        <v>67969</v>
      </c>
      <c r="E19" s="557">
        <f t="shared" si="7"/>
        <v>6874</v>
      </c>
      <c r="F19" s="557">
        <v>1572</v>
      </c>
      <c r="G19" s="557">
        <v>5302</v>
      </c>
      <c r="H19" s="549">
        <f t="shared" si="5"/>
        <v>7091</v>
      </c>
      <c r="I19" s="557">
        <v>7031</v>
      </c>
      <c r="J19" s="557">
        <v>60</v>
      </c>
      <c r="K19" s="557">
        <f t="shared" si="6"/>
        <v>54004</v>
      </c>
      <c r="L19" s="558">
        <v>1979</v>
      </c>
      <c r="M19" s="558">
        <v>10912</v>
      </c>
      <c r="N19" s="558">
        <v>25798</v>
      </c>
      <c r="O19" s="558">
        <v>15315</v>
      </c>
      <c r="P19" s="551"/>
      <c r="Q19" s="556"/>
      <c r="S19" s="556"/>
    </row>
    <row r="20" spans="1:19" x14ac:dyDescent="0.2">
      <c r="A20" s="35">
        <v>11</v>
      </c>
      <c r="B20" s="12" t="s">
        <v>75</v>
      </c>
      <c r="C20" s="9" t="s">
        <v>52</v>
      </c>
      <c r="D20" s="557">
        <f t="shared" si="4"/>
        <v>58052</v>
      </c>
      <c r="E20" s="557">
        <f t="shared" si="7"/>
        <v>6799</v>
      </c>
      <c r="F20" s="557">
        <v>1286</v>
      </c>
      <c r="G20" s="557">
        <v>5513</v>
      </c>
      <c r="H20" s="549">
        <f t="shared" si="5"/>
        <v>5841</v>
      </c>
      <c r="I20" s="557">
        <v>5752</v>
      </c>
      <c r="J20" s="557">
        <v>89</v>
      </c>
      <c r="K20" s="557">
        <f t="shared" si="6"/>
        <v>45412</v>
      </c>
      <c r="L20" s="558">
        <v>1455</v>
      </c>
      <c r="M20" s="558">
        <v>15044</v>
      </c>
      <c r="N20" s="558">
        <v>19466</v>
      </c>
      <c r="O20" s="558">
        <v>9447</v>
      </c>
      <c r="P20" s="551"/>
      <c r="Q20" s="556"/>
      <c r="S20" s="556"/>
    </row>
    <row r="21" spans="1:19" x14ac:dyDescent="0.2">
      <c r="A21" s="35">
        <v>12</v>
      </c>
      <c r="B21" s="12" t="s">
        <v>112</v>
      </c>
      <c r="C21" s="9" t="s">
        <v>63</v>
      </c>
      <c r="D21" s="557">
        <f t="shared" si="4"/>
        <v>111837</v>
      </c>
      <c r="E21" s="557">
        <f t="shared" si="7"/>
        <v>11712</v>
      </c>
      <c r="F21" s="557">
        <v>2500</v>
      </c>
      <c r="G21" s="557">
        <v>9212</v>
      </c>
      <c r="H21" s="549">
        <f t="shared" si="5"/>
        <v>11397</v>
      </c>
      <c r="I21" s="557">
        <v>11179</v>
      </c>
      <c r="J21" s="557">
        <v>218</v>
      </c>
      <c r="K21" s="557">
        <f t="shared" si="6"/>
        <v>88728</v>
      </c>
      <c r="L21" s="558">
        <v>3028</v>
      </c>
      <c r="M21" s="558">
        <v>17541</v>
      </c>
      <c r="N21" s="558">
        <v>39045</v>
      </c>
      <c r="O21" s="558">
        <v>29114</v>
      </c>
      <c r="P21" s="551"/>
      <c r="Q21" s="556"/>
      <c r="S21" s="556"/>
    </row>
    <row r="22" spans="1:19" x14ac:dyDescent="0.2">
      <c r="A22" s="13">
        <v>13</v>
      </c>
      <c r="B22" s="12" t="s">
        <v>2271</v>
      </c>
      <c r="C22" s="9" t="s">
        <v>293</v>
      </c>
      <c r="D22" s="557">
        <f t="shared" si="4"/>
        <v>0</v>
      </c>
      <c r="E22" s="557">
        <f t="shared" si="7"/>
        <v>0</v>
      </c>
      <c r="F22" s="557">
        <v>0</v>
      </c>
      <c r="G22" s="557">
        <v>0</v>
      </c>
      <c r="H22" s="549">
        <f t="shared" si="5"/>
        <v>0</v>
      </c>
      <c r="I22" s="557">
        <v>0</v>
      </c>
      <c r="J22" s="557">
        <v>0</v>
      </c>
      <c r="K22" s="557">
        <f t="shared" si="6"/>
        <v>0</v>
      </c>
      <c r="L22" s="558">
        <v>0</v>
      </c>
      <c r="M22" s="558">
        <v>0</v>
      </c>
      <c r="N22" s="558">
        <v>0</v>
      </c>
      <c r="O22" s="558">
        <v>0</v>
      </c>
      <c r="P22" s="551"/>
      <c r="Q22" s="556"/>
      <c r="S22" s="556"/>
    </row>
    <row r="23" spans="1:19" x14ac:dyDescent="0.2">
      <c r="A23" s="35">
        <v>14</v>
      </c>
      <c r="B23" s="36" t="s">
        <v>176</v>
      </c>
      <c r="C23" s="9" t="s">
        <v>177</v>
      </c>
      <c r="D23" s="557">
        <f t="shared" si="4"/>
        <v>0</v>
      </c>
      <c r="E23" s="557">
        <f t="shared" si="7"/>
        <v>0</v>
      </c>
      <c r="F23" s="557">
        <v>0</v>
      </c>
      <c r="G23" s="557">
        <v>0</v>
      </c>
      <c r="H23" s="549">
        <f t="shared" si="5"/>
        <v>0</v>
      </c>
      <c r="I23" s="557">
        <v>0</v>
      </c>
      <c r="J23" s="557">
        <v>0</v>
      </c>
      <c r="K23" s="557">
        <f t="shared" si="6"/>
        <v>0</v>
      </c>
      <c r="L23" s="558">
        <v>0</v>
      </c>
      <c r="M23" s="558">
        <v>0</v>
      </c>
      <c r="N23" s="558">
        <v>0</v>
      </c>
      <c r="O23" s="558">
        <v>0</v>
      </c>
      <c r="P23" s="551"/>
      <c r="Q23" s="556"/>
      <c r="S23" s="556"/>
    </row>
    <row r="24" spans="1:19" x14ac:dyDescent="0.2">
      <c r="A24" s="13">
        <v>15</v>
      </c>
      <c r="B24" s="12" t="s">
        <v>115</v>
      </c>
      <c r="C24" s="9" t="s">
        <v>26</v>
      </c>
      <c r="D24" s="557">
        <f t="shared" si="4"/>
        <v>76147</v>
      </c>
      <c r="E24" s="557">
        <f t="shared" si="7"/>
        <v>9096</v>
      </c>
      <c r="F24" s="557">
        <v>1616</v>
      </c>
      <c r="G24" s="557">
        <v>7480</v>
      </c>
      <c r="H24" s="549">
        <f t="shared" si="5"/>
        <v>7346</v>
      </c>
      <c r="I24" s="557">
        <v>7226</v>
      </c>
      <c r="J24" s="557">
        <v>120</v>
      </c>
      <c r="K24" s="557">
        <f t="shared" si="6"/>
        <v>59705</v>
      </c>
      <c r="L24" s="558">
        <v>1828</v>
      </c>
      <c r="M24" s="558">
        <v>3188</v>
      </c>
      <c r="N24" s="558">
        <v>17841</v>
      </c>
      <c r="O24" s="558">
        <v>36848</v>
      </c>
      <c r="P24" s="551"/>
      <c r="Q24" s="556"/>
      <c r="S24" s="556"/>
    </row>
    <row r="25" spans="1:19" x14ac:dyDescent="0.2">
      <c r="A25" s="35">
        <v>16</v>
      </c>
      <c r="B25" s="12" t="s">
        <v>116</v>
      </c>
      <c r="C25" s="9" t="s">
        <v>28</v>
      </c>
      <c r="D25" s="557">
        <f t="shared" si="4"/>
        <v>107050</v>
      </c>
      <c r="E25" s="557">
        <f t="shared" si="7"/>
        <v>13450</v>
      </c>
      <c r="F25" s="557">
        <v>2151</v>
      </c>
      <c r="G25" s="557">
        <v>11299</v>
      </c>
      <c r="H25" s="549">
        <f t="shared" si="5"/>
        <v>9814</v>
      </c>
      <c r="I25" s="557">
        <v>9621</v>
      </c>
      <c r="J25" s="557">
        <v>193</v>
      </c>
      <c r="K25" s="557">
        <f t="shared" si="6"/>
        <v>83786</v>
      </c>
      <c r="L25" s="558">
        <v>2634</v>
      </c>
      <c r="M25" s="558">
        <v>17676</v>
      </c>
      <c r="N25" s="558">
        <v>24998</v>
      </c>
      <c r="O25" s="558">
        <v>38478</v>
      </c>
      <c r="P25" s="551"/>
      <c r="Q25" s="556"/>
      <c r="S25" s="556"/>
    </row>
    <row r="26" spans="1:19" x14ac:dyDescent="0.2">
      <c r="A26" s="13">
        <v>17</v>
      </c>
      <c r="B26" s="12" t="s">
        <v>117</v>
      </c>
      <c r="C26" s="9" t="s">
        <v>24</v>
      </c>
      <c r="D26" s="557">
        <f t="shared" si="4"/>
        <v>149716</v>
      </c>
      <c r="E26" s="557">
        <f t="shared" si="7"/>
        <v>17835</v>
      </c>
      <c r="F26" s="557">
        <v>3186</v>
      </c>
      <c r="G26" s="557">
        <v>14649</v>
      </c>
      <c r="H26" s="549">
        <f t="shared" si="5"/>
        <v>14376</v>
      </c>
      <c r="I26" s="557">
        <v>14250</v>
      </c>
      <c r="J26" s="557">
        <v>126</v>
      </c>
      <c r="K26" s="557">
        <f t="shared" si="6"/>
        <v>117505</v>
      </c>
      <c r="L26" s="558">
        <v>3605</v>
      </c>
      <c r="M26" s="558">
        <v>10895</v>
      </c>
      <c r="N26" s="558">
        <v>58327</v>
      </c>
      <c r="O26" s="558">
        <v>44678</v>
      </c>
      <c r="P26" s="551"/>
      <c r="Q26" s="556"/>
      <c r="S26" s="556"/>
    </row>
    <row r="27" spans="1:19" x14ac:dyDescent="0.2">
      <c r="A27" s="35">
        <v>18</v>
      </c>
      <c r="B27" s="12" t="s">
        <v>76</v>
      </c>
      <c r="C27" s="9" t="s">
        <v>7</v>
      </c>
      <c r="D27" s="557">
        <f t="shared" si="4"/>
        <v>275575</v>
      </c>
      <c r="E27" s="557">
        <f t="shared" si="7"/>
        <v>27821</v>
      </c>
      <c r="F27" s="557">
        <v>5810</v>
      </c>
      <c r="G27" s="557">
        <v>22011</v>
      </c>
      <c r="H27" s="549">
        <f t="shared" si="5"/>
        <v>26603</v>
      </c>
      <c r="I27" s="557">
        <v>25983</v>
      </c>
      <c r="J27" s="557">
        <v>620</v>
      </c>
      <c r="K27" s="557">
        <f t="shared" si="6"/>
        <v>221151</v>
      </c>
      <c r="L27" s="558">
        <v>6574</v>
      </c>
      <c r="M27" s="558">
        <v>38875</v>
      </c>
      <c r="N27" s="558">
        <v>80710</v>
      </c>
      <c r="O27" s="558">
        <v>94992</v>
      </c>
      <c r="P27" s="551"/>
      <c r="Q27" s="556"/>
      <c r="S27" s="556"/>
    </row>
    <row r="28" spans="1:19" x14ac:dyDescent="0.2">
      <c r="A28" s="13">
        <v>19</v>
      </c>
      <c r="B28" s="36" t="s">
        <v>118</v>
      </c>
      <c r="C28" s="37" t="s">
        <v>36</v>
      </c>
      <c r="D28" s="557">
        <f t="shared" si="4"/>
        <v>44634</v>
      </c>
      <c r="E28" s="557">
        <f t="shared" si="7"/>
        <v>5576</v>
      </c>
      <c r="F28" s="557">
        <v>925</v>
      </c>
      <c r="G28" s="557">
        <v>4651</v>
      </c>
      <c r="H28" s="549">
        <f t="shared" si="5"/>
        <v>4165</v>
      </c>
      <c r="I28" s="557">
        <v>4135</v>
      </c>
      <c r="J28" s="557">
        <v>30</v>
      </c>
      <c r="K28" s="557">
        <f t="shared" si="6"/>
        <v>34893</v>
      </c>
      <c r="L28" s="558">
        <v>1046</v>
      </c>
      <c r="M28" s="558">
        <v>11340</v>
      </c>
      <c r="N28" s="558">
        <v>11756</v>
      </c>
      <c r="O28" s="558">
        <v>10751</v>
      </c>
      <c r="P28" s="551"/>
      <c r="Q28" s="556"/>
      <c r="S28" s="556"/>
    </row>
    <row r="29" spans="1:19" x14ac:dyDescent="0.2">
      <c r="A29" s="35">
        <v>20</v>
      </c>
      <c r="B29" s="36" t="s">
        <v>119</v>
      </c>
      <c r="C29" s="37" t="s">
        <v>41</v>
      </c>
      <c r="D29" s="557">
        <f t="shared" si="4"/>
        <v>38602</v>
      </c>
      <c r="E29" s="557">
        <f t="shared" si="7"/>
        <v>4011</v>
      </c>
      <c r="F29" s="557">
        <v>876</v>
      </c>
      <c r="G29" s="557">
        <v>3135</v>
      </c>
      <c r="H29" s="549">
        <f t="shared" si="5"/>
        <v>4105</v>
      </c>
      <c r="I29" s="557">
        <v>3920</v>
      </c>
      <c r="J29" s="557">
        <v>185</v>
      </c>
      <c r="K29" s="557">
        <f t="shared" si="6"/>
        <v>30486</v>
      </c>
      <c r="L29" s="558">
        <v>992</v>
      </c>
      <c r="M29" s="558">
        <v>4476</v>
      </c>
      <c r="N29" s="558">
        <v>9907</v>
      </c>
      <c r="O29" s="558">
        <v>15111</v>
      </c>
      <c r="P29" s="551"/>
      <c r="Q29" s="556"/>
      <c r="S29" s="556"/>
    </row>
    <row r="30" spans="1:19" x14ac:dyDescent="0.2">
      <c r="A30" s="13">
        <v>21</v>
      </c>
      <c r="B30" s="36" t="s">
        <v>120</v>
      </c>
      <c r="C30" s="37" t="s">
        <v>8</v>
      </c>
      <c r="D30" s="557">
        <f t="shared" si="4"/>
        <v>178815</v>
      </c>
      <c r="E30" s="557">
        <f t="shared" si="7"/>
        <v>20327</v>
      </c>
      <c r="F30" s="557">
        <v>3884</v>
      </c>
      <c r="G30" s="557">
        <v>16443</v>
      </c>
      <c r="H30" s="549">
        <f t="shared" si="5"/>
        <v>17576</v>
      </c>
      <c r="I30" s="557">
        <v>17370</v>
      </c>
      <c r="J30" s="557">
        <v>206</v>
      </c>
      <c r="K30" s="557">
        <f t="shared" si="6"/>
        <v>140912</v>
      </c>
      <c r="L30" s="558">
        <v>4595</v>
      </c>
      <c r="M30" s="558">
        <v>28263</v>
      </c>
      <c r="N30" s="558">
        <v>57631</v>
      </c>
      <c r="O30" s="558">
        <v>50423</v>
      </c>
      <c r="P30" s="551"/>
      <c r="Q30" s="556"/>
      <c r="S30" s="556"/>
    </row>
    <row r="31" spans="1:19" x14ac:dyDescent="0.2">
      <c r="A31" s="35">
        <v>22</v>
      </c>
      <c r="B31" s="36" t="s">
        <v>77</v>
      </c>
      <c r="C31" s="37" t="s">
        <v>9</v>
      </c>
      <c r="D31" s="557">
        <f t="shared" si="4"/>
        <v>159722</v>
      </c>
      <c r="E31" s="557">
        <f t="shared" si="7"/>
        <v>16852</v>
      </c>
      <c r="F31" s="557">
        <v>3250</v>
      </c>
      <c r="G31" s="557">
        <v>13602</v>
      </c>
      <c r="H31" s="549">
        <f t="shared" si="5"/>
        <v>14703</v>
      </c>
      <c r="I31" s="557">
        <v>14535</v>
      </c>
      <c r="J31" s="557">
        <v>168</v>
      </c>
      <c r="K31" s="557">
        <f t="shared" si="6"/>
        <v>128167</v>
      </c>
      <c r="L31" s="558">
        <v>3877</v>
      </c>
      <c r="M31" s="558">
        <v>19346</v>
      </c>
      <c r="N31" s="558">
        <v>61207</v>
      </c>
      <c r="O31" s="558">
        <v>43737</v>
      </c>
      <c r="P31" s="551"/>
      <c r="Q31" s="556"/>
      <c r="S31" s="556"/>
    </row>
    <row r="32" spans="1:19" x14ac:dyDescent="0.2">
      <c r="A32" s="13">
        <v>23</v>
      </c>
      <c r="B32" s="12" t="s">
        <v>78</v>
      </c>
      <c r="C32" s="9" t="s">
        <v>79</v>
      </c>
      <c r="D32" s="557">
        <f t="shared" si="4"/>
        <v>43226</v>
      </c>
      <c r="E32" s="557">
        <f t="shared" si="7"/>
        <v>3669</v>
      </c>
      <c r="F32" s="557">
        <v>887</v>
      </c>
      <c r="G32" s="557">
        <v>2782</v>
      </c>
      <c r="H32" s="549">
        <f t="shared" si="5"/>
        <v>4010</v>
      </c>
      <c r="I32" s="557">
        <v>3966</v>
      </c>
      <c r="J32" s="557">
        <v>44</v>
      </c>
      <c r="K32" s="557">
        <f t="shared" si="6"/>
        <v>35547</v>
      </c>
      <c r="L32" s="558">
        <v>1003</v>
      </c>
      <c r="M32" s="558">
        <v>5393</v>
      </c>
      <c r="N32" s="558">
        <v>17253</v>
      </c>
      <c r="O32" s="558">
        <v>11898</v>
      </c>
      <c r="P32" s="551"/>
      <c r="Q32" s="556"/>
      <c r="S32" s="556"/>
    </row>
    <row r="33" spans="1:19" x14ac:dyDescent="0.2">
      <c r="A33" s="35">
        <v>24</v>
      </c>
      <c r="B33" s="12" t="s">
        <v>178</v>
      </c>
      <c r="C33" s="9" t="s">
        <v>179</v>
      </c>
      <c r="D33" s="557">
        <f t="shared" si="4"/>
        <v>0</v>
      </c>
      <c r="E33" s="557">
        <f t="shared" si="7"/>
        <v>0</v>
      </c>
      <c r="F33" s="557">
        <v>0</v>
      </c>
      <c r="G33" s="557">
        <v>0</v>
      </c>
      <c r="H33" s="549">
        <f t="shared" si="5"/>
        <v>0</v>
      </c>
      <c r="I33" s="557">
        <v>0</v>
      </c>
      <c r="J33" s="557">
        <v>0</v>
      </c>
      <c r="K33" s="557">
        <f t="shared" si="6"/>
        <v>0</v>
      </c>
      <c r="L33" s="558">
        <v>0</v>
      </c>
      <c r="M33" s="558">
        <v>0</v>
      </c>
      <c r="N33" s="558">
        <v>0</v>
      </c>
      <c r="O33" s="558">
        <v>0</v>
      </c>
      <c r="P33" s="551"/>
      <c r="Q33" s="556"/>
      <c r="S33" s="556"/>
    </row>
    <row r="34" spans="1:19" ht="24" x14ac:dyDescent="0.2">
      <c r="A34" s="13">
        <v>25</v>
      </c>
      <c r="B34" s="12" t="s">
        <v>180</v>
      </c>
      <c r="C34" s="9" t="s">
        <v>181</v>
      </c>
      <c r="D34" s="557">
        <f t="shared" si="4"/>
        <v>0</v>
      </c>
      <c r="E34" s="557">
        <f t="shared" si="7"/>
        <v>0</v>
      </c>
      <c r="F34" s="557">
        <v>0</v>
      </c>
      <c r="G34" s="557">
        <v>0</v>
      </c>
      <c r="H34" s="549">
        <f t="shared" si="5"/>
        <v>0</v>
      </c>
      <c r="I34" s="557">
        <v>0</v>
      </c>
      <c r="J34" s="557">
        <v>0</v>
      </c>
      <c r="K34" s="557">
        <f t="shared" si="6"/>
        <v>0</v>
      </c>
      <c r="L34" s="558">
        <v>0</v>
      </c>
      <c r="M34" s="558">
        <v>0</v>
      </c>
      <c r="N34" s="558">
        <v>0</v>
      </c>
      <c r="O34" s="558">
        <v>0</v>
      </c>
      <c r="P34" s="551"/>
      <c r="Q34" s="556"/>
      <c r="S34" s="556"/>
    </row>
    <row r="35" spans="1:19" x14ac:dyDescent="0.2">
      <c r="A35" s="35">
        <v>26</v>
      </c>
      <c r="B35" s="36" t="s">
        <v>123</v>
      </c>
      <c r="C35" s="40" t="s">
        <v>124</v>
      </c>
      <c r="D35" s="557">
        <f t="shared" si="4"/>
        <v>230374</v>
      </c>
      <c r="E35" s="557">
        <f t="shared" si="7"/>
        <v>8397</v>
      </c>
      <c r="F35" s="557">
        <v>8397</v>
      </c>
      <c r="G35" s="557">
        <v>0</v>
      </c>
      <c r="H35" s="549">
        <f t="shared" si="5"/>
        <v>37554</v>
      </c>
      <c r="I35" s="557">
        <v>37554</v>
      </c>
      <c r="J35" s="557">
        <v>0</v>
      </c>
      <c r="K35" s="557">
        <f t="shared" si="6"/>
        <v>184423</v>
      </c>
      <c r="L35" s="558">
        <v>9801</v>
      </c>
      <c r="M35" s="558">
        <v>51688</v>
      </c>
      <c r="N35" s="558">
        <v>65412</v>
      </c>
      <c r="O35" s="558">
        <v>57522</v>
      </c>
      <c r="P35" s="551"/>
      <c r="Q35" s="556"/>
      <c r="S35" s="556"/>
    </row>
    <row r="36" spans="1:19" x14ac:dyDescent="0.2">
      <c r="A36" s="13">
        <v>27</v>
      </c>
      <c r="B36" s="12" t="s">
        <v>121</v>
      </c>
      <c r="C36" s="9" t="s">
        <v>122</v>
      </c>
      <c r="D36" s="557">
        <f t="shared" si="4"/>
        <v>318458</v>
      </c>
      <c r="E36" s="557">
        <f t="shared" si="7"/>
        <v>32105</v>
      </c>
      <c r="F36" s="557">
        <v>8085</v>
      </c>
      <c r="G36" s="557">
        <v>24020</v>
      </c>
      <c r="H36" s="549">
        <f t="shared" si="5"/>
        <v>36236</v>
      </c>
      <c r="I36" s="557">
        <v>36158</v>
      </c>
      <c r="J36" s="557">
        <v>78</v>
      </c>
      <c r="K36" s="557">
        <f t="shared" si="6"/>
        <v>250117</v>
      </c>
      <c r="L36" s="558">
        <v>9348</v>
      </c>
      <c r="M36" s="558">
        <f>26000+8610</f>
        <v>34610</v>
      </c>
      <c r="N36" s="558">
        <v>106111</v>
      </c>
      <c r="O36" s="558">
        <f>108658-8610</f>
        <v>100048</v>
      </c>
      <c r="P36" s="551"/>
      <c r="Q36" s="556"/>
      <c r="S36" s="556"/>
    </row>
    <row r="37" spans="1:19" x14ac:dyDescent="0.2">
      <c r="A37" s="35">
        <v>28</v>
      </c>
      <c r="B37" s="12" t="s">
        <v>182</v>
      </c>
      <c r="C37" s="9" t="s">
        <v>183</v>
      </c>
      <c r="D37" s="557">
        <f t="shared" si="4"/>
        <v>211837</v>
      </c>
      <c r="E37" s="557">
        <f t="shared" si="7"/>
        <v>42605</v>
      </c>
      <c r="F37" s="557">
        <v>0</v>
      </c>
      <c r="G37" s="557">
        <v>42605</v>
      </c>
      <c r="H37" s="549">
        <f t="shared" si="5"/>
        <v>275</v>
      </c>
      <c r="I37" s="557">
        <v>0</v>
      </c>
      <c r="J37" s="557">
        <v>275</v>
      </c>
      <c r="K37" s="557">
        <f t="shared" si="6"/>
        <v>168957</v>
      </c>
      <c r="L37" s="558">
        <v>0</v>
      </c>
      <c r="M37" s="558">
        <v>6831</v>
      </c>
      <c r="N37" s="558">
        <v>57001</v>
      </c>
      <c r="O37" s="558">
        <v>105125</v>
      </c>
      <c r="P37" s="551"/>
      <c r="Q37" s="556"/>
      <c r="S37" s="556"/>
    </row>
    <row r="38" spans="1:19" x14ac:dyDescent="0.2">
      <c r="A38" s="13">
        <v>29</v>
      </c>
      <c r="B38" s="38" t="s">
        <v>184</v>
      </c>
      <c r="C38" s="40" t="s">
        <v>65</v>
      </c>
      <c r="D38" s="557">
        <f t="shared" si="4"/>
        <v>13320</v>
      </c>
      <c r="E38" s="557">
        <f t="shared" si="7"/>
        <v>0</v>
      </c>
      <c r="F38" s="557">
        <v>0</v>
      </c>
      <c r="G38" s="557">
        <v>0</v>
      </c>
      <c r="H38" s="549">
        <f t="shared" si="5"/>
        <v>0</v>
      </c>
      <c r="I38" s="557">
        <v>0</v>
      </c>
      <c r="J38" s="557">
        <v>0</v>
      </c>
      <c r="K38" s="557">
        <f t="shared" si="6"/>
        <v>13320</v>
      </c>
      <c r="L38" s="558">
        <v>0</v>
      </c>
      <c r="M38" s="558">
        <v>0</v>
      </c>
      <c r="N38" s="558">
        <v>13320</v>
      </c>
      <c r="O38" s="558">
        <v>0</v>
      </c>
      <c r="P38" s="551"/>
      <c r="Q38" s="556"/>
      <c r="S38" s="556"/>
    </row>
    <row r="39" spans="1:19" ht="24" x14ac:dyDescent="0.2">
      <c r="A39" s="35">
        <v>30</v>
      </c>
      <c r="B39" s="36" t="s">
        <v>80</v>
      </c>
      <c r="C39" s="37" t="s">
        <v>81</v>
      </c>
      <c r="D39" s="557">
        <f t="shared" si="4"/>
        <v>0</v>
      </c>
      <c r="E39" s="557">
        <f t="shared" si="7"/>
        <v>0</v>
      </c>
      <c r="F39" s="557">
        <v>0</v>
      </c>
      <c r="G39" s="557">
        <v>0</v>
      </c>
      <c r="H39" s="549">
        <f t="shared" si="5"/>
        <v>0</v>
      </c>
      <c r="I39" s="557">
        <v>0</v>
      </c>
      <c r="J39" s="557">
        <v>0</v>
      </c>
      <c r="K39" s="557">
        <f t="shared" si="6"/>
        <v>0</v>
      </c>
      <c r="L39" s="558">
        <v>0</v>
      </c>
      <c r="M39" s="558">
        <v>0</v>
      </c>
      <c r="N39" s="558">
        <v>0</v>
      </c>
      <c r="O39" s="558">
        <v>0</v>
      </c>
      <c r="P39" s="551"/>
      <c r="Q39" s="556"/>
      <c r="S39" s="556"/>
    </row>
    <row r="40" spans="1:19" x14ac:dyDescent="0.2">
      <c r="A40" s="13">
        <v>31</v>
      </c>
      <c r="B40" s="12" t="s">
        <v>131</v>
      </c>
      <c r="C40" s="9" t="s">
        <v>185</v>
      </c>
      <c r="D40" s="557">
        <f t="shared" si="4"/>
        <v>14103</v>
      </c>
      <c r="E40" s="557">
        <f t="shared" si="7"/>
        <v>574</v>
      </c>
      <c r="F40" s="557">
        <v>574</v>
      </c>
      <c r="G40" s="557">
        <v>0</v>
      </c>
      <c r="H40" s="549">
        <f t="shared" si="5"/>
        <v>2565</v>
      </c>
      <c r="I40" s="557">
        <v>2565</v>
      </c>
      <c r="J40" s="557">
        <v>0</v>
      </c>
      <c r="K40" s="557">
        <f t="shared" si="6"/>
        <v>10964</v>
      </c>
      <c r="L40" s="558">
        <v>649</v>
      </c>
      <c r="M40" s="558">
        <v>2100</v>
      </c>
      <c r="N40" s="558">
        <v>6911</v>
      </c>
      <c r="O40" s="558">
        <v>1304</v>
      </c>
      <c r="P40" s="551"/>
      <c r="Q40" s="556"/>
      <c r="S40" s="556"/>
    </row>
    <row r="41" spans="1:19" x14ac:dyDescent="0.2">
      <c r="A41" s="35">
        <v>32</v>
      </c>
      <c r="B41" s="38" t="s">
        <v>82</v>
      </c>
      <c r="C41" s="37" t="s">
        <v>10</v>
      </c>
      <c r="D41" s="557">
        <f t="shared" si="4"/>
        <v>223769</v>
      </c>
      <c r="E41" s="557">
        <f t="shared" si="7"/>
        <v>21558</v>
      </c>
      <c r="F41" s="557">
        <v>4960</v>
      </c>
      <c r="G41" s="557">
        <v>16598</v>
      </c>
      <c r="H41" s="549">
        <f t="shared" si="5"/>
        <v>22449</v>
      </c>
      <c r="I41" s="557">
        <v>22183</v>
      </c>
      <c r="J41" s="557">
        <v>266</v>
      </c>
      <c r="K41" s="557">
        <f t="shared" si="6"/>
        <v>179762</v>
      </c>
      <c r="L41" s="558">
        <v>5612</v>
      </c>
      <c r="M41" s="558">
        <v>30164</v>
      </c>
      <c r="N41" s="558">
        <v>74396</v>
      </c>
      <c r="O41" s="558">
        <v>69590</v>
      </c>
      <c r="P41" s="551"/>
      <c r="Q41" s="556"/>
      <c r="S41" s="556"/>
    </row>
    <row r="42" spans="1:19" x14ac:dyDescent="0.2">
      <c r="A42" s="13">
        <v>33</v>
      </c>
      <c r="B42" s="39" t="s">
        <v>83</v>
      </c>
      <c r="C42" s="40" t="s">
        <v>11</v>
      </c>
      <c r="D42" s="557">
        <f t="shared" si="4"/>
        <v>319454</v>
      </c>
      <c r="E42" s="557">
        <f t="shared" si="7"/>
        <v>32450</v>
      </c>
      <c r="F42" s="557">
        <v>6927</v>
      </c>
      <c r="G42" s="557">
        <v>25523</v>
      </c>
      <c r="H42" s="549">
        <f t="shared" si="5"/>
        <v>31271</v>
      </c>
      <c r="I42" s="557">
        <v>30980</v>
      </c>
      <c r="J42" s="557">
        <v>291</v>
      </c>
      <c r="K42" s="557">
        <f t="shared" si="6"/>
        <v>255733</v>
      </c>
      <c r="L42" s="558">
        <v>7838</v>
      </c>
      <c r="M42" s="558">
        <v>44735</v>
      </c>
      <c r="N42" s="558">
        <f>100063+6000</f>
        <v>106063</v>
      </c>
      <c r="O42" s="558">
        <f>103097-6000</f>
        <v>97097</v>
      </c>
      <c r="P42" s="551"/>
      <c r="Q42" s="556"/>
      <c r="S42" s="556"/>
    </row>
    <row r="43" spans="1:19" x14ac:dyDescent="0.2">
      <c r="A43" s="35">
        <v>34</v>
      </c>
      <c r="B43" s="38" t="s">
        <v>125</v>
      </c>
      <c r="C43" s="37" t="s">
        <v>43</v>
      </c>
      <c r="D43" s="557">
        <f t="shared" si="4"/>
        <v>63811</v>
      </c>
      <c r="E43" s="557">
        <f t="shared" si="7"/>
        <v>6914</v>
      </c>
      <c r="F43" s="557">
        <v>1436</v>
      </c>
      <c r="G43" s="557">
        <v>5478</v>
      </c>
      <c r="H43" s="549">
        <f t="shared" si="5"/>
        <v>6450</v>
      </c>
      <c r="I43" s="557">
        <v>6420</v>
      </c>
      <c r="J43" s="557">
        <v>30</v>
      </c>
      <c r="K43" s="557">
        <f t="shared" si="6"/>
        <v>50447</v>
      </c>
      <c r="L43" s="558">
        <v>1624</v>
      </c>
      <c r="M43" s="558">
        <v>8479</v>
      </c>
      <c r="N43" s="558">
        <v>20615</v>
      </c>
      <c r="O43" s="558">
        <v>19729</v>
      </c>
      <c r="P43" s="551"/>
      <c r="Q43" s="556"/>
      <c r="S43" s="556"/>
    </row>
    <row r="44" spans="1:19" x14ac:dyDescent="0.2">
      <c r="A44" s="13">
        <v>35</v>
      </c>
      <c r="B44" s="12" t="s">
        <v>84</v>
      </c>
      <c r="C44" s="9" t="s">
        <v>12</v>
      </c>
      <c r="D44" s="557">
        <f t="shared" si="4"/>
        <v>216006</v>
      </c>
      <c r="E44" s="557">
        <f t="shared" si="7"/>
        <v>22594</v>
      </c>
      <c r="F44" s="557">
        <v>4769</v>
      </c>
      <c r="G44" s="557">
        <v>17825</v>
      </c>
      <c r="H44" s="549">
        <f t="shared" si="5"/>
        <v>21619</v>
      </c>
      <c r="I44" s="557">
        <v>21325</v>
      </c>
      <c r="J44" s="557">
        <v>294</v>
      </c>
      <c r="K44" s="557">
        <f t="shared" si="6"/>
        <v>171793</v>
      </c>
      <c r="L44" s="558">
        <v>5395</v>
      </c>
      <c r="M44" s="558">
        <v>28669</v>
      </c>
      <c r="N44" s="558">
        <v>74428</v>
      </c>
      <c r="O44" s="558">
        <v>63301</v>
      </c>
      <c r="P44" s="551"/>
      <c r="Q44" s="556"/>
      <c r="S44" s="556"/>
    </row>
    <row r="45" spans="1:19" x14ac:dyDescent="0.2">
      <c r="A45" s="35">
        <v>36</v>
      </c>
      <c r="B45" s="38" t="s">
        <v>85</v>
      </c>
      <c r="C45" s="37" t="s">
        <v>49</v>
      </c>
      <c r="D45" s="557">
        <f t="shared" si="4"/>
        <v>80206</v>
      </c>
      <c r="E45" s="557">
        <f t="shared" si="7"/>
        <v>8835</v>
      </c>
      <c r="F45" s="557">
        <v>1838</v>
      </c>
      <c r="G45" s="557">
        <v>6997</v>
      </c>
      <c r="H45" s="549">
        <f t="shared" si="5"/>
        <v>8304</v>
      </c>
      <c r="I45" s="557">
        <v>8219</v>
      </c>
      <c r="J45" s="557">
        <v>85</v>
      </c>
      <c r="K45" s="557">
        <f t="shared" si="6"/>
        <v>63067</v>
      </c>
      <c r="L45" s="558">
        <v>2079</v>
      </c>
      <c r="M45" s="558">
        <v>24046</v>
      </c>
      <c r="N45" s="558">
        <v>26408</v>
      </c>
      <c r="O45" s="558">
        <v>10534</v>
      </c>
      <c r="P45" s="551"/>
      <c r="Q45" s="556"/>
      <c r="S45" s="556"/>
    </row>
    <row r="46" spans="1:19" x14ac:dyDescent="0.2">
      <c r="A46" s="13">
        <v>37</v>
      </c>
      <c r="B46" s="36" t="s">
        <v>126</v>
      </c>
      <c r="C46" s="37" t="s">
        <v>25</v>
      </c>
      <c r="D46" s="557">
        <f t="shared" si="4"/>
        <v>206929</v>
      </c>
      <c r="E46" s="557">
        <f t="shared" si="7"/>
        <v>21419</v>
      </c>
      <c r="F46" s="557">
        <v>4719</v>
      </c>
      <c r="G46" s="557">
        <v>16700</v>
      </c>
      <c r="H46" s="549">
        <f t="shared" si="5"/>
        <v>21429</v>
      </c>
      <c r="I46" s="557">
        <v>21104</v>
      </c>
      <c r="J46" s="557">
        <v>325</v>
      </c>
      <c r="K46" s="557">
        <f t="shared" si="6"/>
        <v>164081</v>
      </c>
      <c r="L46" s="558">
        <v>5339</v>
      </c>
      <c r="M46" s="558">
        <v>26524</v>
      </c>
      <c r="N46" s="558">
        <v>87089</v>
      </c>
      <c r="O46" s="558">
        <v>45129</v>
      </c>
      <c r="P46" s="551"/>
      <c r="Q46" s="556"/>
      <c r="S46" s="556"/>
    </row>
    <row r="47" spans="1:19" x14ac:dyDescent="0.2">
      <c r="A47" s="35">
        <v>38</v>
      </c>
      <c r="B47" s="41" t="s">
        <v>127</v>
      </c>
      <c r="C47" s="42" t="s">
        <v>54</v>
      </c>
      <c r="D47" s="557">
        <f t="shared" si="4"/>
        <v>73723</v>
      </c>
      <c r="E47" s="557">
        <f t="shared" si="7"/>
        <v>7293</v>
      </c>
      <c r="F47" s="557">
        <v>1739</v>
      </c>
      <c r="G47" s="557">
        <v>5554</v>
      </c>
      <c r="H47" s="549">
        <f t="shared" si="5"/>
        <v>7819</v>
      </c>
      <c r="I47" s="557">
        <v>7776</v>
      </c>
      <c r="J47" s="557">
        <v>43</v>
      </c>
      <c r="K47" s="557">
        <f t="shared" si="6"/>
        <v>58611</v>
      </c>
      <c r="L47" s="558">
        <v>1967</v>
      </c>
      <c r="M47" s="558">
        <v>5435</v>
      </c>
      <c r="N47" s="558">
        <v>24224</v>
      </c>
      <c r="O47" s="558">
        <v>26985</v>
      </c>
      <c r="P47" s="551"/>
      <c r="Q47" s="556"/>
      <c r="S47" s="556"/>
    </row>
    <row r="48" spans="1:19" x14ac:dyDescent="0.2">
      <c r="A48" s="13">
        <v>39</v>
      </c>
      <c r="B48" s="36" t="s">
        <v>86</v>
      </c>
      <c r="C48" s="37" t="s">
        <v>57</v>
      </c>
      <c r="D48" s="557">
        <f t="shared" si="4"/>
        <v>45715</v>
      </c>
      <c r="E48" s="557">
        <f t="shared" si="7"/>
        <v>4343</v>
      </c>
      <c r="F48" s="557">
        <v>1119</v>
      </c>
      <c r="G48" s="557">
        <v>3224</v>
      </c>
      <c r="H48" s="549">
        <f t="shared" si="5"/>
        <v>5145</v>
      </c>
      <c r="I48" s="557">
        <v>5005</v>
      </c>
      <c r="J48" s="557">
        <v>140</v>
      </c>
      <c r="K48" s="557">
        <f t="shared" si="6"/>
        <v>36227</v>
      </c>
      <c r="L48" s="558">
        <v>1266</v>
      </c>
      <c r="M48" s="558">
        <v>6592</v>
      </c>
      <c r="N48" s="558">
        <v>15391</v>
      </c>
      <c r="O48" s="558">
        <v>12978</v>
      </c>
      <c r="P48" s="551"/>
      <c r="Q48" s="556"/>
      <c r="S48" s="556"/>
    </row>
    <row r="49" spans="1:19" x14ac:dyDescent="0.2">
      <c r="A49" s="35">
        <v>40</v>
      </c>
      <c r="B49" s="39" t="s">
        <v>87</v>
      </c>
      <c r="C49" s="40" t="s">
        <v>58</v>
      </c>
      <c r="D49" s="557">
        <f t="shared" si="4"/>
        <v>77113</v>
      </c>
      <c r="E49" s="557">
        <f t="shared" si="7"/>
        <v>8249</v>
      </c>
      <c r="F49" s="557">
        <v>1794</v>
      </c>
      <c r="G49" s="557">
        <v>6455</v>
      </c>
      <c r="H49" s="549">
        <f t="shared" si="5"/>
        <v>8122</v>
      </c>
      <c r="I49" s="557">
        <v>8023</v>
      </c>
      <c r="J49" s="557">
        <v>99</v>
      </c>
      <c r="K49" s="557">
        <f t="shared" si="6"/>
        <v>60742</v>
      </c>
      <c r="L49" s="558">
        <v>2230</v>
      </c>
      <c r="M49" s="558">
        <v>17290</v>
      </c>
      <c r="N49" s="558">
        <v>20491</v>
      </c>
      <c r="O49" s="558">
        <v>20731</v>
      </c>
      <c r="P49" s="551"/>
      <c r="Q49" s="556"/>
      <c r="S49" s="556"/>
    </row>
    <row r="50" spans="1:19" x14ac:dyDescent="0.2">
      <c r="A50" s="13">
        <v>41</v>
      </c>
      <c r="B50" s="12" t="s">
        <v>128</v>
      </c>
      <c r="C50" s="9" t="s">
        <v>59</v>
      </c>
      <c r="D50" s="557">
        <f t="shared" si="4"/>
        <v>38797</v>
      </c>
      <c r="E50" s="557">
        <f t="shared" si="7"/>
        <v>3772</v>
      </c>
      <c r="F50" s="557">
        <v>917</v>
      </c>
      <c r="G50" s="557">
        <v>2855</v>
      </c>
      <c r="H50" s="549">
        <f t="shared" si="5"/>
        <v>4172</v>
      </c>
      <c r="I50" s="557">
        <v>4103</v>
      </c>
      <c r="J50" s="557">
        <v>69</v>
      </c>
      <c r="K50" s="557">
        <f t="shared" si="6"/>
        <v>30853</v>
      </c>
      <c r="L50" s="558">
        <v>1038</v>
      </c>
      <c r="M50" s="558">
        <v>5732</v>
      </c>
      <c r="N50" s="558">
        <v>11767</v>
      </c>
      <c r="O50" s="558">
        <v>12316</v>
      </c>
      <c r="P50" s="551"/>
      <c r="Q50" s="556"/>
      <c r="S50" s="556"/>
    </row>
    <row r="51" spans="1:19" x14ac:dyDescent="0.2">
      <c r="A51" s="35">
        <v>42</v>
      </c>
      <c r="B51" s="38" t="s">
        <v>129</v>
      </c>
      <c r="C51" s="37" t="s">
        <v>130</v>
      </c>
      <c r="D51" s="557">
        <f t="shared" si="4"/>
        <v>30778</v>
      </c>
      <c r="E51" s="557">
        <f t="shared" si="7"/>
        <v>1272</v>
      </c>
      <c r="F51" s="557">
        <v>1272</v>
      </c>
      <c r="G51" s="557">
        <v>0</v>
      </c>
      <c r="H51" s="549">
        <f t="shared" si="5"/>
        <v>5689</v>
      </c>
      <c r="I51" s="557">
        <v>5689</v>
      </c>
      <c r="J51" s="557">
        <v>0</v>
      </c>
      <c r="K51" s="557">
        <f t="shared" si="6"/>
        <v>23817</v>
      </c>
      <c r="L51" s="558">
        <v>1439</v>
      </c>
      <c r="M51" s="558">
        <v>8600</v>
      </c>
      <c r="N51" s="558">
        <v>11079</v>
      </c>
      <c r="O51" s="558">
        <v>2699</v>
      </c>
      <c r="P51" s="551"/>
      <c r="Q51" s="556"/>
      <c r="S51" s="556"/>
    </row>
    <row r="52" spans="1:19" x14ac:dyDescent="0.2">
      <c r="A52" s="13">
        <v>43</v>
      </c>
      <c r="B52" s="12" t="s">
        <v>88</v>
      </c>
      <c r="C52" s="9" t="s">
        <v>13</v>
      </c>
      <c r="D52" s="557">
        <f t="shared" si="4"/>
        <v>294774</v>
      </c>
      <c r="E52" s="557">
        <f t="shared" si="7"/>
        <v>28921</v>
      </c>
      <c r="F52" s="557">
        <v>6090</v>
      </c>
      <c r="G52" s="557">
        <v>22831</v>
      </c>
      <c r="H52" s="549">
        <f t="shared" si="5"/>
        <v>27596</v>
      </c>
      <c r="I52" s="557">
        <v>27235</v>
      </c>
      <c r="J52" s="557">
        <v>361</v>
      </c>
      <c r="K52" s="557">
        <f t="shared" si="6"/>
        <v>238257</v>
      </c>
      <c r="L52" s="558">
        <v>6890</v>
      </c>
      <c r="M52" s="558">
        <v>46086</v>
      </c>
      <c r="N52" s="558">
        <v>88407</v>
      </c>
      <c r="O52" s="558">
        <v>96874</v>
      </c>
      <c r="P52" s="551"/>
      <c r="Q52" s="556"/>
      <c r="S52" s="556"/>
    </row>
    <row r="53" spans="1:19" x14ac:dyDescent="0.2">
      <c r="A53" s="35">
        <v>44</v>
      </c>
      <c r="B53" s="36" t="s">
        <v>132</v>
      </c>
      <c r="C53" s="37" t="s">
        <v>30</v>
      </c>
      <c r="D53" s="557">
        <f t="shared" si="4"/>
        <v>66247</v>
      </c>
      <c r="E53" s="557">
        <f t="shared" si="7"/>
        <v>6910</v>
      </c>
      <c r="F53" s="557">
        <v>1520</v>
      </c>
      <c r="G53" s="557">
        <v>5390</v>
      </c>
      <c r="H53" s="549">
        <f t="shared" si="5"/>
        <v>6911</v>
      </c>
      <c r="I53" s="557">
        <v>6796</v>
      </c>
      <c r="J53" s="557">
        <v>115</v>
      </c>
      <c r="K53" s="557">
        <f t="shared" si="6"/>
        <v>52426</v>
      </c>
      <c r="L53" s="558">
        <v>1819</v>
      </c>
      <c r="M53" s="558">
        <v>14547</v>
      </c>
      <c r="N53" s="558">
        <v>24477</v>
      </c>
      <c r="O53" s="558">
        <v>11583</v>
      </c>
      <c r="P53" s="551"/>
      <c r="Q53" s="556"/>
      <c r="S53" s="556"/>
    </row>
    <row r="54" spans="1:19" x14ac:dyDescent="0.2">
      <c r="A54" s="13">
        <v>45</v>
      </c>
      <c r="B54" s="36" t="s">
        <v>133</v>
      </c>
      <c r="C54" s="37" t="s">
        <v>14</v>
      </c>
      <c r="D54" s="557">
        <f t="shared" si="4"/>
        <v>226036</v>
      </c>
      <c r="E54" s="557">
        <f t="shared" si="7"/>
        <v>22859</v>
      </c>
      <c r="F54" s="557">
        <v>5206</v>
      </c>
      <c r="G54" s="557">
        <v>17653</v>
      </c>
      <c r="H54" s="549">
        <f t="shared" si="5"/>
        <v>23438</v>
      </c>
      <c r="I54" s="557">
        <v>23279</v>
      </c>
      <c r="J54" s="557">
        <v>159</v>
      </c>
      <c r="K54" s="557">
        <f t="shared" si="6"/>
        <v>179739</v>
      </c>
      <c r="L54" s="558">
        <v>5890</v>
      </c>
      <c r="M54" s="558">
        <v>41405</v>
      </c>
      <c r="N54" s="558">
        <v>80119</v>
      </c>
      <c r="O54" s="558">
        <v>52325</v>
      </c>
      <c r="P54" s="551"/>
      <c r="Q54" s="556"/>
      <c r="S54" s="556"/>
    </row>
    <row r="55" spans="1:19" x14ac:dyDescent="0.2">
      <c r="A55" s="35">
        <v>46</v>
      </c>
      <c r="B55" s="12" t="s">
        <v>134</v>
      </c>
      <c r="C55" s="9" t="s">
        <v>33</v>
      </c>
      <c r="D55" s="557">
        <f t="shared" si="4"/>
        <v>54208</v>
      </c>
      <c r="E55" s="557">
        <f t="shared" si="7"/>
        <v>5576</v>
      </c>
      <c r="F55" s="557">
        <v>1238</v>
      </c>
      <c r="G55" s="557">
        <v>4338</v>
      </c>
      <c r="H55" s="549">
        <f t="shared" si="5"/>
        <v>5701</v>
      </c>
      <c r="I55" s="557">
        <v>5536</v>
      </c>
      <c r="J55" s="557">
        <v>165</v>
      </c>
      <c r="K55" s="557">
        <f t="shared" si="6"/>
        <v>42931</v>
      </c>
      <c r="L55" s="558">
        <v>1401</v>
      </c>
      <c r="M55" s="558">
        <v>7393</v>
      </c>
      <c r="N55" s="558">
        <v>17604</v>
      </c>
      <c r="O55" s="558">
        <v>16533</v>
      </c>
      <c r="P55" s="551"/>
      <c r="Q55" s="556"/>
      <c r="S55" s="556"/>
    </row>
    <row r="56" spans="1:19" x14ac:dyDescent="0.2">
      <c r="A56" s="13">
        <v>47</v>
      </c>
      <c r="B56" s="12" t="s">
        <v>89</v>
      </c>
      <c r="C56" s="9" t="s">
        <v>38</v>
      </c>
      <c r="D56" s="557">
        <f t="shared" si="4"/>
        <v>76158</v>
      </c>
      <c r="E56" s="557">
        <f t="shared" si="7"/>
        <v>7330</v>
      </c>
      <c r="F56" s="557">
        <v>1859</v>
      </c>
      <c r="G56" s="557">
        <v>5471</v>
      </c>
      <c r="H56" s="549">
        <f t="shared" si="5"/>
        <v>8423</v>
      </c>
      <c r="I56" s="557">
        <v>8313</v>
      </c>
      <c r="J56" s="557">
        <v>110</v>
      </c>
      <c r="K56" s="557">
        <f t="shared" si="6"/>
        <v>60405</v>
      </c>
      <c r="L56" s="558">
        <v>2303</v>
      </c>
      <c r="M56" s="558">
        <v>8035</v>
      </c>
      <c r="N56" s="558">
        <v>26535</v>
      </c>
      <c r="O56" s="558">
        <v>23532</v>
      </c>
      <c r="P56" s="551"/>
      <c r="Q56" s="556"/>
      <c r="S56" s="556"/>
    </row>
    <row r="57" spans="1:19" x14ac:dyDescent="0.2">
      <c r="A57" s="35">
        <v>48</v>
      </c>
      <c r="B57" s="38" t="s">
        <v>90</v>
      </c>
      <c r="C57" s="37" t="s">
        <v>39</v>
      </c>
      <c r="D57" s="557">
        <f t="shared" si="4"/>
        <v>98364</v>
      </c>
      <c r="E57" s="557">
        <f t="shared" si="7"/>
        <v>10559</v>
      </c>
      <c r="F57" s="557">
        <v>2262</v>
      </c>
      <c r="G57" s="557">
        <v>8297</v>
      </c>
      <c r="H57" s="549">
        <f t="shared" si="5"/>
        <v>10225</v>
      </c>
      <c r="I57" s="557">
        <v>10115</v>
      </c>
      <c r="J57" s="557">
        <v>110</v>
      </c>
      <c r="K57" s="557">
        <f t="shared" si="6"/>
        <v>77580</v>
      </c>
      <c r="L57" s="558">
        <v>2559</v>
      </c>
      <c r="M57" s="558">
        <v>17491</v>
      </c>
      <c r="N57" s="558">
        <v>43670</v>
      </c>
      <c r="O57" s="558">
        <v>13860</v>
      </c>
      <c r="P57" s="551"/>
      <c r="Q57" s="556"/>
      <c r="S57" s="556"/>
    </row>
    <row r="58" spans="1:19" x14ac:dyDescent="0.2">
      <c r="A58" s="13">
        <v>49</v>
      </c>
      <c r="B58" s="12" t="s">
        <v>135</v>
      </c>
      <c r="C58" s="9" t="s">
        <v>40</v>
      </c>
      <c r="D58" s="557">
        <f t="shared" si="4"/>
        <v>34975</v>
      </c>
      <c r="E58" s="557">
        <f t="shared" si="7"/>
        <v>3391</v>
      </c>
      <c r="F58" s="557">
        <v>826</v>
      </c>
      <c r="G58" s="557">
        <v>2565</v>
      </c>
      <c r="H58" s="549">
        <f t="shared" si="5"/>
        <v>3729</v>
      </c>
      <c r="I58" s="557">
        <v>3693</v>
      </c>
      <c r="J58" s="557">
        <v>36</v>
      </c>
      <c r="K58" s="557">
        <f t="shared" si="6"/>
        <v>27855</v>
      </c>
      <c r="L58" s="558">
        <v>934</v>
      </c>
      <c r="M58" s="558">
        <v>6838</v>
      </c>
      <c r="N58" s="558">
        <v>9954</v>
      </c>
      <c r="O58" s="558">
        <v>10129</v>
      </c>
      <c r="P58" s="551"/>
      <c r="Q58" s="556"/>
      <c r="S58" s="556"/>
    </row>
    <row r="59" spans="1:19" x14ac:dyDescent="0.2">
      <c r="A59" s="35">
        <v>50</v>
      </c>
      <c r="B59" s="38" t="s">
        <v>91</v>
      </c>
      <c r="C59" s="37" t="s">
        <v>53</v>
      </c>
      <c r="D59" s="557">
        <f t="shared" si="4"/>
        <v>68566</v>
      </c>
      <c r="E59" s="557">
        <f t="shared" si="7"/>
        <v>7004</v>
      </c>
      <c r="F59" s="557">
        <v>1594</v>
      </c>
      <c r="G59" s="557">
        <v>5410</v>
      </c>
      <c r="H59" s="549">
        <f t="shared" si="5"/>
        <v>7148</v>
      </c>
      <c r="I59" s="557">
        <v>7128</v>
      </c>
      <c r="J59" s="557">
        <v>20</v>
      </c>
      <c r="K59" s="557">
        <f t="shared" si="6"/>
        <v>54414</v>
      </c>
      <c r="L59" s="558">
        <v>1803</v>
      </c>
      <c r="M59" s="558">
        <v>13720</v>
      </c>
      <c r="N59" s="558">
        <v>19621</v>
      </c>
      <c r="O59" s="558">
        <v>19270</v>
      </c>
      <c r="P59" s="551"/>
      <c r="Q59" s="556"/>
      <c r="S59" s="556"/>
    </row>
    <row r="60" spans="1:19" x14ac:dyDescent="0.2">
      <c r="A60" s="13">
        <v>51</v>
      </c>
      <c r="B60" s="12" t="s">
        <v>92</v>
      </c>
      <c r="C60" s="9" t="s">
        <v>56</v>
      </c>
      <c r="D60" s="557">
        <f t="shared" si="4"/>
        <v>97944</v>
      </c>
      <c r="E60" s="557">
        <f t="shared" si="7"/>
        <v>10857</v>
      </c>
      <c r="F60" s="557">
        <v>2242</v>
      </c>
      <c r="G60" s="557">
        <v>8615</v>
      </c>
      <c r="H60" s="549">
        <f t="shared" si="5"/>
        <v>10119</v>
      </c>
      <c r="I60" s="557">
        <v>10027</v>
      </c>
      <c r="J60" s="557">
        <v>92</v>
      </c>
      <c r="K60" s="557">
        <f t="shared" si="6"/>
        <v>76968</v>
      </c>
      <c r="L60" s="558">
        <v>2637</v>
      </c>
      <c r="M60" s="558">
        <v>16437</v>
      </c>
      <c r="N60" s="558">
        <v>20133</v>
      </c>
      <c r="O60" s="558">
        <v>37761</v>
      </c>
      <c r="P60" s="551"/>
      <c r="Q60" s="556"/>
      <c r="S60" s="556"/>
    </row>
    <row r="61" spans="1:19" x14ac:dyDescent="0.2">
      <c r="A61" s="35">
        <v>52</v>
      </c>
      <c r="B61" s="12" t="s">
        <v>136</v>
      </c>
      <c r="C61" s="9" t="s">
        <v>15</v>
      </c>
      <c r="D61" s="557">
        <f t="shared" si="4"/>
        <v>329137</v>
      </c>
      <c r="E61" s="557">
        <f t="shared" si="7"/>
        <v>35617</v>
      </c>
      <c r="F61" s="557">
        <v>7191</v>
      </c>
      <c r="G61" s="557">
        <v>28426</v>
      </c>
      <c r="H61" s="549">
        <f t="shared" si="5"/>
        <v>32741</v>
      </c>
      <c r="I61" s="557">
        <v>32156</v>
      </c>
      <c r="J61" s="557">
        <v>585</v>
      </c>
      <c r="K61" s="557">
        <f t="shared" si="6"/>
        <v>260779</v>
      </c>
      <c r="L61" s="558">
        <v>8135</v>
      </c>
      <c r="M61" s="558">
        <v>57921</v>
      </c>
      <c r="N61" s="558">
        <v>127030</v>
      </c>
      <c r="O61" s="558">
        <v>67693</v>
      </c>
      <c r="P61" s="551"/>
      <c r="Q61" s="556"/>
      <c r="S61" s="556"/>
    </row>
    <row r="62" spans="1:19" x14ac:dyDescent="0.2">
      <c r="A62" s="13">
        <v>53</v>
      </c>
      <c r="B62" s="12" t="s">
        <v>137</v>
      </c>
      <c r="C62" s="9" t="s">
        <v>61</v>
      </c>
      <c r="D62" s="557">
        <f t="shared" si="4"/>
        <v>54512</v>
      </c>
      <c r="E62" s="557">
        <f t="shared" si="7"/>
        <v>5624</v>
      </c>
      <c r="F62" s="557">
        <v>1255</v>
      </c>
      <c r="G62" s="557">
        <v>4369</v>
      </c>
      <c r="H62" s="549">
        <f t="shared" si="5"/>
        <v>5707</v>
      </c>
      <c r="I62" s="557">
        <v>5612</v>
      </c>
      <c r="J62" s="557">
        <v>95</v>
      </c>
      <c r="K62" s="557">
        <f t="shared" si="6"/>
        <v>43181</v>
      </c>
      <c r="L62" s="558">
        <v>1420</v>
      </c>
      <c r="M62" s="558">
        <v>6363</v>
      </c>
      <c r="N62" s="558">
        <v>16774</v>
      </c>
      <c r="O62" s="558">
        <v>18624</v>
      </c>
      <c r="P62" s="551"/>
      <c r="Q62" s="556"/>
      <c r="S62" s="556"/>
    </row>
    <row r="63" spans="1:19" x14ac:dyDescent="0.2">
      <c r="A63" s="35">
        <v>54</v>
      </c>
      <c r="B63" s="12" t="s">
        <v>186</v>
      </c>
      <c r="C63" s="9" t="s">
        <v>187</v>
      </c>
      <c r="D63" s="557">
        <f t="shared" si="4"/>
        <v>0</v>
      </c>
      <c r="E63" s="557">
        <f t="shared" si="7"/>
        <v>0</v>
      </c>
      <c r="F63" s="557">
        <v>0</v>
      </c>
      <c r="G63" s="557">
        <v>0</v>
      </c>
      <c r="H63" s="549">
        <f t="shared" si="5"/>
        <v>0</v>
      </c>
      <c r="I63" s="557">
        <v>0</v>
      </c>
      <c r="J63" s="557">
        <v>0</v>
      </c>
      <c r="K63" s="557">
        <f t="shared" si="6"/>
        <v>0</v>
      </c>
      <c r="L63" s="558">
        <v>0</v>
      </c>
      <c r="M63" s="558">
        <v>0</v>
      </c>
      <c r="N63" s="558">
        <v>0</v>
      </c>
      <c r="O63" s="558">
        <v>0</v>
      </c>
      <c r="P63" s="551"/>
      <c r="Q63" s="556"/>
      <c r="S63" s="556"/>
    </row>
    <row r="64" spans="1:19" x14ac:dyDescent="0.2">
      <c r="A64" s="13">
        <v>55</v>
      </c>
      <c r="B64" s="12" t="s">
        <v>188</v>
      </c>
      <c r="C64" s="9" t="s">
        <v>189</v>
      </c>
      <c r="D64" s="557">
        <f t="shared" si="4"/>
        <v>0</v>
      </c>
      <c r="E64" s="557">
        <f t="shared" si="7"/>
        <v>0</v>
      </c>
      <c r="F64" s="557">
        <v>0</v>
      </c>
      <c r="G64" s="557">
        <v>0</v>
      </c>
      <c r="H64" s="549">
        <f t="shared" si="5"/>
        <v>0</v>
      </c>
      <c r="I64" s="557">
        <v>0</v>
      </c>
      <c r="J64" s="557">
        <v>0</v>
      </c>
      <c r="K64" s="557">
        <f t="shared" si="6"/>
        <v>0</v>
      </c>
      <c r="L64" s="558">
        <v>0</v>
      </c>
      <c r="M64" s="558">
        <v>0</v>
      </c>
      <c r="N64" s="558">
        <v>0</v>
      </c>
      <c r="O64" s="558">
        <v>0</v>
      </c>
      <c r="P64" s="551"/>
      <c r="Q64" s="556"/>
      <c r="S64" s="556"/>
    </row>
    <row r="65" spans="1:19" ht="24" x14ac:dyDescent="0.2">
      <c r="A65" s="35">
        <v>56</v>
      </c>
      <c r="B65" s="12" t="s">
        <v>190</v>
      </c>
      <c r="C65" s="9" t="s">
        <v>191</v>
      </c>
      <c r="D65" s="557">
        <f t="shared" si="4"/>
        <v>176637</v>
      </c>
      <c r="E65" s="557">
        <f t="shared" si="7"/>
        <v>36723</v>
      </c>
      <c r="F65" s="557">
        <v>0</v>
      </c>
      <c r="G65" s="557">
        <v>36723</v>
      </c>
      <c r="H65" s="549">
        <f t="shared" si="5"/>
        <v>340</v>
      </c>
      <c r="I65" s="557">
        <v>0</v>
      </c>
      <c r="J65" s="557">
        <v>340</v>
      </c>
      <c r="K65" s="557">
        <f t="shared" si="6"/>
        <v>139574</v>
      </c>
      <c r="L65" s="558">
        <v>0</v>
      </c>
      <c r="M65" s="558">
        <v>7699</v>
      </c>
      <c r="N65" s="558">
        <v>49422</v>
      </c>
      <c r="O65" s="558">
        <v>82453</v>
      </c>
      <c r="P65" s="551"/>
      <c r="Q65" s="556"/>
      <c r="S65" s="556"/>
    </row>
    <row r="66" spans="1:19" ht="24" x14ac:dyDescent="0.2">
      <c r="A66" s="13">
        <v>57</v>
      </c>
      <c r="B66" s="38" t="s">
        <v>192</v>
      </c>
      <c r="C66" s="9" t="s">
        <v>193</v>
      </c>
      <c r="D66" s="557">
        <f t="shared" si="4"/>
        <v>142880</v>
      </c>
      <c r="E66" s="557">
        <f t="shared" si="7"/>
        <v>29863</v>
      </c>
      <c r="F66" s="557">
        <v>0</v>
      </c>
      <c r="G66" s="557">
        <v>29863</v>
      </c>
      <c r="H66" s="549">
        <f t="shared" si="5"/>
        <v>418</v>
      </c>
      <c r="I66" s="557">
        <v>0</v>
      </c>
      <c r="J66" s="557">
        <v>418</v>
      </c>
      <c r="K66" s="557">
        <f t="shared" si="6"/>
        <v>112599</v>
      </c>
      <c r="L66" s="558">
        <v>0</v>
      </c>
      <c r="M66" s="558">
        <v>10300</v>
      </c>
      <c r="N66" s="558">
        <v>42963</v>
      </c>
      <c r="O66" s="558">
        <v>59336</v>
      </c>
      <c r="P66" s="551"/>
      <c r="Q66" s="556"/>
      <c r="S66" s="556"/>
    </row>
    <row r="67" spans="1:19" ht="24" x14ac:dyDescent="0.2">
      <c r="A67" s="35">
        <v>58</v>
      </c>
      <c r="B67" s="39" t="s">
        <v>194</v>
      </c>
      <c r="C67" s="40" t="s">
        <v>195</v>
      </c>
      <c r="D67" s="557">
        <f t="shared" si="4"/>
        <v>202186</v>
      </c>
      <c r="E67" s="557">
        <f t="shared" si="7"/>
        <v>42522</v>
      </c>
      <c r="F67" s="557">
        <v>0</v>
      </c>
      <c r="G67" s="557">
        <v>42522</v>
      </c>
      <c r="H67" s="549">
        <f t="shared" si="5"/>
        <v>110</v>
      </c>
      <c r="I67" s="557">
        <v>0</v>
      </c>
      <c r="J67" s="557">
        <v>110</v>
      </c>
      <c r="K67" s="557">
        <f t="shared" si="6"/>
        <v>159554</v>
      </c>
      <c r="L67" s="558">
        <v>0</v>
      </c>
      <c r="M67" s="558">
        <v>23500</v>
      </c>
      <c r="N67" s="558">
        <v>70427</v>
      </c>
      <c r="O67" s="558">
        <v>65627</v>
      </c>
      <c r="P67" s="551"/>
      <c r="Q67" s="556"/>
      <c r="S67" s="556"/>
    </row>
    <row r="68" spans="1:19" ht="24" x14ac:dyDescent="0.2">
      <c r="A68" s="13">
        <v>59</v>
      </c>
      <c r="B68" s="38" t="s">
        <v>196</v>
      </c>
      <c r="C68" s="9" t="s">
        <v>197</v>
      </c>
      <c r="D68" s="557">
        <f t="shared" si="4"/>
        <v>259395</v>
      </c>
      <c r="E68" s="557">
        <f t="shared" si="7"/>
        <v>52868</v>
      </c>
      <c r="F68" s="557">
        <v>0</v>
      </c>
      <c r="G68" s="557">
        <v>52868</v>
      </c>
      <c r="H68" s="549">
        <f t="shared" si="5"/>
        <v>315</v>
      </c>
      <c r="I68" s="557">
        <v>0</v>
      </c>
      <c r="J68" s="557">
        <v>315</v>
      </c>
      <c r="K68" s="557">
        <f t="shared" si="6"/>
        <v>206212</v>
      </c>
      <c r="L68" s="558">
        <v>0</v>
      </c>
      <c r="M68" s="558">
        <v>20500</v>
      </c>
      <c r="N68" s="558">
        <v>73459</v>
      </c>
      <c r="O68" s="558">
        <v>112253</v>
      </c>
      <c r="P68" s="551"/>
      <c r="Q68" s="556"/>
      <c r="S68" s="556"/>
    </row>
    <row r="69" spans="1:19" ht="24" x14ac:dyDescent="0.2">
      <c r="A69" s="35">
        <v>60</v>
      </c>
      <c r="B69" s="12" t="s">
        <v>198</v>
      </c>
      <c r="C69" s="9" t="s">
        <v>199</v>
      </c>
      <c r="D69" s="557">
        <f t="shared" si="4"/>
        <v>98232</v>
      </c>
      <c r="E69" s="557">
        <f t="shared" si="7"/>
        <v>20762</v>
      </c>
      <c r="F69" s="557">
        <v>0</v>
      </c>
      <c r="G69" s="557">
        <v>20762</v>
      </c>
      <c r="H69" s="549">
        <f t="shared" si="5"/>
        <v>74</v>
      </c>
      <c r="I69" s="557">
        <v>0</v>
      </c>
      <c r="J69" s="557">
        <v>74</v>
      </c>
      <c r="K69" s="557">
        <f t="shared" si="6"/>
        <v>77396</v>
      </c>
      <c r="L69" s="558">
        <v>0</v>
      </c>
      <c r="M69" s="558">
        <v>9630</v>
      </c>
      <c r="N69" s="558">
        <v>33005</v>
      </c>
      <c r="O69" s="558">
        <v>34761</v>
      </c>
      <c r="P69" s="551"/>
      <c r="Q69" s="556"/>
      <c r="S69" s="556"/>
    </row>
    <row r="70" spans="1:19" ht="24" x14ac:dyDescent="0.2">
      <c r="A70" s="13">
        <v>61</v>
      </c>
      <c r="B70" s="36" t="s">
        <v>200</v>
      </c>
      <c r="C70" s="9" t="s">
        <v>201</v>
      </c>
      <c r="D70" s="557">
        <f t="shared" si="4"/>
        <v>32939</v>
      </c>
      <c r="E70" s="557">
        <f t="shared" si="7"/>
        <v>0</v>
      </c>
      <c r="F70" s="557">
        <v>0</v>
      </c>
      <c r="G70" s="557">
        <v>0</v>
      </c>
      <c r="H70" s="549">
        <f t="shared" si="5"/>
        <v>0</v>
      </c>
      <c r="I70" s="557">
        <v>0</v>
      </c>
      <c r="J70" s="557">
        <v>0</v>
      </c>
      <c r="K70" s="557">
        <f t="shared" si="6"/>
        <v>32939</v>
      </c>
      <c r="L70" s="558">
        <v>0</v>
      </c>
      <c r="M70" s="558">
        <v>0</v>
      </c>
      <c r="N70" s="558">
        <v>32939</v>
      </c>
      <c r="O70" s="558">
        <v>0</v>
      </c>
      <c r="P70" s="551"/>
      <c r="Q70" s="556"/>
      <c r="S70" s="556"/>
    </row>
    <row r="71" spans="1:19" ht="24" x14ac:dyDescent="0.2">
      <c r="A71" s="35">
        <v>62</v>
      </c>
      <c r="B71" s="36" t="s">
        <v>202</v>
      </c>
      <c r="C71" s="9" t="s">
        <v>203</v>
      </c>
      <c r="D71" s="557">
        <f t="shared" si="4"/>
        <v>34287</v>
      </c>
      <c r="E71" s="557">
        <f t="shared" si="7"/>
        <v>0</v>
      </c>
      <c r="F71" s="557">
        <v>0</v>
      </c>
      <c r="G71" s="557">
        <v>0</v>
      </c>
      <c r="H71" s="549">
        <f t="shared" si="5"/>
        <v>0</v>
      </c>
      <c r="I71" s="557">
        <v>0</v>
      </c>
      <c r="J71" s="557">
        <v>0</v>
      </c>
      <c r="K71" s="557">
        <f t="shared" si="6"/>
        <v>34287</v>
      </c>
      <c r="L71" s="558">
        <v>0</v>
      </c>
      <c r="M71" s="558">
        <v>0</v>
      </c>
      <c r="N71" s="558">
        <v>34287</v>
      </c>
      <c r="O71" s="558">
        <v>0</v>
      </c>
      <c r="P71" s="551"/>
      <c r="Q71" s="556"/>
      <c r="S71" s="556"/>
    </row>
    <row r="72" spans="1:19" x14ac:dyDescent="0.2">
      <c r="A72" s="13">
        <v>63</v>
      </c>
      <c r="B72" s="38" t="s">
        <v>151</v>
      </c>
      <c r="C72" s="9" t="s">
        <v>204</v>
      </c>
      <c r="D72" s="557">
        <f t="shared" si="4"/>
        <v>145079</v>
      </c>
      <c r="E72" s="557">
        <f t="shared" si="7"/>
        <v>5940</v>
      </c>
      <c r="F72" s="557">
        <v>5940</v>
      </c>
      <c r="G72" s="557">
        <v>0</v>
      </c>
      <c r="H72" s="549">
        <f t="shared" si="5"/>
        <v>26567</v>
      </c>
      <c r="I72" s="557">
        <v>26567</v>
      </c>
      <c r="J72" s="557">
        <v>0</v>
      </c>
      <c r="K72" s="557">
        <f t="shared" si="6"/>
        <v>112572</v>
      </c>
      <c r="L72" s="558">
        <v>6721</v>
      </c>
      <c r="M72" s="558">
        <v>27007</v>
      </c>
      <c r="N72" s="558">
        <v>68341</v>
      </c>
      <c r="O72" s="558">
        <v>10503</v>
      </c>
      <c r="P72" s="551"/>
      <c r="Q72" s="556"/>
      <c r="S72" s="556"/>
    </row>
    <row r="73" spans="1:19" x14ac:dyDescent="0.2">
      <c r="A73" s="35">
        <v>64</v>
      </c>
      <c r="B73" s="38" t="s">
        <v>152</v>
      </c>
      <c r="C73" s="37" t="s">
        <v>153</v>
      </c>
      <c r="D73" s="557">
        <f t="shared" si="4"/>
        <v>88456</v>
      </c>
      <c r="E73" s="557">
        <f t="shared" si="7"/>
        <v>3542</v>
      </c>
      <c r="F73" s="557">
        <v>3542</v>
      </c>
      <c r="G73" s="557">
        <v>0</v>
      </c>
      <c r="H73" s="549">
        <f t="shared" si="5"/>
        <v>15843</v>
      </c>
      <c r="I73" s="557">
        <v>15843</v>
      </c>
      <c r="J73" s="557">
        <v>0</v>
      </c>
      <c r="K73" s="557">
        <f t="shared" si="6"/>
        <v>69071</v>
      </c>
      <c r="L73" s="558">
        <v>4008</v>
      </c>
      <c r="M73" s="558">
        <v>27209</v>
      </c>
      <c r="N73" s="558">
        <v>24300</v>
      </c>
      <c r="O73" s="558">
        <v>13554</v>
      </c>
      <c r="P73" s="551"/>
      <c r="Q73" s="556"/>
      <c r="S73" s="556"/>
    </row>
    <row r="74" spans="1:19" x14ac:dyDescent="0.2">
      <c r="A74" s="13">
        <v>65</v>
      </c>
      <c r="B74" s="38" t="s">
        <v>154</v>
      </c>
      <c r="C74" s="9" t="s">
        <v>205</v>
      </c>
      <c r="D74" s="557">
        <f t="shared" si="4"/>
        <v>192626</v>
      </c>
      <c r="E74" s="557">
        <f t="shared" si="7"/>
        <v>8158</v>
      </c>
      <c r="F74" s="557">
        <v>8158</v>
      </c>
      <c r="G74" s="557">
        <v>0</v>
      </c>
      <c r="H74" s="549">
        <f t="shared" si="5"/>
        <v>36485</v>
      </c>
      <c r="I74" s="557">
        <v>36485</v>
      </c>
      <c r="J74" s="557">
        <v>0</v>
      </c>
      <c r="K74" s="557">
        <f t="shared" ref="K74:K137" si="8">SUM(L74:O74)</f>
        <v>147983</v>
      </c>
      <c r="L74" s="558">
        <v>9230</v>
      </c>
      <c r="M74" s="558">
        <v>58549</v>
      </c>
      <c r="N74" s="558">
        <v>71689</v>
      </c>
      <c r="O74" s="558">
        <v>8515</v>
      </c>
      <c r="P74" s="551"/>
      <c r="Q74" s="556"/>
      <c r="S74" s="556"/>
    </row>
    <row r="75" spans="1:19" ht="24" x14ac:dyDescent="0.2">
      <c r="A75" s="35">
        <v>66</v>
      </c>
      <c r="B75" s="38" t="s">
        <v>206</v>
      </c>
      <c r="C75" s="9" t="s">
        <v>207</v>
      </c>
      <c r="D75" s="557">
        <f t="shared" si="4"/>
        <v>2496</v>
      </c>
      <c r="E75" s="557">
        <f t="shared" si="7"/>
        <v>0</v>
      </c>
      <c r="F75" s="557">
        <v>0</v>
      </c>
      <c r="G75" s="557">
        <v>0</v>
      </c>
      <c r="H75" s="549">
        <f t="shared" ref="H75:H139" si="9">I75+J75</f>
        <v>0</v>
      </c>
      <c r="I75" s="557">
        <v>0</v>
      </c>
      <c r="J75" s="557">
        <v>0</v>
      </c>
      <c r="K75" s="557">
        <f t="shared" si="8"/>
        <v>2496</v>
      </c>
      <c r="L75" s="558">
        <v>0</v>
      </c>
      <c r="M75" s="558">
        <v>0</v>
      </c>
      <c r="N75" s="558">
        <v>2196</v>
      </c>
      <c r="O75" s="558">
        <v>300</v>
      </c>
      <c r="P75" s="551"/>
      <c r="Q75" s="556"/>
      <c r="S75" s="556"/>
    </row>
    <row r="76" spans="1:19" ht="24" x14ac:dyDescent="0.2">
      <c r="A76" s="13">
        <v>67</v>
      </c>
      <c r="B76" s="36" t="s">
        <v>208</v>
      </c>
      <c r="C76" s="9" t="s">
        <v>209</v>
      </c>
      <c r="D76" s="557">
        <f t="shared" si="4"/>
        <v>3082</v>
      </c>
      <c r="E76" s="557">
        <f t="shared" si="7"/>
        <v>0</v>
      </c>
      <c r="F76" s="557">
        <v>0</v>
      </c>
      <c r="G76" s="557">
        <v>0</v>
      </c>
      <c r="H76" s="549">
        <f t="shared" si="9"/>
        <v>0</v>
      </c>
      <c r="I76" s="557">
        <v>0</v>
      </c>
      <c r="J76" s="557">
        <v>0</v>
      </c>
      <c r="K76" s="557">
        <f t="shared" si="8"/>
        <v>3082</v>
      </c>
      <c r="L76" s="558">
        <v>0</v>
      </c>
      <c r="M76" s="558">
        <v>0</v>
      </c>
      <c r="N76" s="558">
        <v>2982</v>
      </c>
      <c r="O76" s="558">
        <v>100</v>
      </c>
      <c r="P76" s="551"/>
      <c r="Q76" s="556"/>
      <c r="S76" s="556"/>
    </row>
    <row r="77" spans="1:19" ht="24" x14ac:dyDescent="0.2">
      <c r="A77" s="35">
        <v>68</v>
      </c>
      <c r="B77" s="38" t="s">
        <v>210</v>
      </c>
      <c r="C77" s="9" t="s">
        <v>211</v>
      </c>
      <c r="D77" s="557">
        <f t="shared" si="4"/>
        <v>3616</v>
      </c>
      <c r="E77" s="557">
        <f t="shared" si="7"/>
        <v>0</v>
      </c>
      <c r="F77" s="557">
        <v>0</v>
      </c>
      <c r="G77" s="557">
        <v>0</v>
      </c>
      <c r="H77" s="549">
        <f t="shared" si="9"/>
        <v>0</v>
      </c>
      <c r="I77" s="557">
        <v>0</v>
      </c>
      <c r="J77" s="557">
        <v>0</v>
      </c>
      <c r="K77" s="557">
        <f t="shared" si="8"/>
        <v>3616</v>
      </c>
      <c r="L77" s="558">
        <v>0</v>
      </c>
      <c r="M77" s="558">
        <v>0</v>
      </c>
      <c r="N77" s="558">
        <v>3516</v>
      </c>
      <c r="O77" s="558">
        <v>100</v>
      </c>
      <c r="P77" s="551"/>
      <c r="Q77" s="556"/>
      <c r="S77" s="556"/>
    </row>
    <row r="78" spans="1:19" ht="24" x14ac:dyDescent="0.2">
      <c r="A78" s="13">
        <v>69</v>
      </c>
      <c r="B78" s="38" t="s">
        <v>212</v>
      </c>
      <c r="C78" s="9" t="s">
        <v>213</v>
      </c>
      <c r="D78" s="557">
        <f t="shared" si="4"/>
        <v>3460</v>
      </c>
      <c r="E78" s="557">
        <f t="shared" si="7"/>
        <v>0</v>
      </c>
      <c r="F78" s="557">
        <v>0</v>
      </c>
      <c r="G78" s="557">
        <v>0</v>
      </c>
      <c r="H78" s="549">
        <f t="shared" si="9"/>
        <v>0</v>
      </c>
      <c r="I78" s="557">
        <v>0</v>
      </c>
      <c r="J78" s="557">
        <v>0</v>
      </c>
      <c r="K78" s="557">
        <f t="shared" si="8"/>
        <v>3460</v>
      </c>
      <c r="L78" s="558">
        <v>0</v>
      </c>
      <c r="M78" s="558">
        <v>0</v>
      </c>
      <c r="N78" s="558">
        <v>3170</v>
      </c>
      <c r="O78" s="558">
        <v>290</v>
      </c>
      <c r="P78" s="551"/>
      <c r="Q78" s="556"/>
      <c r="S78" s="556"/>
    </row>
    <row r="79" spans="1:19" ht="24" x14ac:dyDescent="0.2">
      <c r="A79" s="35">
        <v>70</v>
      </c>
      <c r="B79" s="36" t="s">
        <v>214</v>
      </c>
      <c r="C79" s="9" t="s">
        <v>215</v>
      </c>
      <c r="D79" s="557">
        <f t="shared" si="4"/>
        <v>14691</v>
      </c>
      <c r="E79" s="557">
        <f t="shared" si="7"/>
        <v>0</v>
      </c>
      <c r="F79" s="557">
        <v>0</v>
      </c>
      <c r="G79" s="557">
        <v>0</v>
      </c>
      <c r="H79" s="549">
        <f t="shared" si="9"/>
        <v>0</v>
      </c>
      <c r="I79" s="557">
        <v>0</v>
      </c>
      <c r="J79" s="557">
        <v>0</v>
      </c>
      <c r="K79" s="557">
        <f t="shared" si="8"/>
        <v>14691</v>
      </c>
      <c r="L79" s="558">
        <v>0</v>
      </c>
      <c r="M79" s="558">
        <v>0</v>
      </c>
      <c r="N79" s="558">
        <f>12391+700</f>
        <v>13091</v>
      </c>
      <c r="O79" s="558">
        <v>1600</v>
      </c>
      <c r="P79" s="551"/>
      <c r="Q79" s="556"/>
      <c r="S79" s="556"/>
    </row>
    <row r="80" spans="1:19" ht="24" x14ac:dyDescent="0.2">
      <c r="A80" s="13">
        <v>71</v>
      </c>
      <c r="B80" s="36" t="s">
        <v>216</v>
      </c>
      <c r="C80" s="9" t="s">
        <v>217</v>
      </c>
      <c r="D80" s="557">
        <f t="shared" si="4"/>
        <v>2724</v>
      </c>
      <c r="E80" s="557">
        <f t="shared" si="7"/>
        <v>0</v>
      </c>
      <c r="F80" s="557">
        <v>0</v>
      </c>
      <c r="G80" s="557">
        <v>0</v>
      </c>
      <c r="H80" s="549">
        <f t="shared" si="9"/>
        <v>0</v>
      </c>
      <c r="I80" s="557">
        <v>0</v>
      </c>
      <c r="J80" s="557">
        <v>0</v>
      </c>
      <c r="K80" s="557">
        <f t="shared" si="8"/>
        <v>2724</v>
      </c>
      <c r="L80" s="558">
        <v>0</v>
      </c>
      <c r="M80" s="558">
        <v>0</v>
      </c>
      <c r="N80" s="558">
        <v>2474</v>
      </c>
      <c r="O80" s="558">
        <v>250</v>
      </c>
      <c r="P80" s="551"/>
      <c r="Q80" s="556"/>
      <c r="S80" s="556"/>
    </row>
    <row r="81" spans="1:19" ht="24" x14ac:dyDescent="0.2">
      <c r="A81" s="35">
        <v>72</v>
      </c>
      <c r="B81" s="36" t="s">
        <v>218</v>
      </c>
      <c r="C81" s="9" t="s">
        <v>219</v>
      </c>
      <c r="D81" s="557">
        <f t="shared" ref="D81:D147" si="10">E81+H81+K81</f>
        <v>2605</v>
      </c>
      <c r="E81" s="557">
        <f t="shared" si="7"/>
        <v>0</v>
      </c>
      <c r="F81" s="557">
        <v>0</v>
      </c>
      <c r="G81" s="557">
        <v>0</v>
      </c>
      <c r="H81" s="549">
        <f t="shared" si="9"/>
        <v>0</v>
      </c>
      <c r="I81" s="557">
        <v>0</v>
      </c>
      <c r="J81" s="557">
        <v>0</v>
      </c>
      <c r="K81" s="557">
        <f t="shared" si="8"/>
        <v>2605</v>
      </c>
      <c r="L81" s="558">
        <v>0</v>
      </c>
      <c r="M81" s="558">
        <v>0</v>
      </c>
      <c r="N81" s="558">
        <f>2462+143</f>
        <v>2605</v>
      </c>
      <c r="O81" s="558">
        <v>0</v>
      </c>
      <c r="P81" s="551"/>
      <c r="Q81" s="556"/>
      <c r="S81" s="556"/>
    </row>
    <row r="82" spans="1:19" x14ac:dyDescent="0.2">
      <c r="A82" s="13">
        <v>73</v>
      </c>
      <c r="B82" s="12" t="s">
        <v>148</v>
      </c>
      <c r="C82" s="9" t="s">
        <v>16</v>
      </c>
      <c r="D82" s="557">
        <f t="shared" si="10"/>
        <v>217620</v>
      </c>
      <c r="E82" s="557">
        <f t="shared" ref="E82:E147" si="11">F82+G82</f>
        <v>26192</v>
      </c>
      <c r="F82" s="557">
        <v>3627</v>
      </c>
      <c r="G82" s="557">
        <v>22565</v>
      </c>
      <c r="H82" s="549">
        <f t="shared" si="9"/>
        <v>16397</v>
      </c>
      <c r="I82" s="557">
        <v>16221</v>
      </c>
      <c r="J82" s="557">
        <v>176</v>
      </c>
      <c r="K82" s="557">
        <f t="shared" si="8"/>
        <v>175031</v>
      </c>
      <c r="L82" s="558">
        <v>4104</v>
      </c>
      <c r="M82" s="558">
        <v>9399</v>
      </c>
      <c r="N82" s="558">
        <v>66166</v>
      </c>
      <c r="O82" s="558">
        <v>95362</v>
      </c>
      <c r="P82" s="551"/>
      <c r="Q82" s="556"/>
      <c r="S82" s="556"/>
    </row>
    <row r="83" spans="1:19" x14ac:dyDescent="0.2">
      <c r="A83" s="35">
        <v>74</v>
      </c>
      <c r="B83" s="36" t="s">
        <v>145</v>
      </c>
      <c r="C83" s="9" t="s">
        <v>220</v>
      </c>
      <c r="D83" s="557">
        <f t="shared" si="10"/>
        <v>277573</v>
      </c>
      <c r="E83" s="557">
        <f t="shared" si="11"/>
        <v>14081</v>
      </c>
      <c r="F83" s="557">
        <v>10903</v>
      </c>
      <c r="G83" s="557">
        <v>3178</v>
      </c>
      <c r="H83" s="549">
        <f t="shared" si="9"/>
        <v>48761</v>
      </c>
      <c r="I83" s="557">
        <v>48761</v>
      </c>
      <c r="J83" s="557">
        <v>0</v>
      </c>
      <c r="K83" s="557">
        <f t="shared" si="8"/>
        <v>214731</v>
      </c>
      <c r="L83" s="558">
        <v>9236</v>
      </c>
      <c r="M83" s="558">
        <v>68024</v>
      </c>
      <c r="N83" s="558">
        <v>99874</v>
      </c>
      <c r="O83" s="558">
        <v>37597</v>
      </c>
      <c r="P83" s="551"/>
      <c r="Q83" s="556"/>
      <c r="S83" s="556"/>
    </row>
    <row r="84" spans="1:19" x14ac:dyDescent="0.2">
      <c r="A84" s="13">
        <v>75</v>
      </c>
      <c r="B84" s="12" t="s">
        <v>146</v>
      </c>
      <c r="C84" s="9" t="s">
        <v>147</v>
      </c>
      <c r="D84" s="557">
        <f t="shared" si="10"/>
        <v>165690</v>
      </c>
      <c r="E84" s="557">
        <f t="shared" si="11"/>
        <v>6512</v>
      </c>
      <c r="F84" s="557">
        <v>6512</v>
      </c>
      <c r="G84" s="557">
        <v>0</v>
      </c>
      <c r="H84" s="549">
        <f t="shared" si="9"/>
        <v>29121</v>
      </c>
      <c r="I84" s="557">
        <v>29121</v>
      </c>
      <c r="J84" s="557">
        <v>0</v>
      </c>
      <c r="K84" s="557">
        <f t="shared" si="8"/>
        <v>130057</v>
      </c>
      <c r="L84" s="558">
        <v>7368</v>
      </c>
      <c r="M84" s="558">
        <v>33952</v>
      </c>
      <c r="N84" s="558">
        <v>64129</v>
      </c>
      <c r="O84" s="558">
        <v>24608</v>
      </c>
      <c r="P84" s="551"/>
      <c r="Q84" s="556"/>
      <c r="S84" s="556"/>
    </row>
    <row r="85" spans="1:19" x14ac:dyDescent="0.2">
      <c r="A85" s="35">
        <v>76</v>
      </c>
      <c r="B85" s="39" t="s">
        <v>140</v>
      </c>
      <c r="C85" s="40" t="s">
        <v>141</v>
      </c>
      <c r="D85" s="557">
        <f t="shared" si="10"/>
        <v>42999</v>
      </c>
      <c r="E85" s="557">
        <f t="shared" si="11"/>
        <v>1779</v>
      </c>
      <c r="F85" s="557">
        <v>1779</v>
      </c>
      <c r="G85" s="557">
        <v>0</v>
      </c>
      <c r="H85" s="549">
        <f t="shared" si="9"/>
        <v>7955</v>
      </c>
      <c r="I85" s="557">
        <v>7955</v>
      </c>
      <c r="J85" s="557">
        <v>0</v>
      </c>
      <c r="K85" s="557">
        <f t="shared" si="8"/>
        <v>33265</v>
      </c>
      <c r="L85" s="558">
        <v>2013</v>
      </c>
      <c r="M85" s="558">
        <v>10748</v>
      </c>
      <c r="N85" s="558">
        <v>19048</v>
      </c>
      <c r="O85" s="558">
        <v>1456</v>
      </c>
      <c r="P85" s="551"/>
      <c r="Q85" s="556"/>
      <c r="S85" s="556"/>
    </row>
    <row r="86" spans="1:19" x14ac:dyDescent="0.2">
      <c r="A86" s="13">
        <v>77</v>
      </c>
      <c r="B86" s="36" t="s">
        <v>142</v>
      </c>
      <c r="C86" s="9" t="s">
        <v>143</v>
      </c>
      <c r="D86" s="557">
        <f t="shared" si="10"/>
        <v>287093</v>
      </c>
      <c r="E86" s="557">
        <f t="shared" si="11"/>
        <v>10297</v>
      </c>
      <c r="F86" s="557">
        <v>10297</v>
      </c>
      <c r="G86" s="557">
        <v>0</v>
      </c>
      <c r="H86" s="549">
        <f t="shared" si="9"/>
        <v>46047</v>
      </c>
      <c r="I86" s="557">
        <v>46047</v>
      </c>
      <c r="J86" s="557">
        <v>0</v>
      </c>
      <c r="K86" s="557">
        <f t="shared" si="8"/>
        <v>230749</v>
      </c>
      <c r="L86" s="558">
        <v>11650</v>
      </c>
      <c r="M86" s="558">
        <v>80012</v>
      </c>
      <c r="N86" s="558">
        <v>106571</v>
      </c>
      <c r="O86" s="558">
        <v>32516</v>
      </c>
      <c r="P86" s="551"/>
      <c r="Q86" s="556"/>
      <c r="S86" s="556"/>
    </row>
    <row r="87" spans="1:19" x14ac:dyDescent="0.2">
      <c r="A87" s="35">
        <v>78</v>
      </c>
      <c r="B87" s="39" t="s">
        <v>221</v>
      </c>
      <c r="C87" s="40" t="s">
        <v>222</v>
      </c>
      <c r="D87" s="557">
        <f t="shared" si="10"/>
        <v>153678</v>
      </c>
      <c r="E87" s="557">
        <f t="shared" si="11"/>
        <v>30839</v>
      </c>
      <c r="F87" s="557">
        <v>0</v>
      </c>
      <c r="G87" s="557">
        <v>30839</v>
      </c>
      <c r="H87" s="549">
        <f t="shared" si="9"/>
        <v>462</v>
      </c>
      <c r="I87" s="557">
        <v>0</v>
      </c>
      <c r="J87" s="557">
        <v>462</v>
      </c>
      <c r="K87" s="557">
        <f t="shared" si="8"/>
        <v>122377</v>
      </c>
      <c r="L87" s="558">
        <v>0</v>
      </c>
      <c r="M87" s="558">
        <v>20084</v>
      </c>
      <c r="N87" s="558">
        <v>37934</v>
      </c>
      <c r="O87" s="558">
        <v>64359</v>
      </c>
      <c r="P87" s="551"/>
      <c r="Q87" s="556"/>
      <c r="S87" s="556"/>
    </row>
    <row r="88" spans="1:19" x14ac:dyDescent="0.2">
      <c r="A88" s="13">
        <v>79</v>
      </c>
      <c r="B88" s="36" t="s">
        <v>144</v>
      </c>
      <c r="C88" s="9" t="s">
        <v>223</v>
      </c>
      <c r="D88" s="557">
        <f t="shared" si="10"/>
        <v>219568</v>
      </c>
      <c r="E88" s="557">
        <f t="shared" si="11"/>
        <v>8407</v>
      </c>
      <c r="F88" s="557">
        <v>8407</v>
      </c>
      <c r="G88" s="557">
        <v>0</v>
      </c>
      <c r="H88" s="549">
        <f t="shared" si="9"/>
        <v>37597</v>
      </c>
      <c r="I88" s="557">
        <v>37597</v>
      </c>
      <c r="J88" s="557">
        <v>0</v>
      </c>
      <c r="K88" s="557">
        <f t="shared" si="8"/>
        <v>173564</v>
      </c>
      <c r="L88" s="558">
        <v>9512</v>
      </c>
      <c r="M88" s="558">
        <v>48308</v>
      </c>
      <c r="N88" s="558">
        <v>59867</v>
      </c>
      <c r="O88" s="558">
        <v>55877</v>
      </c>
      <c r="P88" s="551"/>
      <c r="Q88" s="556"/>
      <c r="S88" s="556"/>
    </row>
    <row r="89" spans="1:19" x14ac:dyDescent="0.2">
      <c r="A89" s="35">
        <v>80</v>
      </c>
      <c r="B89" s="39" t="s">
        <v>224</v>
      </c>
      <c r="C89" s="40" t="s">
        <v>225</v>
      </c>
      <c r="D89" s="557">
        <f t="shared" si="10"/>
        <v>43764</v>
      </c>
      <c r="E89" s="557">
        <f t="shared" si="11"/>
        <v>0</v>
      </c>
      <c r="F89" s="557">
        <v>0</v>
      </c>
      <c r="G89" s="557">
        <v>0</v>
      </c>
      <c r="H89" s="549">
        <f t="shared" si="9"/>
        <v>0</v>
      </c>
      <c r="I89" s="557">
        <v>0</v>
      </c>
      <c r="J89" s="557">
        <v>0</v>
      </c>
      <c r="K89" s="557">
        <f t="shared" si="8"/>
        <v>43764</v>
      </c>
      <c r="L89" s="558">
        <v>0</v>
      </c>
      <c r="M89" s="558">
        <v>13210</v>
      </c>
      <c r="N89" s="558">
        <v>10116</v>
      </c>
      <c r="O89" s="558">
        <v>20438</v>
      </c>
      <c r="P89" s="551"/>
      <c r="Q89" s="556"/>
      <c r="S89" s="556"/>
    </row>
    <row r="90" spans="1:19" x14ac:dyDescent="0.2">
      <c r="A90" s="13">
        <v>81</v>
      </c>
      <c r="B90" s="38" t="s">
        <v>93</v>
      </c>
      <c r="C90" s="9" t="s">
        <v>94</v>
      </c>
      <c r="D90" s="557">
        <f t="shared" si="10"/>
        <v>0</v>
      </c>
      <c r="E90" s="557">
        <f t="shared" si="11"/>
        <v>0</v>
      </c>
      <c r="F90" s="557">
        <v>0</v>
      </c>
      <c r="G90" s="557">
        <v>0</v>
      </c>
      <c r="H90" s="549">
        <f t="shared" si="9"/>
        <v>0</v>
      </c>
      <c r="I90" s="557">
        <v>0</v>
      </c>
      <c r="J90" s="557">
        <v>0</v>
      </c>
      <c r="K90" s="557">
        <f t="shared" si="8"/>
        <v>0</v>
      </c>
      <c r="L90" s="558">
        <v>0</v>
      </c>
      <c r="M90" s="558">
        <v>0</v>
      </c>
      <c r="N90" s="558">
        <v>0</v>
      </c>
      <c r="O90" s="558">
        <v>0</v>
      </c>
      <c r="P90" s="551"/>
      <c r="Q90" s="556"/>
      <c r="S90" s="556"/>
    </row>
    <row r="91" spans="1:19" ht="24" x14ac:dyDescent="0.2">
      <c r="A91" s="914">
        <v>82</v>
      </c>
      <c r="B91" s="916" t="s">
        <v>157</v>
      </c>
      <c r="C91" s="9" t="s">
        <v>2272</v>
      </c>
      <c r="D91" s="557">
        <f t="shared" si="10"/>
        <v>19610</v>
      </c>
      <c r="E91" s="557">
        <f t="shared" si="11"/>
        <v>475</v>
      </c>
      <c r="F91" s="557">
        <v>475</v>
      </c>
      <c r="G91" s="557">
        <v>0</v>
      </c>
      <c r="H91" s="549">
        <f t="shared" si="9"/>
        <v>2123</v>
      </c>
      <c r="I91" s="557">
        <v>2123</v>
      </c>
      <c r="J91" s="557">
        <v>0</v>
      </c>
      <c r="K91" s="557">
        <f t="shared" si="8"/>
        <v>17012</v>
      </c>
      <c r="L91" s="559">
        <v>537</v>
      </c>
      <c r="M91" s="559">
        <v>280</v>
      </c>
      <c r="N91" s="559">
        <v>14720</v>
      </c>
      <c r="O91" s="559">
        <v>1475</v>
      </c>
      <c r="P91" s="551"/>
      <c r="Q91" s="556"/>
      <c r="S91" s="556"/>
    </row>
    <row r="92" spans="1:19" ht="24" x14ac:dyDescent="0.2">
      <c r="A92" s="915"/>
      <c r="B92" s="917"/>
      <c r="C92" s="9" t="s">
        <v>66</v>
      </c>
      <c r="D92" s="557">
        <f t="shared" si="10"/>
        <v>3600</v>
      </c>
      <c r="E92" s="557">
        <f t="shared" si="11"/>
        <v>0</v>
      </c>
      <c r="F92" s="557">
        <v>0</v>
      </c>
      <c r="G92" s="557">
        <v>0</v>
      </c>
      <c r="H92" s="549">
        <f t="shared" si="9"/>
        <v>0</v>
      </c>
      <c r="I92" s="557">
        <v>0</v>
      </c>
      <c r="J92" s="557">
        <v>0</v>
      </c>
      <c r="K92" s="557">
        <f t="shared" si="8"/>
        <v>3600</v>
      </c>
      <c r="L92" s="560">
        <v>0</v>
      </c>
      <c r="M92" s="560">
        <v>0</v>
      </c>
      <c r="N92" s="560">
        <v>3600</v>
      </c>
      <c r="O92" s="560">
        <v>0</v>
      </c>
      <c r="P92" s="551"/>
      <c r="Q92" s="556"/>
      <c r="S92" s="556"/>
    </row>
    <row r="93" spans="1:19" ht="24" x14ac:dyDescent="0.2">
      <c r="A93" s="35">
        <v>83</v>
      </c>
      <c r="B93" s="38" t="s">
        <v>226</v>
      </c>
      <c r="C93" s="37" t="s">
        <v>227</v>
      </c>
      <c r="D93" s="557">
        <f t="shared" si="10"/>
        <v>8400</v>
      </c>
      <c r="E93" s="557">
        <f t="shared" si="11"/>
        <v>0</v>
      </c>
      <c r="F93" s="557">
        <v>0</v>
      </c>
      <c r="G93" s="557">
        <v>0</v>
      </c>
      <c r="H93" s="549">
        <f t="shared" si="9"/>
        <v>0</v>
      </c>
      <c r="I93" s="557">
        <v>0</v>
      </c>
      <c r="J93" s="557">
        <v>0</v>
      </c>
      <c r="K93" s="557">
        <f t="shared" si="8"/>
        <v>8400</v>
      </c>
      <c r="L93" s="560">
        <v>0</v>
      </c>
      <c r="M93" s="560">
        <v>0</v>
      </c>
      <c r="N93" s="560">
        <v>8400</v>
      </c>
      <c r="O93" s="560">
        <v>0</v>
      </c>
      <c r="P93" s="551"/>
      <c r="Q93" s="556"/>
      <c r="S93" s="556"/>
    </row>
    <row r="94" spans="1:19" x14ac:dyDescent="0.2">
      <c r="A94" s="35">
        <v>84</v>
      </c>
      <c r="B94" s="38" t="s">
        <v>155</v>
      </c>
      <c r="C94" s="40" t="s">
        <v>156</v>
      </c>
      <c r="D94" s="557">
        <f t="shared" si="10"/>
        <v>16226</v>
      </c>
      <c r="E94" s="557">
        <f t="shared" si="11"/>
        <v>417</v>
      </c>
      <c r="F94" s="557">
        <v>417</v>
      </c>
      <c r="G94" s="557">
        <v>0</v>
      </c>
      <c r="H94" s="549">
        <f t="shared" si="9"/>
        <v>1866</v>
      </c>
      <c r="I94" s="557">
        <v>1866</v>
      </c>
      <c r="J94" s="557">
        <v>0</v>
      </c>
      <c r="K94" s="557">
        <f t="shared" si="8"/>
        <v>13943</v>
      </c>
      <c r="L94" s="558">
        <v>472</v>
      </c>
      <c r="M94" s="558">
        <v>3707</v>
      </c>
      <c r="N94" s="558">
        <v>6765</v>
      </c>
      <c r="O94" s="558">
        <v>2999</v>
      </c>
      <c r="P94" s="551"/>
      <c r="Q94" s="556"/>
      <c r="S94" s="556"/>
    </row>
    <row r="95" spans="1:19" x14ac:dyDescent="0.2">
      <c r="A95" s="35">
        <v>85</v>
      </c>
      <c r="B95" s="12" t="s">
        <v>158</v>
      </c>
      <c r="C95" s="9" t="s">
        <v>228</v>
      </c>
      <c r="D95" s="557">
        <f t="shared" si="10"/>
        <v>40325</v>
      </c>
      <c r="E95" s="557">
        <f t="shared" si="11"/>
        <v>1593</v>
      </c>
      <c r="F95" s="557">
        <v>1593</v>
      </c>
      <c r="G95" s="557">
        <v>0</v>
      </c>
      <c r="H95" s="549">
        <f t="shared" si="9"/>
        <v>7126</v>
      </c>
      <c r="I95" s="557">
        <v>7126</v>
      </c>
      <c r="J95" s="557">
        <v>0</v>
      </c>
      <c r="K95" s="557">
        <f t="shared" si="8"/>
        <v>31606</v>
      </c>
      <c r="L95" s="558">
        <v>1803</v>
      </c>
      <c r="M95" s="558">
        <v>6800</v>
      </c>
      <c r="N95" s="558">
        <v>18900</v>
      </c>
      <c r="O95" s="558">
        <v>4103</v>
      </c>
      <c r="P95" s="551"/>
      <c r="Q95" s="556"/>
      <c r="S95" s="556"/>
    </row>
    <row r="96" spans="1:19" x14ac:dyDescent="0.2">
      <c r="A96" s="35">
        <v>86</v>
      </c>
      <c r="B96" s="38" t="s">
        <v>95</v>
      </c>
      <c r="C96" s="37" t="s">
        <v>27</v>
      </c>
      <c r="D96" s="557">
        <f t="shared" si="10"/>
        <v>44736</v>
      </c>
      <c r="E96" s="557">
        <f t="shared" si="11"/>
        <v>5208</v>
      </c>
      <c r="F96" s="557">
        <v>993</v>
      </c>
      <c r="G96" s="557">
        <v>4215</v>
      </c>
      <c r="H96" s="549">
        <f t="shared" si="9"/>
        <v>4517</v>
      </c>
      <c r="I96" s="557">
        <v>4441</v>
      </c>
      <c r="J96" s="557">
        <v>76</v>
      </c>
      <c r="K96" s="557">
        <f t="shared" si="8"/>
        <v>35011</v>
      </c>
      <c r="L96" s="558">
        <v>1124</v>
      </c>
      <c r="M96" s="558">
        <v>3699</v>
      </c>
      <c r="N96" s="558">
        <v>18796</v>
      </c>
      <c r="O96" s="558">
        <v>11392</v>
      </c>
      <c r="P96" s="551"/>
      <c r="Q96" s="556"/>
      <c r="S96" s="556"/>
    </row>
    <row r="97" spans="1:19" x14ac:dyDescent="0.2">
      <c r="A97" s="35">
        <v>87</v>
      </c>
      <c r="B97" s="12" t="s">
        <v>138</v>
      </c>
      <c r="C97" s="9" t="s">
        <v>32</v>
      </c>
      <c r="D97" s="557">
        <f t="shared" si="10"/>
        <v>47516</v>
      </c>
      <c r="E97" s="557">
        <f t="shared" si="11"/>
        <v>5286</v>
      </c>
      <c r="F97" s="557">
        <v>1073</v>
      </c>
      <c r="G97" s="557">
        <v>4213</v>
      </c>
      <c r="H97" s="549">
        <f t="shared" si="9"/>
        <v>4814</v>
      </c>
      <c r="I97" s="557">
        <v>4798</v>
      </c>
      <c r="J97" s="557">
        <v>16</v>
      </c>
      <c r="K97" s="557">
        <f t="shared" si="8"/>
        <v>37416</v>
      </c>
      <c r="L97" s="558">
        <v>1214</v>
      </c>
      <c r="M97" s="558">
        <v>5977</v>
      </c>
      <c r="N97" s="558">
        <v>20675</v>
      </c>
      <c r="O97" s="558">
        <v>9550</v>
      </c>
      <c r="P97" s="551"/>
      <c r="Q97" s="556"/>
      <c r="S97" s="556"/>
    </row>
    <row r="98" spans="1:19" x14ac:dyDescent="0.2">
      <c r="A98" s="35">
        <v>88</v>
      </c>
      <c r="B98" s="12" t="s">
        <v>96</v>
      </c>
      <c r="C98" s="9" t="s">
        <v>18</v>
      </c>
      <c r="D98" s="557">
        <f t="shared" si="10"/>
        <v>128551</v>
      </c>
      <c r="E98" s="557">
        <f t="shared" si="11"/>
        <v>14239</v>
      </c>
      <c r="F98" s="557">
        <v>2846</v>
      </c>
      <c r="G98" s="557">
        <v>11393</v>
      </c>
      <c r="H98" s="549">
        <f t="shared" si="9"/>
        <v>12909</v>
      </c>
      <c r="I98" s="557">
        <v>12729</v>
      </c>
      <c r="J98" s="557">
        <v>180</v>
      </c>
      <c r="K98" s="557">
        <f t="shared" si="8"/>
        <v>101403</v>
      </c>
      <c r="L98" s="558">
        <v>3220</v>
      </c>
      <c r="M98" s="558">
        <v>5581</v>
      </c>
      <c r="N98" s="558">
        <v>56040</v>
      </c>
      <c r="O98" s="558">
        <v>36562</v>
      </c>
      <c r="P98" s="551"/>
      <c r="Q98" s="556"/>
      <c r="S98" s="556"/>
    </row>
    <row r="99" spans="1:19" x14ac:dyDescent="0.2">
      <c r="A99" s="35">
        <v>89</v>
      </c>
      <c r="B99" s="38" t="s">
        <v>139</v>
      </c>
      <c r="C99" s="40" t="s">
        <v>19</v>
      </c>
      <c r="D99" s="557">
        <f t="shared" si="10"/>
        <v>56235</v>
      </c>
      <c r="E99" s="557">
        <f t="shared" si="11"/>
        <v>6149</v>
      </c>
      <c r="F99" s="557">
        <v>1230</v>
      </c>
      <c r="G99" s="557">
        <v>4919</v>
      </c>
      <c r="H99" s="549">
        <f t="shared" si="9"/>
        <v>5538</v>
      </c>
      <c r="I99" s="557">
        <v>5498</v>
      </c>
      <c r="J99" s="557">
        <v>40</v>
      </c>
      <c r="K99" s="557">
        <f t="shared" si="8"/>
        <v>44548</v>
      </c>
      <c r="L99" s="558">
        <v>1391</v>
      </c>
      <c r="M99" s="558">
        <v>5739</v>
      </c>
      <c r="N99" s="558">
        <v>23995</v>
      </c>
      <c r="O99" s="558">
        <v>13423</v>
      </c>
      <c r="P99" s="551"/>
      <c r="Q99" s="556"/>
      <c r="S99" s="556"/>
    </row>
    <row r="100" spans="1:19" x14ac:dyDescent="0.2">
      <c r="A100" s="35">
        <v>90</v>
      </c>
      <c r="B100" s="38" t="s">
        <v>97</v>
      </c>
      <c r="C100" s="37" t="s">
        <v>34</v>
      </c>
      <c r="D100" s="557">
        <f t="shared" si="10"/>
        <v>67117</v>
      </c>
      <c r="E100" s="557">
        <f t="shared" si="11"/>
        <v>6971</v>
      </c>
      <c r="F100" s="557">
        <v>1552</v>
      </c>
      <c r="G100" s="557">
        <v>5419</v>
      </c>
      <c r="H100" s="549">
        <f t="shared" si="9"/>
        <v>6999</v>
      </c>
      <c r="I100" s="557">
        <v>6940</v>
      </c>
      <c r="J100" s="557">
        <v>59</v>
      </c>
      <c r="K100" s="557">
        <f t="shared" si="8"/>
        <v>53147</v>
      </c>
      <c r="L100" s="558">
        <v>1756</v>
      </c>
      <c r="M100" s="558">
        <v>17210</v>
      </c>
      <c r="N100" s="558">
        <v>24894</v>
      </c>
      <c r="O100" s="558">
        <v>9287</v>
      </c>
      <c r="P100" s="551"/>
      <c r="Q100" s="556"/>
      <c r="S100" s="556"/>
    </row>
    <row r="101" spans="1:19" x14ac:dyDescent="0.2">
      <c r="A101" s="35">
        <v>91</v>
      </c>
      <c r="B101" s="36" t="s">
        <v>98</v>
      </c>
      <c r="C101" s="37" t="s">
        <v>42</v>
      </c>
      <c r="D101" s="557">
        <f t="shared" si="10"/>
        <v>137400</v>
      </c>
      <c r="E101" s="557">
        <f t="shared" si="11"/>
        <v>16312</v>
      </c>
      <c r="F101" s="557">
        <v>3010</v>
      </c>
      <c r="G101" s="557">
        <v>13302</v>
      </c>
      <c r="H101" s="549">
        <f t="shared" si="9"/>
        <v>13717</v>
      </c>
      <c r="I101" s="557">
        <v>13462</v>
      </c>
      <c r="J101" s="557">
        <v>255</v>
      </c>
      <c r="K101" s="557">
        <f t="shared" si="8"/>
        <v>107371</v>
      </c>
      <c r="L101" s="558">
        <v>3406</v>
      </c>
      <c r="M101" s="558">
        <v>20634</v>
      </c>
      <c r="N101" s="558">
        <v>48581</v>
      </c>
      <c r="O101" s="558">
        <v>34750</v>
      </c>
      <c r="P101" s="551"/>
      <c r="Q101" s="556"/>
      <c r="S101" s="556"/>
    </row>
    <row r="102" spans="1:19" x14ac:dyDescent="0.2">
      <c r="A102" s="35">
        <v>92</v>
      </c>
      <c r="B102" s="36" t="s">
        <v>99</v>
      </c>
      <c r="C102" s="37" t="s">
        <v>46</v>
      </c>
      <c r="D102" s="557">
        <f t="shared" si="10"/>
        <v>113389</v>
      </c>
      <c r="E102" s="557">
        <f t="shared" si="11"/>
        <v>11970</v>
      </c>
      <c r="F102" s="557">
        <v>2655</v>
      </c>
      <c r="G102" s="557">
        <v>9315</v>
      </c>
      <c r="H102" s="549">
        <f t="shared" si="9"/>
        <v>11990</v>
      </c>
      <c r="I102" s="557">
        <v>11872</v>
      </c>
      <c r="J102" s="557">
        <v>118</v>
      </c>
      <c r="K102" s="557">
        <f t="shared" si="8"/>
        <v>89429</v>
      </c>
      <c r="L102" s="558">
        <v>3004</v>
      </c>
      <c r="M102" s="558">
        <v>8194</v>
      </c>
      <c r="N102" s="558">
        <v>50046</v>
      </c>
      <c r="O102" s="558">
        <v>28185</v>
      </c>
      <c r="P102" s="551"/>
      <c r="Q102" s="556"/>
      <c r="S102" s="556"/>
    </row>
    <row r="103" spans="1:19" ht="19.5" customHeight="1" x14ac:dyDescent="0.2">
      <c r="A103" s="35">
        <v>93</v>
      </c>
      <c r="B103" s="12" t="s">
        <v>149</v>
      </c>
      <c r="C103" s="9" t="s">
        <v>47</v>
      </c>
      <c r="D103" s="557">
        <f t="shared" si="10"/>
        <v>41116</v>
      </c>
      <c r="E103" s="557">
        <f t="shared" si="11"/>
        <v>4922</v>
      </c>
      <c r="F103" s="557">
        <v>881</v>
      </c>
      <c r="G103" s="557">
        <v>4041</v>
      </c>
      <c r="H103" s="549">
        <f t="shared" si="9"/>
        <v>3993</v>
      </c>
      <c r="I103" s="557">
        <v>3938</v>
      </c>
      <c r="J103" s="557">
        <v>55</v>
      </c>
      <c r="K103" s="557">
        <f t="shared" si="8"/>
        <v>32201</v>
      </c>
      <c r="L103" s="560">
        <v>996</v>
      </c>
      <c r="M103" s="560">
        <v>2374</v>
      </c>
      <c r="N103" s="560">
        <v>16829</v>
      </c>
      <c r="O103" s="560">
        <v>12002</v>
      </c>
      <c r="P103" s="551"/>
      <c r="Q103" s="556"/>
      <c r="S103" s="556"/>
    </row>
    <row r="104" spans="1:19" x14ac:dyDescent="0.2">
      <c r="A104" s="35">
        <v>94</v>
      </c>
      <c r="B104" s="39" t="s">
        <v>100</v>
      </c>
      <c r="C104" s="40" t="s">
        <v>50</v>
      </c>
      <c r="D104" s="557">
        <f t="shared" si="10"/>
        <v>66116</v>
      </c>
      <c r="E104" s="557">
        <f t="shared" si="11"/>
        <v>6751</v>
      </c>
      <c r="F104" s="557">
        <v>1571</v>
      </c>
      <c r="G104" s="557">
        <v>5180</v>
      </c>
      <c r="H104" s="549">
        <f t="shared" si="9"/>
        <v>7080</v>
      </c>
      <c r="I104" s="557">
        <v>7024</v>
      </c>
      <c r="J104" s="557">
        <v>56</v>
      </c>
      <c r="K104" s="557">
        <f t="shared" si="8"/>
        <v>52285</v>
      </c>
      <c r="L104" s="560">
        <v>1777</v>
      </c>
      <c r="M104" s="560">
        <v>9530</v>
      </c>
      <c r="N104" s="560">
        <v>18277</v>
      </c>
      <c r="O104" s="560">
        <v>22701</v>
      </c>
      <c r="P104" s="551"/>
      <c r="Q104" s="556"/>
      <c r="S104" s="556"/>
    </row>
    <row r="105" spans="1:19" x14ac:dyDescent="0.2">
      <c r="A105" s="35">
        <v>95</v>
      </c>
      <c r="B105" s="36" t="s">
        <v>150</v>
      </c>
      <c r="C105" s="37" t="s">
        <v>51</v>
      </c>
      <c r="D105" s="557">
        <f t="shared" si="10"/>
        <v>64119</v>
      </c>
      <c r="E105" s="557">
        <f t="shared" si="11"/>
        <v>6761</v>
      </c>
      <c r="F105" s="557">
        <v>1456</v>
      </c>
      <c r="G105" s="557">
        <v>5305</v>
      </c>
      <c r="H105" s="549">
        <f t="shared" si="9"/>
        <v>6583</v>
      </c>
      <c r="I105" s="557">
        <v>6513</v>
      </c>
      <c r="J105" s="557">
        <v>70</v>
      </c>
      <c r="K105" s="557">
        <f t="shared" si="8"/>
        <v>50775</v>
      </c>
      <c r="L105" s="558">
        <v>1648</v>
      </c>
      <c r="M105" s="558">
        <v>5190</v>
      </c>
      <c r="N105" s="558">
        <v>20617</v>
      </c>
      <c r="O105" s="558">
        <v>23320</v>
      </c>
      <c r="P105" s="551"/>
      <c r="Q105" s="556"/>
      <c r="S105" s="556"/>
    </row>
    <row r="106" spans="1:19" x14ac:dyDescent="0.2">
      <c r="A106" s="35">
        <v>96</v>
      </c>
      <c r="B106" s="38" t="s">
        <v>101</v>
      </c>
      <c r="C106" s="37" t="s">
        <v>20</v>
      </c>
      <c r="D106" s="557">
        <f t="shared" si="10"/>
        <v>82944</v>
      </c>
      <c r="E106" s="557">
        <f t="shared" si="11"/>
        <v>8588</v>
      </c>
      <c r="F106" s="557">
        <v>1637</v>
      </c>
      <c r="G106" s="557">
        <v>6951</v>
      </c>
      <c r="H106" s="549">
        <f t="shared" si="9"/>
        <v>7385</v>
      </c>
      <c r="I106" s="557">
        <v>7320</v>
      </c>
      <c r="J106" s="557">
        <v>65</v>
      </c>
      <c r="K106" s="557">
        <f t="shared" si="8"/>
        <v>66971</v>
      </c>
      <c r="L106" s="558">
        <v>1852</v>
      </c>
      <c r="M106" s="558">
        <v>10661</v>
      </c>
      <c r="N106" s="558">
        <v>24473</v>
      </c>
      <c r="O106" s="558">
        <v>29985</v>
      </c>
      <c r="P106" s="551"/>
      <c r="Q106" s="556"/>
      <c r="S106" s="556"/>
    </row>
    <row r="107" spans="1:19" x14ac:dyDescent="0.2">
      <c r="A107" s="35">
        <v>97</v>
      </c>
      <c r="B107" s="12" t="s">
        <v>102</v>
      </c>
      <c r="C107" s="9" t="s">
        <v>55</v>
      </c>
      <c r="D107" s="557">
        <f t="shared" si="10"/>
        <v>49950</v>
      </c>
      <c r="E107" s="557">
        <f t="shared" si="11"/>
        <v>5508</v>
      </c>
      <c r="F107" s="557">
        <v>1142</v>
      </c>
      <c r="G107" s="557">
        <v>4366</v>
      </c>
      <c r="H107" s="549">
        <f t="shared" si="9"/>
        <v>5177</v>
      </c>
      <c r="I107" s="557">
        <v>5108</v>
      </c>
      <c r="J107" s="557">
        <v>69</v>
      </c>
      <c r="K107" s="557">
        <f t="shared" si="8"/>
        <v>39265</v>
      </c>
      <c r="L107" s="558">
        <v>1292</v>
      </c>
      <c r="M107" s="558">
        <v>4244</v>
      </c>
      <c r="N107" s="558">
        <v>19292</v>
      </c>
      <c r="O107" s="558">
        <v>14437</v>
      </c>
      <c r="P107" s="551"/>
      <c r="Q107" s="556"/>
      <c r="S107" s="556"/>
    </row>
    <row r="108" spans="1:19" x14ac:dyDescent="0.2">
      <c r="A108" s="35">
        <v>98</v>
      </c>
      <c r="B108" s="12" t="s">
        <v>103</v>
      </c>
      <c r="C108" s="9" t="s">
        <v>60</v>
      </c>
      <c r="D108" s="557">
        <f t="shared" si="10"/>
        <v>72214</v>
      </c>
      <c r="E108" s="557">
        <f t="shared" si="11"/>
        <v>7745</v>
      </c>
      <c r="F108" s="557">
        <v>1676</v>
      </c>
      <c r="G108" s="557">
        <v>6069</v>
      </c>
      <c r="H108" s="549">
        <f t="shared" si="9"/>
        <v>7542</v>
      </c>
      <c r="I108" s="557">
        <v>7493</v>
      </c>
      <c r="J108" s="557">
        <v>49</v>
      </c>
      <c r="K108" s="557">
        <f t="shared" si="8"/>
        <v>56927</v>
      </c>
      <c r="L108" s="558">
        <v>1896</v>
      </c>
      <c r="M108" s="558">
        <v>9389</v>
      </c>
      <c r="N108" s="558">
        <v>20955</v>
      </c>
      <c r="O108" s="558">
        <v>24687</v>
      </c>
      <c r="P108" s="551"/>
      <c r="Q108" s="556"/>
      <c r="S108" s="556"/>
    </row>
    <row r="109" spans="1:19" x14ac:dyDescent="0.2">
      <c r="A109" s="35">
        <v>99</v>
      </c>
      <c r="B109" s="36" t="s">
        <v>104</v>
      </c>
      <c r="C109" s="37" t="s">
        <v>21</v>
      </c>
      <c r="D109" s="557">
        <f t="shared" si="10"/>
        <v>123892</v>
      </c>
      <c r="E109" s="557">
        <f t="shared" si="11"/>
        <v>12899</v>
      </c>
      <c r="F109" s="557">
        <v>2913</v>
      </c>
      <c r="G109" s="557">
        <v>9986</v>
      </c>
      <c r="H109" s="549">
        <f t="shared" si="9"/>
        <v>13104</v>
      </c>
      <c r="I109" s="557">
        <v>13026</v>
      </c>
      <c r="J109" s="557">
        <v>78</v>
      </c>
      <c r="K109" s="557">
        <f t="shared" si="8"/>
        <v>97889</v>
      </c>
      <c r="L109" s="558">
        <v>3296</v>
      </c>
      <c r="M109" s="558">
        <v>38031</v>
      </c>
      <c r="N109" s="558">
        <v>33356</v>
      </c>
      <c r="O109" s="558">
        <v>23206</v>
      </c>
      <c r="P109" s="551"/>
      <c r="Q109" s="556"/>
      <c r="S109" s="556"/>
    </row>
    <row r="110" spans="1:19" x14ac:dyDescent="0.2">
      <c r="A110" s="35">
        <v>100</v>
      </c>
      <c r="B110" s="38" t="s">
        <v>105</v>
      </c>
      <c r="C110" s="37" t="s">
        <v>62</v>
      </c>
      <c r="D110" s="557">
        <f t="shared" si="10"/>
        <v>54789</v>
      </c>
      <c r="E110" s="557">
        <f t="shared" si="11"/>
        <v>5958</v>
      </c>
      <c r="F110" s="557">
        <v>1271</v>
      </c>
      <c r="G110" s="557">
        <v>4687</v>
      </c>
      <c r="H110" s="549">
        <f t="shared" si="9"/>
        <v>5759</v>
      </c>
      <c r="I110" s="557">
        <v>5683</v>
      </c>
      <c r="J110" s="557">
        <v>76</v>
      </c>
      <c r="K110" s="557">
        <f t="shared" si="8"/>
        <v>43072</v>
      </c>
      <c r="L110" s="558">
        <v>1438</v>
      </c>
      <c r="M110" s="558">
        <v>12080</v>
      </c>
      <c r="N110" s="558">
        <v>23822</v>
      </c>
      <c r="O110" s="558">
        <v>5732</v>
      </c>
      <c r="P110" s="551"/>
      <c r="Q110" s="556"/>
      <c r="S110" s="556"/>
    </row>
    <row r="111" spans="1:19" x14ac:dyDescent="0.2">
      <c r="A111" s="35">
        <v>101</v>
      </c>
      <c r="B111" s="36" t="s">
        <v>229</v>
      </c>
      <c r="C111" s="9" t="s">
        <v>230</v>
      </c>
      <c r="D111" s="557">
        <f t="shared" si="10"/>
        <v>6160</v>
      </c>
      <c r="E111" s="557">
        <f t="shared" si="11"/>
        <v>0</v>
      </c>
      <c r="F111" s="557">
        <v>0</v>
      </c>
      <c r="G111" s="557">
        <v>0</v>
      </c>
      <c r="H111" s="549">
        <f t="shared" si="9"/>
        <v>0</v>
      </c>
      <c r="I111" s="557">
        <v>0</v>
      </c>
      <c r="J111" s="557">
        <v>0</v>
      </c>
      <c r="K111" s="557">
        <f t="shared" si="8"/>
        <v>6160</v>
      </c>
      <c r="L111" s="558">
        <v>0</v>
      </c>
      <c r="M111" s="558">
        <v>616</v>
      </c>
      <c r="N111" s="558">
        <v>5544</v>
      </c>
      <c r="O111" s="558">
        <v>0</v>
      </c>
      <c r="P111" s="551"/>
      <c r="Q111" s="556"/>
      <c r="S111" s="556"/>
    </row>
    <row r="112" spans="1:19" x14ac:dyDescent="0.2">
      <c r="A112" s="35">
        <v>102</v>
      </c>
      <c r="B112" s="36" t="s">
        <v>231</v>
      </c>
      <c r="C112" s="37" t="s">
        <v>232</v>
      </c>
      <c r="D112" s="557">
        <f t="shared" si="10"/>
        <v>0</v>
      </c>
      <c r="E112" s="557">
        <f t="shared" si="11"/>
        <v>0</v>
      </c>
      <c r="F112" s="557">
        <v>0</v>
      </c>
      <c r="G112" s="557">
        <v>0</v>
      </c>
      <c r="H112" s="549">
        <f t="shared" si="9"/>
        <v>0</v>
      </c>
      <c r="I112" s="557">
        <v>0</v>
      </c>
      <c r="J112" s="557">
        <v>0</v>
      </c>
      <c r="K112" s="557">
        <f t="shared" si="8"/>
        <v>0</v>
      </c>
      <c r="L112" s="558">
        <v>0</v>
      </c>
      <c r="M112" s="558">
        <v>0</v>
      </c>
      <c r="N112" s="558">
        <v>0</v>
      </c>
      <c r="O112" s="558">
        <v>0</v>
      </c>
      <c r="P112" s="551"/>
      <c r="Q112" s="556"/>
      <c r="S112" s="556"/>
    </row>
    <row r="113" spans="1:19" x14ac:dyDescent="0.2">
      <c r="A113" s="35">
        <v>103</v>
      </c>
      <c r="B113" s="12" t="s">
        <v>233</v>
      </c>
      <c r="C113" s="9" t="s">
        <v>234</v>
      </c>
      <c r="D113" s="557">
        <f t="shared" si="10"/>
        <v>2080</v>
      </c>
      <c r="E113" s="557">
        <f t="shared" si="11"/>
        <v>0</v>
      </c>
      <c r="F113" s="557">
        <v>0</v>
      </c>
      <c r="G113" s="557">
        <v>0</v>
      </c>
      <c r="H113" s="549">
        <f t="shared" si="9"/>
        <v>0</v>
      </c>
      <c r="I113" s="557">
        <v>0</v>
      </c>
      <c r="J113" s="557">
        <v>0</v>
      </c>
      <c r="K113" s="557">
        <f t="shared" si="8"/>
        <v>2080</v>
      </c>
      <c r="L113" s="558">
        <v>0</v>
      </c>
      <c r="M113" s="558">
        <v>208</v>
      </c>
      <c r="N113" s="558">
        <v>1872</v>
      </c>
      <c r="O113" s="558">
        <v>0</v>
      </c>
      <c r="P113" s="551"/>
      <c r="Q113" s="556"/>
      <c r="S113" s="556"/>
    </row>
    <row r="114" spans="1:19" x14ac:dyDescent="0.2">
      <c r="A114" s="35">
        <v>104</v>
      </c>
      <c r="B114" s="12" t="s">
        <v>235</v>
      </c>
      <c r="C114" s="9" t="s">
        <v>236</v>
      </c>
      <c r="D114" s="557">
        <f t="shared" si="10"/>
        <v>0</v>
      </c>
      <c r="E114" s="557">
        <f t="shared" si="11"/>
        <v>0</v>
      </c>
      <c r="F114" s="557">
        <v>0</v>
      </c>
      <c r="G114" s="557">
        <v>0</v>
      </c>
      <c r="H114" s="549">
        <f t="shared" si="9"/>
        <v>0</v>
      </c>
      <c r="I114" s="557">
        <v>0</v>
      </c>
      <c r="J114" s="557">
        <v>0</v>
      </c>
      <c r="K114" s="557">
        <f t="shared" si="8"/>
        <v>0</v>
      </c>
      <c r="L114" s="558">
        <v>0</v>
      </c>
      <c r="M114" s="558">
        <v>0</v>
      </c>
      <c r="N114" s="558">
        <v>0</v>
      </c>
      <c r="O114" s="558">
        <v>0</v>
      </c>
      <c r="P114" s="551"/>
      <c r="Q114" s="556"/>
      <c r="S114" s="556"/>
    </row>
    <row r="115" spans="1:19" x14ac:dyDescent="0.2">
      <c r="A115" s="35">
        <v>105</v>
      </c>
      <c r="B115" s="12" t="s">
        <v>237</v>
      </c>
      <c r="C115" s="9" t="s">
        <v>238</v>
      </c>
      <c r="D115" s="557">
        <f t="shared" si="10"/>
        <v>0</v>
      </c>
      <c r="E115" s="557">
        <f t="shared" si="11"/>
        <v>0</v>
      </c>
      <c r="F115" s="557">
        <v>0</v>
      </c>
      <c r="G115" s="557">
        <v>0</v>
      </c>
      <c r="H115" s="549">
        <f t="shared" si="9"/>
        <v>0</v>
      </c>
      <c r="I115" s="557">
        <v>0</v>
      </c>
      <c r="J115" s="557">
        <v>0</v>
      </c>
      <c r="K115" s="557">
        <f t="shared" si="8"/>
        <v>0</v>
      </c>
      <c r="L115" s="558">
        <v>0</v>
      </c>
      <c r="M115" s="558">
        <v>0</v>
      </c>
      <c r="N115" s="558">
        <v>0</v>
      </c>
      <c r="O115" s="558">
        <v>0</v>
      </c>
      <c r="P115" s="551"/>
      <c r="Q115" s="556"/>
      <c r="S115" s="556"/>
    </row>
    <row r="116" spans="1:19" ht="24" x14ac:dyDescent="0.2">
      <c r="A116" s="35">
        <v>106</v>
      </c>
      <c r="B116" s="12" t="s">
        <v>239</v>
      </c>
      <c r="C116" s="9" t="s">
        <v>240</v>
      </c>
      <c r="D116" s="557">
        <f t="shared" si="10"/>
        <v>0</v>
      </c>
      <c r="E116" s="557">
        <f t="shared" si="11"/>
        <v>0</v>
      </c>
      <c r="F116" s="557">
        <v>0</v>
      </c>
      <c r="G116" s="557">
        <v>0</v>
      </c>
      <c r="H116" s="549">
        <f t="shared" si="9"/>
        <v>0</v>
      </c>
      <c r="I116" s="557">
        <v>0</v>
      </c>
      <c r="J116" s="557">
        <v>0</v>
      </c>
      <c r="K116" s="557">
        <f t="shared" si="8"/>
        <v>0</v>
      </c>
      <c r="L116" s="558">
        <v>0</v>
      </c>
      <c r="M116" s="558">
        <v>0</v>
      </c>
      <c r="N116" s="558">
        <v>0</v>
      </c>
      <c r="O116" s="558">
        <v>0</v>
      </c>
      <c r="P116" s="551"/>
      <c r="Q116" s="556"/>
      <c r="S116" s="556"/>
    </row>
    <row r="117" spans="1:19" x14ac:dyDescent="0.2">
      <c r="A117" s="35">
        <v>107</v>
      </c>
      <c r="B117" s="12" t="s">
        <v>241</v>
      </c>
      <c r="C117" s="9" t="s">
        <v>242</v>
      </c>
      <c r="D117" s="557">
        <f t="shared" si="10"/>
        <v>0</v>
      </c>
      <c r="E117" s="557">
        <f t="shared" si="11"/>
        <v>0</v>
      </c>
      <c r="F117" s="557">
        <v>0</v>
      </c>
      <c r="G117" s="557">
        <v>0</v>
      </c>
      <c r="H117" s="549">
        <f t="shared" si="9"/>
        <v>0</v>
      </c>
      <c r="I117" s="557">
        <v>0</v>
      </c>
      <c r="J117" s="557">
        <v>0</v>
      </c>
      <c r="K117" s="557">
        <f t="shared" si="8"/>
        <v>0</v>
      </c>
      <c r="L117" s="558">
        <v>0</v>
      </c>
      <c r="M117" s="558">
        <v>0</v>
      </c>
      <c r="N117" s="558">
        <v>0</v>
      </c>
      <c r="O117" s="558">
        <v>0</v>
      </c>
      <c r="P117" s="551"/>
      <c r="Q117" s="556"/>
      <c r="S117" s="556"/>
    </row>
    <row r="118" spans="1:19" x14ac:dyDescent="0.2">
      <c r="A118" s="35">
        <v>108</v>
      </c>
      <c r="B118" s="12" t="s">
        <v>243</v>
      </c>
      <c r="C118" s="9" t="s">
        <v>244</v>
      </c>
      <c r="D118" s="557">
        <f t="shared" si="10"/>
        <v>25920</v>
      </c>
      <c r="E118" s="557">
        <f t="shared" si="11"/>
        <v>0</v>
      </c>
      <c r="F118" s="557">
        <v>0</v>
      </c>
      <c r="G118" s="557">
        <v>0</v>
      </c>
      <c r="H118" s="549">
        <f t="shared" si="9"/>
        <v>0</v>
      </c>
      <c r="I118" s="557">
        <v>0</v>
      </c>
      <c r="J118" s="557">
        <v>0</v>
      </c>
      <c r="K118" s="557">
        <f t="shared" si="8"/>
        <v>25920</v>
      </c>
      <c r="L118" s="558">
        <v>0</v>
      </c>
      <c r="M118" s="558">
        <v>2592</v>
      </c>
      <c r="N118" s="558">
        <v>23328</v>
      </c>
      <c r="O118" s="558">
        <v>0</v>
      </c>
      <c r="P118" s="551"/>
      <c r="Q118" s="556"/>
      <c r="S118" s="556"/>
    </row>
    <row r="119" spans="1:19" x14ac:dyDescent="0.2">
      <c r="A119" s="35">
        <v>109</v>
      </c>
      <c r="B119" s="43" t="s">
        <v>245</v>
      </c>
      <c r="C119" s="11" t="s">
        <v>246</v>
      </c>
      <c r="D119" s="557">
        <f t="shared" si="10"/>
        <v>0</v>
      </c>
      <c r="E119" s="557">
        <f t="shared" si="11"/>
        <v>0</v>
      </c>
      <c r="F119" s="557">
        <v>0</v>
      </c>
      <c r="G119" s="557">
        <v>0</v>
      </c>
      <c r="H119" s="549">
        <f t="shared" si="9"/>
        <v>0</v>
      </c>
      <c r="I119" s="557">
        <v>0</v>
      </c>
      <c r="J119" s="557">
        <v>0</v>
      </c>
      <c r="K119" s="557">
        <f t="shared" si="8"/>
        <v>0</v>
      </c>
      <c r="L119" s="558">
        <v>0</v>
      </c>
      <c r="M119" s="558">
        <v>0</v>
      </c>
      <c r="N119" s="558">
        <v>0</v>
      </c>
      <c r="O119" s="558">
        <v>0</v>
      </c>
      <c r="P119" s="551"/>
      <c r="Q119" s="556"/>
      <c r="S119" s="556"/>
    </row>
    <row r="120" spans="1:19" x14ac:dyDescent="0.2">
      <c r="A120" s="35">
        <v>110</v>
      </c>
      <c r="B120" s="43" t="s">
        <v>2270</v>
      </c>
      <c r="C120" s="11" t="s">
        <v>247</v>
      </c>
      <c r="D120" s="557">
        <f t="shared" si="10"/>
        <v>100</v>
      </c>
      <c r="E120" s="557">
        <f t="shared" si="11"/>
        <v>0</v>
      </c>
      <c r="F120" s="557">
        <v>0</v>
      </c>
      <c r="G120" s="557">
        <v>0</v>
      </c>
      <c r="H120" s="549">
        <f t="shared" si="9"/>
        <v>0</v>
      </c>
      <c r="I120" s="557">
        <v>0</v>
      </c>
      <c r="J120" s="557">
        <v>0</v>
      </c>
      <c r="K120" s="557">
        <f t="shared" si="8"/>
        <v>100</v>
      </c>
      <c r="L120" s="558">
        <v>0</v>
      </c>
      <c r="M120" s="558">
        <v>0</v>
      </c>
      <c r="N120" s="558">
        <v>100</v>
      </c>
      <c r="O120" s="558">
        <v>0</v>
      </c>
      <c r="P120" s="551"/>
      <c r="Q120" s="556"/>
      <c r="S120" s="556"/>
    </row>
    <row r="121" spans="1:19" x14ac:dyDescent="0.2">
      <c r="A121" s="35">
        <v>111</v>
      </c>
      <c r="B121" s="38" t="s">
        <v>248</v>
      </c>
      <c r="C121" s="37" t="s">
        <v>249</v>
      </c>
      <c r="D121" s="557">
        <f t="shared" si="10"/>
        <v>0</v>
      </c>
      <c r="E121" s="557">
        <f t="shared" si="11"/>
        <v>0</v>
      </c>
      <c r="F121" s="557">
        <v>0</v>
      </c>
      <c r="G121" s="557">
        <v>0</v>
      </c>
      <c r="H121" s="549">
        <f t="shared" si="9"/>
        <v>0</v>
      </c>
      <c r="I121" s="557">
        <v>0</v>
      </c>
      <c r="J121" s="557">
        <v>0</v>
      </c>
      <c r="K121" s="557">
        <f t="shared" si="8"/>
        <v>0</v>
      </c>
      <c r="L121" s="558">
        <v>0</v>
      </c>
      <c r="M121" s="558">
        <v>0</v>
      </c>
      <c r="N121" s="558">
        <v>0</v>
      </c>
      <c r="O121" s="558">
        <v>0</v>
      </c>
      <c r="P121" s="551"/>
      <c r="Q121" s="556"/>
      <c r="S121" s="556"/>
    </row>
    <row r="122" spans="1:19" x14ac:dyDescent="0.2">
      <c r="A122" s="35">
        <v>112</v>
      </c>
      <c r="B122" s="12" t="s">
        <v>250</v>
      </c>
      <c r="C122" s="9" t="s">
        <v>251</v>
      </c>
      <c r="D122" s="557">
        <f t="shared" si="10"/>
        <v>0</v>
      </c>
      <c r="E122" s="557">
        <f t="shared" si="11"/>
        <v>0</v>
      </c>
      <c r="F122" s="557">
        <v>0</v>
      </c>
      <c r="G122" s="557">
        <v>0</v>
      </c>
      <c r="H122" s="549">
        <f t="shared" si="9"/>
        <v>0</v>
      </c>
      <c r="I122" s="557">
        <v>0</v>
      </c>
      <c r="J122" s="557">
        <v>0</v>
      </c>
      <c r="K122" s="557">
        <f t="shared" si="8"/>
        <v>0</v>
      </c>
      <c r="L122" s="558">
        <v>0</v>
      </c>
      <c r="M122" s="558">
        <v>0</v>
      </c>
      <c r="N122" s="558">
        <v>0</v>
      </c>
      <c r="O122" s="558">
        <v>0</v>
      </c>
      <c r="P122" s="551"/>
      <c r="Q122" s="556"/>
      <c r="S122" s="556"/>
    </row>
    <row r="123" spans="1:19" x14ac:dyDescent="0.2">
      <c r="A123" s="35">
        <v>113</v>
      </c>
      <c r="B123" s="36" t="s">
        <v>252</v>
      </c>
      <c r="C123" s="44" t="s">
        <v>253</v>
      </c>
      <c r="D123" s="557">
        <f t="shared" si="10"/>
        <v>0</v>
      </c>
      <c r="E123" s="557">
        <f t="shared" si="11"/>
        <v>0</v>
      </c>
      <c r="F123" s="557">
        <v>0</v>
      </c>
      <c r="G123" s="557">
        <v>0</v>
      </c>
      <c r="H123" s="549">
        <f t="shared" si="9"/>
        <v>0</v>
      </c>
      <c r="I123" s="557">
        <v>0</v>
      </c>
      <c r="J123" s="557">
        <v>0</v>
      </c>
      <c r="K123" s="557">
        <f t="shared" si="8"/>
        <v>0</v>
      </c>
      <c r="L123" s="558">
        <v>0</v>
      </c>
      <c r="M123" s="558">
        <v>0</v>
      </c>
      <c r="N123" s="558">
        <v>0</v>
      </c>
      <c r="O123" s="558">
        <v>0</v>
      </c>
      <c r="P123" s="551"/>
      <c r="Q123" s="556"/>
      <c r="S123" s="556"/>
    </row>
    <row r="124" spans="1:19" ht="24" x14ac:dyDescent="0.2">
      <c r="A124" s="35">
        <v>114</v>
      </c>
      <c r="B124" s="12" t="s">
        <v>254</v>
      </c>
      <c r="C124" s="9" t="s">
        <v>255</v>
      </c>
      <c r="D124" s="557">
        <f t="shared" si="10"/>
        <v>0</v>
      </c>
      <c r="E124" s="557">
        <f t="shared" si="11"/>
        <v>0</v>
      </c>
      <c r="F124" s="557">
        <v>0</v>
      </c>
      <c r="G124" s="557">
        <v>0</v>
      </c>
      <c r="H124" s="549">
        <f t="shared" si="9"/>
        <v>0</v>
      </c>
      <c r="I124" s="557">
        <v>0</v>
      </c>
      <c r="J124" s="557">
        <v>0</v>
      </c>
      <c r="K124" s="557">
        <f t="shared" si="8"/>
        <v>0</v>
      </c>
      <c r="L124" s="558">
        <v>0</v>
      </c>
      <c r="M124" s="558">
        <v>0</v>
      </c>
      <c r="N124" s="558">
        <v>0</v>
      </c>
      <c r="O124" s="558">
        <v>0</v>
      </c>
      <c r="P124" s="551"/>
      <c r="Q124" s="556"/>
      <c r="S124" s="556"/>
    </row>
    <row r="125" spans="1:19" ht="24" x14ac:dyDescent="0.2">
      <c r="A125" s="35">
        <v>115</v>
      </c>
      <c r="B125" s="12" t="s">
        <v>256</v>
      </c>
      <c r="C125" s="9" t="s">
        <v>257</v>
      </c>
      <c r="D125" s="557">
        <f t="shared" si="10"/>
        <v>0</v>
      </c>
      <c r="E125" s="557">
        <f t="shared" si="11"/>
        <v>0</v>
      </c>
      <c r="F125" s="557">
        <v>0</v>
      </c>
      <c r="G125" s="557">
        <v>0</v>
      </c>
      <c r="H125" s="549">
        <f t="shared" si="9"/>
        <v>0</v>
      </c>
      <c r="I125" s="557">
        <v>0</v>
      </c>
      <c r="J125" s="557">
        <v>0</v>
      </c>
      <c r="K125" s="557">
        <f t="shared" si="8"/>
        <v>0</v>
      </c>
      <c r="L125" s="558">
        <v>0</v>
      </c>
      <c r="M125" s="558">
        <v>0</v>
      </c>
      <c r="N125" s="558">
        <v>0</v>
      </c>
      <c r="O125" s="558">
        <v>0</v>
      </c>
      <c r="P125" s="551"/>
      <c r="Q125" s="556"/>
      <c r="S125" s="556"/>
    </row>
    <row r="126" spans="1:19" x14ac:dyDescent="0.2">
      <c r="A126" s="35">
        <v>116</v>
      </c>
      <c r="B126" s="38" t="s">
        <v>258</v>
      </c>
      <c r="C126" s="9" t="s">
        <v>259</v>
      </c>
      <c r="D126" s="557">
        <f t="shared" si="10"/>
        <v>0</v>
      </c>
      <c r="E126" s="557">
        <f t="shared" si="11"/>
        <v>0</v>
      </c>
      <c r="F126" s="557">
        <v>0</v>
      </c>
      <c r="G126" s="557">
        <v>0</v>
      </c>
      <c r="H126" s="549">
        <f t="shared" si="9"/>
        <v>0</v>
      </c>
      <c r="I126" s="557">
        <v>0</v>
      </c>
      <c r="J126" s="557">
        <v>0</v>
      </c>
      <c r="K126" s="557">
        <f t="shared" si="8"/>
        <v>0</v>
      </c>
      <c r="L126" s="558">
        <v>0</v>
      </c>
      <c r="M126" s="558">
        <v>0</v>
      </c>
      <c r="N126" s="558">
        <v>0</v>
      </c>
      <c r="O126" s="558">
        <v>0</v>
      </c>
      <c r="P126" s="551"/>
      <c r="Q126" s="556"/>
      <c r="S126" s="556"/>
    </row>
    <row r="127" spans="1:19" x14ac:dyDescent="0.2">
      <c r="A127" s="35">
        <v>117</v>
      </c>
      <c r="B127" s="38" t="s">
        <v>260</v>
      </c>
      <c r="C127" s="9" t="s">
        <v>261</v>
      </c>
      <c r="D127" s="557">
        <f t="shared" si="10"/>
        <v>0</v>
      </c>
      <c r="E127" s="557">
        <f t="shared" si="11"/>
        <v>0</v>
      </c>
      <c r="F127" s="557">
        <v>0</v>
      </c>
      <c r="G127" s="557">
        <v>0</v>
      </c>
      <c r="H127" s="549">
        <f t="shared" si="9"/>
        <v>0</v>
      </c>
      <c r="I127" s="557">
        <v>0</v>
      </c>
      <c r="J127" s="557">
        <v>0</v>
      </c>
      <c r="K127" s="557">
        <f t="shared" si="8"/>
        <v>0</v>
      </c>
      <c r="L127" s="558">
        <v>0</v>
      </c>
      <c r="M127" s="558">
        <v>0</v>
      </c>
      <c r="N127" s="558">
        <v>0</v>
      </c>
      <c r="O127" s="558">
        <v>0</v>
      </c>
      <c r="P127" s="551"/>
      <c r="Q127" s="556"/>
      <c r="S127" s="556"/>
    </row>
    <row r="128" spans="1:19" x14ac:dyDescent="0.2">
      <c r="A128" s="35">
        <v>118</v>
      </c>
      <c r="B128" s="38" t="s">
        <v>262</v>
      </c>
      <c r="C128" s="9" t="s">
        <v>263</v>
      </c>
      <c r="D128" s="557">
        <f t="shared" si="10"/>
        <v>0</v>
      </c>
      <c r="E128" s="557">
        <f t="shared" si="11"/>
        <v>0</v>
      </c>
      <c r="F128" s="557">
        <v>0</v>
      </c>
      <c r="G128" s="557">
        <v>0</v>
      </c>
      <c r="H128" s="549">
        <f t="shared" si="9"/>
        <v>0</v>
      </c>
      <c r="I128" s="557">
        <v>0</v>
      </c>
      <c r="J128" s="557">
        <v>0</v>
      </c>
      <c r="K128" s="557">
        <f t="shared" si="8"/>
        <v>0</v>
      </c>
      <c r="L128" s="558">
        <v>0</v>
      </c>
      <c r="M128" s="558">
        <v>0</v>
      </c>
      <c r="N128" s="558">
        <v>0</v>
      </c>
      <c r="O128" s="558">
        <v>0</v>
      </c>
      <c r="P128" s="551"/>
      <c r="Q128" s="556"/>
      <c r="S128" s="556"/>
    </row>
    <row r="129" spans="1:19" x14ac:dyDescent="0.2">
      <c r="A129" s="35">
        <v>119</v>
      </c>
      <c r="B129" s="36" t="s">
        <v>264</v>
      </c>
      <c r="C129" s="37" t="s">
        <v>265</v>
      </c>
      <c r="D129" s="557">
        <f t="shared" si="10"/>
        <v>2200</v>
      </c>
      <c r="E129" s="557">
        <f t="shared" si="11"/>
        <v>0</v>
      </c>
      <c r="F129" s="558">
        <v>0</v>
      </c>
      <c r="G129" s="558">
        <v>0</v>
      </c>
      <c r="H129" s="549">
        <f t="shared" si="9"/>
        <v>0</v>
      </c>
      <c r="I129" s="558">
        <v>0</v>
      </c>
      <c r="J129" s="558">
        <v>0</v>
      </c>
      <c r="K129" s="557">
        <f t="shared" si="8"/>
        <v>2200</v>
      </c>
      <c r="L129" s="558">
        <v>0</v>
      </c>
      <c r="M129" s="558">
        <v>220</v>
      </c>
      <c r="N129" s="558">
        <v>1980</v>
      </c>
      <c r="O129" s="558">
        <v>0</v>
      </c>
      <c r="P129" s="551"/>
      <c r="Q129" s="556"/>
      <c r="S129" s="556"/>
    </row>
    <row r="130" spans="1:19" x14ac:dyDescent="0.2">
      <c r="A130" s="35">
        <v>120</v>
      </c>
      <c r="B130" s="38" t="s">
        <v>266</v>
      </c>
      <c r="C130" s="37" t="s">
        <v>267</v>
      </c>
      <c r="D130" s="557">
        <f t="shared" si="10"/>
        <v>0</v>
      </c>
      <c r="E130" s="557">
        <f t="shared" si="11"/>
        <v>0</v>
      </c>
      <c r="F130" s="558">
        <v>0</v>
      </c>
      <c r="G130" s="558">
        <v>0</v>
      </c>
      <c r="H130" s="549">
        <f t="shared" si="9"/>
        <v>0</v>
      </c>
      <c r="I130" s="558">
        <v>0</v>
      </c>
      <c r="J130" s="558">
        <v>0</v>
      </c>
      <c r="K130" s="557">
        <f t="shared" si="8"/>
        <v>0</v>
      </c>
      <c r="L130" s="558">
        <v>0</v>
      </c>
      <c r="M130" s="558">
        <v>0</v>
      </c>
      <c r="N130" s="558">
        <v>0</v>
      </c>
      <c r="O130" s="558">
        <v>0</v>
      </c>
      <c r="P130" s="551"/>
      <c r="Q130" s="556"/>
      <c r="S130" s="556"/>
    </row>
    <row r="131" spans="1:19" x14ac:dyDescent="0.2">
      <c r="A131" s="35">
        <v>121</v>
      </c>
      <c r="B131" s="12" t="s">
        <v>268</v>
      </c>
      <c r="C131" s="9" t="s">
        <v>269</v>
      </c>
      <c r="D131" s="557">
        <f t="shared" si="10"/>
        <v>9720</v>
      </c>
      <c r="E131" s="557">
        <f t="shared" si="11"/>
        <v>0</v>
      </c>
      <c r="F131" s="558">
        <v>0</v>
      </c>
      <c r="G131" s="558">
        <v>0</v>
      </c>
      <c r="H131" s="549">
        <f t="shared" si="9"/>
        <v>0</v>
      </c>
      <c r="I131" s="558">
        <v>0</v>
      </c>
      <c r="J131" s="558">
        <v>0</v>
      </c>
      <c r="K131" s="557">
        <f t="shared" si="8"/>
        <v>9720</v>
      </c>
      <c r="L131" s="558">
        <v>0</v>
      </c>
      <c r="M131" s="558">
        <v>972</v>
      </c>
      <c r="N131" s="558">
        <v>8748</v>
      </c>
      <c r="O131" s="558">
        <v>0</v>
      </c>
      <c r="P131" s="551"/>
      <c r="Q131" s="556"/>
      <c r="S131" s="556"/>
    </row>
    <row r="132" spans="1:19" x14ac:dyDescent="0.2">
      <c r="A132" s="35">
        <v>122</v>
      </c>
      <c r="B132" s="12" t="s">
        <v>270</v>
      </c>
      <c r="C132" s="9" t="s">
        <v>271</v>
      </c>
      <c r="D132" s="557">
        <f t="shared" si="10"/>
        <v>0</v>
      </c>
      <c r="E132" s="557">
        <f t="shared" si="11"/>
        <v>0</v>
      </c>
      <c r="F132" s="558">
        <v>0</v>
      </c>
      <c r="G132" s="558">
        <v>0</v>
      </c>
      <c r="H132" s="549">
        <f t="shared" si="9"/>
        <v>0</v>
      </c>
      <c r="I132" s="558">
        <v>0</v>
      </c>
      <c r="J132" s="558">
        <v>0</v>
      </c>
      <c r="K132" s="557">
        <f t="shared" si="8"/>
        <v>0</v>
      </c>
      <c r="L132" s="558">
        <v>0</v>
      </c>
      <c r="M132" s="558">
        <v>0</v>
      </c>
      <c r="N132" s="558">
        <v>0</v>
      </c>
      <c r="O132" s="558">
        <v>0</v>
      </c>
      <c r="P132" s="551"/>
      <c r="Q132" s="556"/>
      <c r="S132" s="556"/>
    </row>
    <row r="133" spans="1:19" x14ac:dyDescent="0.2">
      <c r="A133" s="35">
        <v>123</v>
      </c>
      <c r="B133" s="12" t="s">
        <v>272</v>
      </c>
      <c r="C133" s="9" t="s">
        <v>273</v>
      </c>
      <c r="D133" s="557">
        <f t="shared" si="10"/>
        <v>223900</v>
      </c>
      <c r="E133" s="557">
        <f t="shared" si="11"/>
        <v>0</v>
      </c>
      <c r="F133" s="558">
        <v>0</v>
      </c>
      <c r="G133" s="558">
        <v>0</v>
      </c>
      <c r="H133" s="549">
        <f t="shared" si="9"/>
        <v>0</v>
      </c>
      <c r="I133" s="558">
        <v>0</v>
      </c>
      <c r="J133" s="558">
        <v>0</v>
      </c>
      <c r="K133" s="557">
        <f t="shared" si="8"/>
        <v>223900</v>
      </c>
      <c r="L133" s="558">
        <v>0</v>
      </c>
      <c r="M133" s="558">
        <v>0</v>
      </c>
      <c r="N133" s="558">
        <f>228150-4250</f>
        <v>223900</v>
      </c>
      <c r="O133" s="558">
        <v>0</v>
      </c>
      <c r="P133" s="551"/>
      <c r="Q133" s="556"/>
      <c r="S133" s="556"/>
    </row>
    <row r="134" spans="1:19" x14ac:dyDescent="0.2">
      <c r="A134" s="35">
        <v>124</v>
      </c>
      <c r="B134" s="12" t="s">
        <v>161</v>
      </c>
      <c r="C134" s="9" t="s">
        <v>274</v>
      </c>
      <c r="D134" s="557">
        <f t="shared" si="10"/>
        <v>130407</v>
      </c>
      <c r="E134" s="557">
        <f t="shared" si="11"/>
        <v>0</v>
      </c>
      <c r="F134" s="558">
        <v>0</v>
      </c>
      <c r="G134" s="558">
        <v>0</v>
      </c>
      <c r="H134" s="549">
        <f t="shared" si="9"/>
        <v>0</v>
      </c>
      <c r="I134" s="558">
        <v>0</v>
      </c>
      <c r="J134" s="558">
        <v>0</v>
      </c>
      <c r="K134" s="557">
        <f t="shared" si="8"/>
        <v>130407</v>
      </c>
      <c r="L134" s="558">
        <v>0</v>
      </c>
      <c r="M134" s="558">
        <v>0</v>
      </c>
      <c r="N134" s="558">
        <f>130000+407</f>
        <v>130407</v>
      </c>
      <c r="O134" s="558">
        <v>0</v>
      </c>
      <c r="P134" s="551"/>
      <c r="Q134" s="556"/>
      <c r="S134" s="556"/>
    </row>
    <row r="135" spans="1:19" x14ac:dyDescent="0.2">
      <c r="A135" s="35">
        <v>125</v>
      </c>
      <c r="B135" s="12" t="s">
        <v>275</v>
      </c>
      <c r="C135" s="9" t="s">
        <v>276</v>
      </c>
      <c r="D135" s="557">
        <f t="shared" si="10"/>
        <v>85000</v>
      </c>
      <c r="E135" s="557">
        <f t="shared" si="11"/>
        <v>0</v>
      </c>
      <c r="F135" s="558">
        <v>0</v>
      </c>
      <c r="G135" s="558">
        <v>0</v>
      </c>
      <c r="H135" s="549">
        <f t="shared" si="9"/>
        <v>0</v>
      </c>
      <c r="I135" s="558">
        <v>0</v>
      </c>
      <c r="J135" s="558">
        <v>0</v>
      </c>
      <c r="K135" s="557">
        <f t="shared" si="8"/>
        <v>85000</v>
      </c>
      <c r="L135" s="558">
        <v>0</v>
      </c>
      <c r="M135" s="558">
        <v>0</v>
      </c>
      <c r="N135" s="558">
        <v>85000</v>
      </c>
      <c r="O135" s="558">
        <v>0</v>
      </c>
      <c r="P135" s="551"/>
      <c r="Q135" s="556"/>
      <c r="S135" s="556"/>
    </row>
    <row r="136" spans="1:19" x14ac:dyDescent="0.2">
      <c r="A136" s="35">
        <v>126</v>
      </c>
      <c r="B136" s="36" t="s">
        <v>277</v>
      </c>
      <c r="C136" s="37" t="s">
        <v>2</v>
      </c>
      <c r="D136" s="557">
        <f t="shared" si="10"/>
        <v>114040</v>
      </c>
      <c r="E136" s="557">
        <f t="shared" si="11"/>
        <v>0</v>
      </c>
      <c r="F136" s="558">
        <v>0</v>
      </c>
      <c r="G136" s="558">
        <v>0</v>
      </c>
      <c r="H136" s="549">
        <f t="shared" si="9"/>
        <v>0</v>
      </c>
      <c r="I136" s="558">
        <v>0</v>
      </c>
      <c r="J136" s="558">
        <v>0</v>
      </c>
      <c r="K136" s="557">
        <f t="shared" si="8"/>
        <v>114040</v>
      </c>
      <c r="L136" s="558">
        <v>0</v>
      </c>
      <c r="M136" s="558">
        <v>0</v>
      </c>
      <c r="N136" s="558">
        <v>114040</v>
      </c>
      <c r="O136" s="558">
        <v>0</v>
      </c>
      <c r="P136" s="551"/>
      <c r="Q136" s="556"/>
      <c r="S136" s="556"/>
    </row>
    <row r="137" spans="1:19" x14ac:dyDescent="0.2">
      <c r="A137" s="35">
        <v>127</v>
      </c>
      <c r="B137" s="12" t="s">
        <v>278</v>
      </c>
      <c r="C137" s="9" t="s">
        <v>279</v>
      </c>
      <c r="D137" s="557">
        <f t="shared" si="10"/>
        <v>8000</v>
      </c>
      <c r="E137" s="557">
        <f t="shared" si="11"/>
        <v>0</v>
      </c>
      <c r="F137" s="558">
        <v>0</v>
      </c>
      <c r="G137" s="558">
        <v>0</v>
      </c>
      <c r="H137" s="549">
        <f t="shared" si="9"/>
        <v>0</v>
      </c>
      <c r="I137" s="558">
        <v>0</v>
      </c>
      <c r="J137" s="558">
        <v>0</v>
      </c>
      <c r="K137" s="557">
        <f t="shared" si="8"/>
        <v>8000</v>
      </c>
      <c r="L137" s="558">
        <v>0</v>
      </c>
      <c r="M137" s="558">
        <v>0</v>
      </c>
      <c r="N137" s="558">
        <v>8000</v>
      </c>
      <c r="O137" s="558">
        <v>0</v>
      </c>
      <c r="P137" s="551"/>
      <c r="Q137" s="556"/>
      <c r="S137" s="556"/>
    </row>
    <row r="138" spans="1:19" x14ac:dyDescent="0.2">
      <c r="A138" s="35">
        <v>128</v>
      </c>
      <c r="B138" s="36" t="s">
        <v>280</v>
      </c>
      <c r="C138" s="9" t="s">
        <v>64</v>
      </c>
      <c r="D138" s="557">
        <f t="shared" si="10"/>
        <v>87522</v>
      </c>
      <c r="E138" s="557">
        <f t="shared" si="11"/>
        <v>0</v>
      </c>
      <c r="F138" s="558">
        <v>0</v>
      </c>
      <c r="G138" s="558">
        <v>0</v>
      </c>
      <c r="H138" s="549">
        <f t="shared" si="9"/>
        <v>0</v>
      </c>
      <c r="I138" s="558">
        <v>0</v>
      </c>
      <c r="J138" s="558">
        <v>0</v>
      </c>
      <c r="K138" s="557">
        <f t="shared" ref="K138:K147" si="12">SUM(L138:O138)</f>
        <v>87522</v>
      </c>
      <c r="L138" s="558">
        <v>0</v>
      </c>
      <c r="M138" s="558">
        <v>900</v>
      </c>
      <c r="N138" s="558">
        <v>74942</v>
      </c>
      <c r="O138" s="558">
        <v>11680</v>
      </c>
      <c r="P138" s="551"/>
      <c r="Q138" s="556"/>
      <c r="S138" s="556"/>
    </row>
    <row r="139" spans="1:19" x14ac:dyDescent="0.2">
      <c r="A139" s="35">
        <v>129</v>
      </c>
      <c r="B139" s="39" t="s">
        <v>281</v>
      </c>
      <c r="C139" s="40" t="s">
        <v>22</v>
      </c>
      <c r="D139" s="557">
        <f t="shared" si="10"/>
        <v>54762</v>
      </c>
      <c r="E139" s="557">
        <f t="shared" si="11"/>
        <v>0</v>
      </c>
      <c r="F139" s="558">
        <v>0</v>
      </c>
      <c r="G139" s="558">
        <v>0</v>
      </c>
      <c r="H139" s="549">
        <f t="shared" si="9"/>
        <v>0</v>
      </c>
      <c r="I139" s="558">
        <v>0</v>
      </c>
      <c r="J139" s="558">
        <v>0</v>
      </c>
      <c r="K139" s="557">
        <f t="shared" si="12"/>
        <v>54762</v>
      </c>
      <c r="L139" s="558">
        <v>0</v>
      </c>
      <c r="M139" s="558">
        <v>6647</v>
      </c>
      <c r="N139" s="558">
        <v>26000</v>
      </c>
      <c r="O139" s="558">
        <v>22115</v>
      </c>
      <c r="P139" s="551"/>
      <c r="Q139" s="556"/>
      <c r="S139" s="556"/>
    </row>
    <row r="140" spans="1:19" x14ac:dyDescent="0.2">
      <c r="A140" s="35">
        <v>130</v>
      </c>
      <c r="B140" s="12" t="s">
        <v>282</v>
      </c>
      <c r="C140" s="9" t="s">
        <v>283</v>
      </c>
      <c r="D140" s="557">
        <f t="shared" si="10"/>
        <v>78000</v>
      </c>
      <c r="E140" s="557">
        <f t="shared" si="11"/>
        <v>0</v>
      </c>
      <c r="F140" s="558">
        <v>0</v>
      </c>
      <c r="G140" s="558">
        <v>0</v>
      </c>
      <c r="H140" s="549">
        <f t="shared" ref="H140:H147" si="13">I140+J140</f>
        <v>0</v>
      </c>
      <c r="I140" s="558">
        <v>0</v>
      </c>
      <c r="J140" s="558">
        <v>0</v>
      </c>
      <c r="K140" s="557">
        <f t="shared" si="12"/>
        <v>78000</v>
      </c>
      <c r="L140" s="558">
        <v>0</v>
      </c>
      <c r="M140" s="558">
        <v>0</v>
      </c>
      <c r="N140" s="558">
        <v>78000</v>
      </c>
      <c r="O140" s="558">
        <v>0</v>
      </c>
      <c r="P140" s="551"/>
      <c r="Q140" s="556"/>
      <c r="S140" s="556"/>
    </row>
    <row r="141" spans="1:19" x14ac:dyDescent="0.2">
      <c r="A141" s="35">
        <v>131</v>
      </c>
      <c r="B141" s="12" t="s">
        <v>284</v>
      </c>
      <c r="C141" s="9" t="s">
        <v>67</v>
      </c>
      <c r="D141" s="557">
        <f t="shared" si="10"/>
        <v>11694</v>
      </c>
      <c r="E141" s="557">
        <f t="shared" si="11"/>
        <v>0</v>
      </c>
      <c r="F141" s="558">
        <v>0</v>
      </c>
      <c r="G141" s="558">
        <v>0</v>
      </c>
      <c r="H141" s="549">
        <f t="shared" si="13"/>
        <v>0</v>
      </c>
      <c r="I141" s="558">
        <v>0</v>
      </c>
      <c r="J141" s="558">
        <v>0</v>
      </c>
      <c r="K141" s="557">
        <f t="shared" si="12"/>
        <v>11694</v>
      </c>
      <c r="L141" s="558">
        <v>0</v>
      </c>
      <c r="M141" s="558">
        <v>0</v>
      </c>
      <c r="N141" s="558">
        <v>182</v>
      </c>
      <c r="O141" s="558">
        <v>11512</v>
      </c>
      <c r="P141" s="551"/>
      <c r="Q141" s="556"/>
      <c r="S141" s="556"/>
    </row>
    <row r="142" spans="1:19" x14ac:dyDescent="0.2">
      <c r="A142" s="35">
        <v>132</v>
      </c>
      <c r="B142" s="12" t="s">
        <v>285</v>
      </c>
      <c r="C142" s="9" t="s">
        <v>286</v>
      </c>
      <c r="D142" s="557">
        <f t="shared" si="10"/>
        <v>57392</v>
      </c>
      <c r="E142" s="557">
        <f t="shared" si="11"/>
        <v>0</v>
      </c>
      <c r="F142" s="558">
        <v>0</v>
      </c>
      <c r="G142" s="558">
        <v>0</v>
      </c>
      <c r="H142" s="549">
        <f t="shared" si="13"/>
        <v>0</v>
      </c>
      <c r="I142" s="558">
        <v>0</v>
      </c>
      <c r="J142" s="558">
        <v>0</v>
      </c>
      <c r="K142" s="557">
        <f t="shared" si="12"/>
        <v>57392</v>
      </c>
      <c r="L142" s="558">
        <v>0</v>
      </c>
      <c r="M142" s="558">
        <v>0</v>
      </c>
      <c r="N142" s="558">
        <v>57392</v>
      </c>
      <c r="O142" s="558">
        <v>0</v>
      </c>
      <c r="P142" s="551"/>
      <c r="Q142" s="556"/>
      <c r="S142" s="556"/>
    </row>
    <row r="143" spans="1:19" x14ac:dyDescent="0.2">
      <c r="A143" s="35">
        <v>133</v>
      </c>
      <c r="B143" s="39" t="s">
        <v>159</v>
      </c>
      <c r="C143" s="40" t="s">
        <v>160</v>
      </c>
      <c r="D143" s="557">
        <f t="shared" si="10"/>
        <v>93494</v>
      </c>
      <c r="E143" s="557">
        <f t="shared" si="11"/>
        <v>4627</v>
      </c>
      <c r="F143" s="558">
        <v>4627</v>
      </c>
      <c r="G143" s="558">
        <v>0</v>
      </c>
      <c r="H143" s="549">
        <f t="shared" si="13"/>
        <v>20692</v>
      </c>
      <c r="I143" s="558">
        <v>20692</v>
      </c>
      <c r="J143" s="558">
        <v>0</v>
      </c>
      <c r="K143" s="557">
        <f t="shared" si="12"/>
        <v>68175</v>
      </c>
      <c r="L143" s="558">
        <v>5235</v>
      </c>
      <c r="M143" s="558">
        <v>28835</v>
      </c>
      <c r="N143" s="558">
        <v>25991</v>
      </c>
      <c r="O143" s="558">
        <v>8114</v>
      </c>
      <c r="P143" s="551"/>
      <c r="Q143" s="556"/>
      <c r="S143" s="556"/>
    </row>
    <row r="144" spans="1:19" x14ac:dyDescent="0.2">
      <c r="A144" s="35">
        <v>134</v>
      </c>
      <c r="B144" s="38" t="s">
        <v>113</v>
      </c>
      <c r="C144" s="40" t="s">
        <v>114</v>
      </c>
      <c r="D144" s="557">
        <f t="shared" si="10"/>
        <v>261733</v>
      </c>
      <c r="E144" s="557">
        <f t="shared" si="11"/>
        <v>27825</v>
      </c>
      <c r="F144" s="558">
        <v>7134</v>
      </c>
      <c r="G144" s="558">
        <v>20691</v>
      </c>
      <c r="H144" s="549">
        <f t="shared" si="13"/>
        <v>32023</v>
      </c>
      <c r="I144" s="558">
        <v>31901</v>
      </c>
      <c r="J144" s="558">
        <v>122</v>
      </c>
      <c r="K144" s="557">
        <f t="shared" si="12"/>
        <v>201885</v>
      </c>
      <c r="L144" s="558">
        <v>8071</v>
      </c>
      <c r="M144" s="558">
        <v>56329</v>
      </c>
      <c r="N144" s="558">
        <v>45255</v>
      </c>
      <c r="O144" s="558">
        <v>92230</v>
      </c>
      <c r="P144" s="551"/>
      <c r="Q144" s="556"/>
      <c r="S144" s="556"/>
    </row>
    <row r="145" spans="1:19" x14ac:dyDescent="0.2">
      <c r="A145" s="35">
        <v>135</v>
      </c>
      <c r="B145" s="12" t="s">
        <v>287</v>
      </c>
      <c r="C145" s="9" t="s">
        <v>288</v>
      </c>
      <c r="D145" s="557">
        <f t="shared" si="10"/>
        <v>17901</v>
      </c>
      <c r="E145" s="557">
        <f t="shared" si="11"/>
        <v>0</v>
      </c>
      <c r="F145" s="558">
        <v>0</v>
      </c>
      <c r="G145" s="558">
        <v>0</v>
      </c>
      <c r="H145" s="549">
        <f t="shared" si="13"/>
        <v>0</v>
      </c>
      <c r="I145" s="558">
        <v>0</v>
      </c>
      <c r="J145" s="558">
        <v>0</v>
      </c>
      <c r="K145" s="557">
        <f t="shared" si="12"/>
        <v>17901</v>
      </c>
      <c r="L145" s="558">
        <v>0</v>
      </c>
      <c r="M145" s="558">
        <v>0</v>
      </c>
      <c r="N145" s="558">
        <v>17901</v>
      </c>
      <c r="O145" s="558">
        <v>0</v>
      </c>
      <c r="P145" s="551"/>
      <c r="Q145" s="556"/>
      <c r="S145" s="556"/>
    </row>
    <row r="146" spans="1:19" x14ac:dyDescent="0.2">
      <c r="A146" s="35">
        <v>136</v>
      </c>
      <c r="B146" s="36" t="s">
        <v>289</v>
      </c>
      <c r="C146" s="37" t="s">
        <v>68</v>
      </c>
      <c r="D146" s="557">
        <f t="shared" si="10"/>
        <v>14805</v>
      </c>
      <c r="E146" s="557">
        <f t="shared" si="11"/>
        <v>0</v>
      </c>
      <c r="F146" s="558">
        <v>0</v>
      </c>
      <c r="G146" s="558">
        <v>0</v>
      </c>
      <c r="H146" s="549">
        <f t="shared" si="13"/>
        <v>0</v>
      </c>
      <c r="I146" s="558">
        <v>0</v>
      </c>
      <c r="J146" s="558">
        <v>0</v>
      </c>
      <c r="K146" s="557">
        <f t="shared" si="12"/>
        <v>14805</v>
      </c>
      <c r="L146" s="558">
        <v>0</v>
      </c>
      <c r="M146" s="558">
        <v>0</v>
      </c>
      <c r="N146" s="558">
        <f>11805+3000</f>
        <v>14805</v>
      </c>
      <c r="O146" s="558">
        <v>0</v>
      </c>
      <c r="P146" s="551"/>
      <c r="Q146" s="556"/>
      <c r="S146" s="556"/>
    </row>
    <row r="147" spans="1:19" ht="12.75" x14ac:dyDescent="0.2">
      <c r="A147" s="35">
        <v>137</v>
      </c>
      <c r="B147" s="45" t="s">
        <v>290</v>
      </c>
      <c r="C147" s="46" t="s">
        <v>291</v>
      </c>
      <c r="D147" s="557">
        <f t="shared" si="10"/>
        <v>0</v>
      </c>
      <c r="E147" s="557">
        <f t="shared" si="11"/>
        <v>0</v>
      </c>
      <c r="F147" s="558">
        <v>0</v>
      </c>
      <c r="G147" s="558">
        <v>0</v>
      </c>
      <c r="H147" s="549">
        <f t="shared" si="13"/>
        <v>0</v>
      </c>
      <c r="I147" s="558">
        <v>0</v>
      </c>
      <c r="J147" s="558">
        <v>0</v>
      </c>
      <c r="K147" s="557">
        <f t="shared" si="12"/>
        <v>0</v>
      </c>
      <c r="L147" s="558">
        <v>0</v>
      </c>
      <c r="M147" s="558">
        <v>0</v>
      </c>
      <c r="N147" s="558">
        <v>0</v>
      </c>
      <c r="O147" s="558">
        <v>0</v>
      </c>
      <c r="P147" s="551"/>
      <c r="Q147" s="556"/>
      <c r="S147" s="556"/>
    </row>
    <row r="148" spans="1:19" x14ac:dyDescent="0.2">
      <c r="D148" s="561"/>
      <c r="E148" s="561"/>
      <c r="F148" s="561"/>
      <c r="G148" s="561"/>
      <c r="H148" s="561"/>
      <c r="I148" s="561"/>
      <c r="J148" s="561"/>
      <c r="K148" s="561"/>
      <c r="L148" s="561"/>
      <c r="M148" s="561"/>
      <c r="N148" s="561"/>
      <c r="O148" s="561"/>
    </row>
  </sheetData>
  <mergeCells count="20">
    <mergeCell ref="A7:C7"/>
    <mergeCell ref="A8:C8"/>
    <mergeCell ref="A9:C9"/>
    <mergeCell ref="A91:A92"/>
    <mergeCell ref="B91:B92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2"/>
  <sheetViews>
    <sheetView zoomScaleNormal="100" workbookViewId="0">
      <pane xSplit="3" ySplit="9" topLeftCell="D130" activePane="bottomRight" state="frozen"/>
      <selection pane="topRight" activeCell="D1" sqref="D1"/>
      <selection pane="bottomLeft" activeCell="A10" sqref="A10"/>
      <selection pane="bottomRight" activeCell="D150" sqref="D150:H153"/>
    </sheetView>
  </sheetViews>
  <sheetFormatPr defaultRowHeight="12" x14ac:dyDescent="0.2"/>
  <cols>
    <col min="1" max="1" width="5" style="563" customWidth="1"/>
    <col min="2" max="2" width="8.42578125" style="563" customWidth="1"/>
    <col min="3" max="3" width="48.5703125" style="563" customWidth="1"/>
    <col min="4" max="8" width="14.7109375" style="563" customWidth="1"/>
    <col min="9" max="9" width="11.28515625" style="563" customWidth="1"/>
    <col min="10" max="10" width="10.5703125" style="563" customWidth="1"/>
    <col min="11" max="11" width="12.140625" style="563" customWidth="1"/>
    <col min="12" max="16384" width="9.140625" style="563"/>
  </cols>
  <sheetData>
    <row r="1" spans="1:12" ht="41.25" customHeight="1" x14ac:dyDescent="0.2">
      <c r="A1" s="918" t="s">
        <v>588</v>
      </c>
      <c r="B1" s="918"/>
      <c r="C1" s="918"/>
      <c r="D1" s="918"/>
      <c r="E1" s="918"/>
      <c r="F1" s="918"/>
      <c r="G1" s="918"/>
      <c r="H1" s="918"/>
    </row>
    <row r="2" spans="1:12" ht="21.75" customHeight="1" x14ac:dyDescent="0.2">
      <c r="A2" s="919" t="s">
        <v>0</v>
      </c>
      <c r="B2" s="920" t="s">
        <v>106</v>
      </c>
      <c r="C2" s="919" t="s">
        <v>107</v>
      </c>
      <c r="D2" s="922" t="s">
        <v>174</v>
      </c>
      <c r="E2" s="923"/>
      <c r="F2" s="923"/>
      <c r="G2" s="923"/>
      <c r="H2" s="924"/>
    </row>
    <row r="3" spans="1:12" ht="14.25" customHeight="1" x14ac:dyDescent="0.2">
      <c r="A3" s="919"/>
      <c r="B3" s="921"/>
      <c r="C3" s="919"/>
      <c r="D3" s="925" t="s">
        <v>163</v>
      </c>
      <c r="E3" s="919" t="s">
        <v>164</v>
      </c>
      <c r="F3" s="919"/>
      <c r="G3" s="919"/>
      <c r="H3" s="919"/>
    </row>
    <row r="4" spans="1:12" ht="27" customHeight="1" x14ac:dyDescent="0.2">
      <c r="A4" s="919"/>
      <c r="B4" s="921"/>
      <c r="C4" s="919"/>
      <c r="D4" s="925"/>
      <c r="E4" s="926" t="s">
        <v>308</v>
      </c>
      <c r="F4" s="928" t="s">
        <v>309</v>
      </c>
      <c r="G4" s="928"/>
      <c r="H4" s="928"/>
    </row>
    <row r="5" spans="1:12" ht="49.5" customHeight="1" x14ac:dyDescent="0.2">
      <c r="A5" s="919"/>
      <c r="B5" s="921"/>
      <c r="C5" s="919"/>
      <c r="D5" s="925"/>
      <c r="E5" s="927"/>
      <c r="F5" s="564" t="s">
        <v>313</v>
      </c>
      <c r="G5" s="565" t="s">
        <v>314</v>
      </c>
      <c r="H5" s="566" t="s">
        <v>315</v>
      </c>
    </row>
    <row r="6" spans="1:12" s="569" customFormat="1" ht="11.25" x14ac:dyDescent="0.2">
      <c r="A6" s="567">
        <v>1</v>
      </c>
      <c r="B6" s="567">
        <v>2</v>
      </c>
      <c r="C6" s="567">
        <v>3</v>
      </c>
      <c r="D6" s="568">
        <v>4</v>
      </c>
      <c r="E6" s="549">
        <v>5</v>
      </c>
      <c r="F6" s="549">
        <v>6</v>
      </c>
      <c r="G6" s="549">
        <v>7</v>
      </c>
      <c r="H6" s="549">
        <v>8</v>
      </c>
    </row>
    <row r="7" spans="1:12" s="569" customFormat="1" x14ac:dyDescent="0.2">
      <c r="A7" s="907" t="s">
        <v>1</v>
      </c>
      <c r="B7" s="907"/>
      <c r="C7" s="907"/>
      <c r="D7" s="553">
        <f>D8+D9</f>
        <v>1651392</v>
      </c>
      <c r="E7" s="553">
        <f>E8+E9</f>
        <v>25841</v>
      </c>
      <c r="F7" s="553">
        <f>G7+H7</f>
        <v>1625551</v>
      </c>
      <c r="G7" s="553">
        <f>G8+G9</f>
        <v>217057</v>
      </c>
      <c r="H7" s="553">
        <f>H8+H9</f>
        <v>1408494</v>
      </c>
      <c r="I7" s="556"/>
      <c r="J7" s="556"/>
      <c r="K7" s="556"/>
    </row>
    <row r="8" spans="1:12" s="569" customFormat="1" x14ac:dyDescent="0.2">
      <c r="A8" s="911" t="s">
        <v>3</v>
      </c>
      <c r="B8" s="912"/>
      <c r="C8" s="913"/>
      <c r="D8" s="568">
        <f t="shared" ref="D8:D9" si="0">E8+F8</f>
        <v>476</v>
      </c>
      <c r="E8" s="549">
        <v>476</v>
      </c>
      <c r="F8" s="549">
        <f>G8+H8</f>
        <v>0</v>
      </c>
      <c r="G8" s="549">
        <f>'[17]Диспансер.набл.Пр.3-22'!G8+[17]Откл.Пр.!G8</f>
        <v>0</v>
      </c>
      <c r="H8" s="549">
        <f>'[17]Диспансер.набл.Пр.3-22'!H8+[17]Откл.Пр.!H8</f>
        <v>0</v>
      </c>
      <c r="I8" s="556"/>
      <c r="J8" s="556"/>
      <c r="K8" s="556"/>
    </row>
    <row r="9" spans="1:12" s="569" customFormat="1" x14ac:dyDescent="0.2">
      <c r="A9" s="911" t="s">
        <v>4</v>
      </c>
      <c r="B9" s="912"/>
      <c r="C9" s="913"/>
      <c r="D9" s="553">
        <f t="shared" si="0"/>
        <v>1650916</v>
      </c>
      <c r="E9" s="553">
        <f>SUM(E10:E147)</f>
        <v>25365</v>
      </c>
      <c r="F9" s="553">
        <f>SUM(G9:H9)</f>
        <v>1625551</v>
      </c>
      <c r="G9" s="553">
        <f>SUM(G10:G147)</f>
        <v>217057</v>
      </c>
      <c r="H9" s="553">
        <f>SUM(H10:H147)</f>
        <v>1408494</v>
      </c>
      <c r="I9" s="556"/>
      <c r="J9" s="556"/>
      <c r="K9" s="556"/>
    </row>
    <row r="10" spans="1:12" x14ac:dyDescent="0.2">
      <c r="A10" s="35">
        <v>1</v>
      </c>
      <c r="B10" s="36" t="s">
        <v>69</v>
      </c>
      <c r="C10" s="37" t="s">
        <v>29</v>
      </c>
      <c r="D10" s="557">
        <f>E10+F10</f>
        <v>18363</v>
      </c>
      <c r="E10" s="557">
        <f>'[17]Диспансер.набл.Пр.3-22'!E10+[17]Откл.Пр.!E11</f>
        <v>0</v>
      </c>
      <c r="F10" s="557">
        <f>G10+H10</f>
        <v>18363</v>
      </c>
      <c r="G10" s="557">
        <f>'[17]Диспансер.набл.Пр.3-22'!G10+[17]Откл.Пр.!G11</f>
        <v>2000</v>
      </c>
      <c r="H10" s="557">
        <f>'[17]Диспансер.набл.Пр.3-22'!H10+[17]Откл.Пр.!H11</f>
        <v>16363</v>
      </c>
      <c r="I10" s="556"/>
      <c r="J10" s="556"/>
      <c r="K10" s="556"/>
      <c r="L10" s="562"/>
    </row>
    <row r="11" spans="1:12" x14ac:dyDescent="0.2">
      <c r="A11" s="35">
        <v>2</v>
      </c>
      <c r="B11" s="38" t="s">
        <v>70</v>
      </c>
      <c r="C11" s="37" t="s">
        <v>31</v>
      </c>
      <c r="D11" s="557">
        <f t="shared" ref="D11:D75" si="1">E11+F11</f>
        <v>14058</v>
      </c>
      <c r="E11" s="557">
        <f>'[17]Диспансер.набл.Пр.3-22'!E11+[17]Откл.Пр.!E12</f>
        <v>0</v>
      </c>
      <c r="F11" s="557">
        <f t="shared" ref="F11:F75" si="2">G11+H11</f>
        <v>14058</v>
      </c>
      <c r="G11" s="557">
        <f>'[17]Диспансер.набл.Пр.3-22'!G11+[17]Откл.Пр.!G12</f>
        <v>770</v>
      </c>
      <c r="H11" s="557">
        <f>'[17]Диспансер.набл.Пр.3-22'!H11+[17]Откл.Пр.!H12</f>
        <v>13288</v>
      </c>
      <c r="I11" s="556"/>
      <c r="J11" s="556"/>
      <c r="K11" s="556"/>
      <c r="L11" s="562"/>
    </row>
    <row r="12" spans="1:12" x14ac:dyDescent="0.2">
      <c r="A12" s="35">
        <v>3</v>
      </c>
      <c r="B12" s="12" t="s">
        <v>71</v>
      </c>
      <c r="C12" s="9" t="s">
        <v>5</v>
      </c>
      <c r="D12" s="557">
        <f t="shared" si="1"/>
        <v>20251</v>
      </c>
      <c r="E12" s="557">
        <f>'[17]Диспансер.набл.Пр.3-22'!E12+[17]Откл.Пр.!E13</f>
        <v>0</v>
      </c>
      <c r="F12" s="557">
        <f t="shared" si="2"/>
        <v>20251</v>
      </c>
      <c r="G12" s="557">
        <f>'[17]Диспансер.набл.Пр.3-22'!G12+[17]Откл.Пр.!G13</f>
        <v>991</v>
      </c>
      <c r="H12" s="557">
        <f>'[17]Диспансер.набл.Пр.3-22'!H12+[17]Откл.Пр.!H13</f>
        <v>19260</v>
      </c>
      <c r="I12" s="556"/>
      <c r="J12" s="556"/>
      <c r="K12" s="556"/>
      <c r="L12" s="562"/>
    </row>
    <row r="13" spans="1:12" x14ac:dyDescent="0.2">
      <c r="A13" s="35">
        <v>4</v>
      </c>
      <c r="B13" s="36" t="s">
        <v>72</v>
      </c>
      <c r="C13" s="37" t="s">
        <v>35</v>
      </c>
      <c r="D13" s="557">
        <f t="shared" si="1"/>
        <v>7464</v>
      </c>
      <c r="E13" s="557">
        <f>'[17]Диспансер.набл.Пр.3-22'!E13+[17]Откл.Пр.!E14</f>
        <v>0</v>
      </c>
      <c r="F13" s="557">
        <f t="shared" si="2"/>
        <v>7464</v>
      </c>
      <c r="G13" s="557">
        <f>'[17]Диспансер.набл.Пр.3-22'!G13+[17]Откл.Пр.!G14</f>
        <v>605</v>
      </c>
      <c r="H13" s="557">
        <f>'[17]Диспансер.набл.Пр.3-22'!H13+[17]Откл.Пр.!H14</f>
        <v>6859</v>
      </c>
      <c r="I13" s="556"/>
      <c r="J13" s="556"/>
      <c r="K13" s="556"/>
      <c r="L13" s="562"/>
    </row>
    <row r="14" spans="1:12" x14ac:dyDescent="0.2">
      <c r="A14" s="35">
        <v>5</v>
      </c>
      <c r="B14" s="36" t="s">
        <v>108</v>
      </c>
      <c r="C14" s="37" t="s">
        <v>37</v>
      </c>
      <c r="D14" s="557">
        <f t="shared" si="1"/>
        <v>9937</v>
      </c>
      <c r="E14" s="557">
        <f>'[17]Диспансер.набл.Пр.3-22'!E14+[17]Откл.Пр.!E15</f>
        <v>0</v>
      </c>
      <c r="F14" s="557">
        <f t="shared" si="2"/>
        <v>9937</v>
      </c>
      <c r="G14" s="557">
        <f>'[17]Диспансер.набл.Пр.3-22'!G14+[17]Откл.Пр.!G15</f>
        <v>2170</v>
      </c>
      <c r="H14" s="557">
        <f>'[17]Диспансер.набл.Пр.3-22'!H14+[17]Откл.Пр.!H15</f>
        <v>7767</v>
      </c>
      <c r="I14" s="556"/>
      <c r="J14" s="556"/>
      <c r="K14" s="556"/>
      <c r="L14" s="562"/>
    </row>
    <row r="15" spans="1:12" x14ac:dyDescent="0.2">
      <c r="A15" s="35">
        <v>6</v>
      </c>
      <c r="B15" s="12" t="s">
        <v>73</v>
      </c>
      <c r="C15" s="9" t="s">
        <v>6</v>
      </c>
      <c r="D15" s="557">
        <f t="shared" si="1"/>
        <v>92187</v>
      </c>
      <c r="E15" s="557">
        <f>'[17]Диспансер.набл.Пр.3-22'!E15+[17]Откл.Пр.!E16</f>
        <v>0</v>
      </c>
      <c r="F15" s="557">
        <f t="shared" si="2"/>
        <v>92187</v>
      </c>
      <c r="G15" s="557">
        <f>'[17]Диспансер.набл.Пр.3-22'!G15+[17]Откл.Пр.!G16</f>
        <v>6739</v>
      </c>
      <c r="H15" s="557">
        <f>'[17]Диспансер.набл.Пр.3-22'!H15+[17]Откл.Пр.!H16</f>
        <v>85448</v>
      </c>
      <c r="I15" s="556"/>
      <c r="J15" s="556"/>
      <c r="K15" s="556"/>
      <c r="L15" s="562"/>
    </row>
    <row r="16" spans="1:12" x14ac:dyDescent="0.2">
      <c r="A16" s="35">
        <v>7</v>
      </c>
      <c r="B16" s="39" t="s">
        <v>109</v>
      </c>
      <c r="C16" s="40" t="s">
        <v>23</v>
      </c>
      <c r="D16" s="557">
        <f t="shared" si="1"/>
        <v>11520</v>
      </c>
      <c r="E16" s="557">
        <f>'[17]Диспансер.набл.Пр.3-22'!E16+[17]Откл.Пр.!E17</f>
        <v>0</v>
      </c>
      <c r="F16" s="557">
        <f t="shared" si="2"/>
        <v>11520</v>
      </c>
      <c r="G16" s="557">
        <f>'[17]Диспансер.набл.Пр.3-22'!G16+[17]Откл.Пр.!G17</f>
        <v>1166</v>
      </c>
      <c r="H16" s="557">
        <f>'[17]Диспансер.набл.Пр.3-22'!H16+[17]Откл.Пр.!H17</f>
        <v>10354</v>
      </c>
      <c r="I16" s="556"/>
      <c r="J16" s="556"/>
      <c r="K16" s="556"/>
      <c r="L16" s="562"/>
    </row>
    <row r="17" spans="1:12" x14ac:dyDescent="0.2">
      <c r="A17" s="35">
        <v>8</v>
      </c>
      <c r="B17" s="12" t="s">
        <v>110</v>
      </c>
      <c r="C17" s="9" t="s">
        <v>44</v>
      </c>
      <c r="D17" s="557">
        <f t="shared" si="1"/>
        <v>12460</v>
      </c>
      <c r="E17" s="557">
        <f>'[17]Диспансер.набл.Пр.3-22'!E17+[17]Откл.Пр.!E18</f>
        <v>0</v>
      </c>
      <c r="F17" s="557">
        <f t="shared" si="2"/>
        <v>12460</v>
      </c>
      <c r="G17" s="557">
        <f>'[17]Диспансер.набл.Пр.3-22'!G17+[17]Откл.Пр.!G18</f>
        <v>564</v>
      </c>
      <c r="H17" s="557">
        <f>'[17]Диспансер.набл.Пр.3-22'!H17+[17]Откл.Пр.!H18</f>
        <v>11896</v>
      </c>
      <c r="I17" s="556"/>
      <c r="J17" s="556"/>
      <c r="K17" s="556"/>
      <c r="L17" s="562"/>
    </row>
    <row r="18" spans="1:12" x14ac:dyDescent="0.2">
      <c r="A18" s="35">
        <v>9</v>
      </c>
      <c r="B18" s="12" t="s">
        <v>74</v>
      </c>
      <c r="C18" s="9" t="s">
        <v>45</v>
      </c>
      <c r="D18" s="557">
        <f t="shared" si="1"/>
        <v>9226</v>
      </c>
      <c r="E18" s="557">
        <f>'[17]Диспансер.набл.Пр.3-22'!E18+[17]Откл.Пр.!E19</f>
        <v>0</v>
      </c>
      <c r="F18" s="557">
        <f t="shared" si="2"/>
        <v>9226</v>
      </c>
      <c r="G18" s="557">
        <f>'[17]Диспансер.набл.Пр.3-22'!G18+[17]Откл.Пр.!G19</f>
        <v>2024</v>
      </c>
      <c r="H18" s="557">
        <f>'[17]Диспансер.набл.Пр.3-22'!H18+[17]Откл.Пр.!H19</f>
        <v>7202</v>
      </c>
      <c r="I18" s="556"/>
      <c r="J18" s="556"/>
      <c r="K18" s="556"/>
      <c r="L18" s="562"/>
    </row>
    <row r="19" spans="1:12" x14ac:dyDescent="0.2">
      <c r="A19" s="35">
        <v>10</v>
      </c>
      <c r="B19" s="12" t="s">
        <v>111</v>
      </c>
      <c r="C19" s="9" t="s">
        <v>48</v>
      </c>
      <c r="D19" s="557">
        <f t="shared" si="1"/>
        <v>10912</v>
      </c>
      <c r="E19" s="557">
        <f>'[17]Диспансер.набл.Пр.3-22'!E19+[17]Откл.Пр.!E20</f>
        <v>0</v>
      </c>
      <c r="F19" s="557">
        <f t="shared" si="2"/>
        <v>10912</v>
      </c>
      <c r="G19" s="557">
        <f>'[17]Диспансер.набл.Пр.3-22'!G19+[17]Откл.Пр.!G20</f>
        <v>367</v>
      </c>
      <c r="H19" s="557">
        <f>'[17]Диспансер.набл.Пр.3-22'!H19+[17]Откл.Пр.!H20</f>
        <v>10545</v>
      </c>
      <c r="I19" s="556"/>
      <c r="J19" s="556"/>
      <c r="K19" s="556"/>
      <c r="L19" s="562"/>
    </row>
    <row r="20" spans="1:12" x14ac:dyDescent="0.2">
      <c r="A20" s="35">
        <v>11</v>
      </c>
      <c r="B20" s="12" t="s">
        <v>75</v>
      </c>
      <c r="C20" s="9" t="s">
        <v>52</v>
      </c>
      <c r="D20" s="557">
        <f t="shared" si="1"/>
        <v>15044</v>
      </c>
      <c r="E20" s="557">
        <f>'[17]Диспансер.набл.Пр.3-22'!E20+[17]Откл.Пр.!E21</f>
        <v>0</v>
      </c>
      <c r="F20" s="557">
        <f t="shared" si="2"/>
        <v>15044</v>
      </c>
      <c r="G20" s="557">
        <f>'[17]Диспансер.набл.Пр.3-22'!G20+[17]Откл.Пр.!G21</f>
        <v>530</v>
      </c>
      <c r="H20" s="557">
        <f>'[17]Диспансер.набл.Пр.3-22'!H20+[17]Откл.Пр.!H21</f>
        <v>14514</v>
      </c>
      <c r="I20" s="556"/>
      <c r="J20" s="556"/>
      <c r="K20" s="556"/>
      <c r="L20" s="562"/>
    </row>
    <row r="21" spans="1:12" x14ac:dyDescent="0.2">
      <c r="A21" s="35">
        <v>12</v>
      </c>
      <c r="B21" s="12" t="s">
        <v>112</v>
      </c>
      <c r="C21" s="9" t="s">
        <v>63</v>
      </c>
      <c r="D21" s="557">
        <f t="shared" si="1"/>
        <v>17541</v>
      </c>
      <c r="E21" s="557">
        <f>'[17]Диспансер.набл.Пр.3-22'!E21+[17]Откл.Пр.!E22</f>
        <v>0</v>
      </c>
      <c r="F21" s="557">
        <f t="shared" si="2"/>
        <v>17541</v>
      </c>
      <c r="G21" s="557">
        <f>'[17]Диспансер.набл.Пр.3-22'!G21+[17]Откл.Пр.!G22</f>
        <v>2500</v>
      </c>
      <c r="H21" s="557">
        <f>'[17]Диспансер.набл.Пр.3-22'!H21+[17]Откл.Пр.!H22</f>
        <v>15041</v>
      </c>
      <c r="I21" s="556"/>
      <c r="J21" s="556"/>
      <c r="K21" s="556"/>
      <c r="L21" s="562"/>
    </row>
    <row r="22" spans="1:12" x14ac:dyDescent="0.2">
      <c r="A22" s="13">
        <v>13</v>
      </c>
      <c r="B22" s="12" t="s">
        <v>2271</v>
      </c>
      <c r="C22" s="9" t="s">
        <v>293</v>
      </c>
      <c r="D22" s="557"/>
      <c r="E22" s="557">
        <f>'[17]Диспансер.набл.Пр.3-22'!E22+[17]Откл.Пр.!E23</f>
        <v>0</v>
      </c>
      <c r="F22" s="557"/>
      <c r="G22" s="557">
        <f>'[17]Диспансер.набл.Пр.3-22'!G22+[17]Откл.Пр.!G23</f>
        <v>0</v>
      </c>
      <c r="H22" s="557">
        <f>'[17]Диспансер.набл.Пр.3-22'!H22+[17]Откл.Пр.!H23</f>
        <v>0</v>
      </c>
      <c r="I22" s="556"/>
      <c r="J22" s="556"/>
      <c r="K22" s="556"/>
      <c r="L22" s="562"/>
    </row>
    <row r="23" spans="1:12" x14ac:dyDescent="0.2">
      <c r="A23" s="35">
        <v>14</v>
      </c>
      <c r="B23" s="36" t="s">
        <v>176</v>
      </c>
      <c r="C23" s="9" t="s">
        <v>177</v>
      </c>
      <c r="D23" s="557">
        <f t="shared" si="1"/>
        <v>0</v>
      </c>
      <c r="E23" s="557">
        <f>'[17]Диспансер.набл.Пр.3-22'!E23+[17]Откл.Пр.!E24</f>
        <v>0</v>
      </c>
      <c r="F23" s="557">
        <f t="shared" si="2"/>
        <v>0</v>
      </c>
      <c r="G23" s="557">
        <f>'[17]Диспансер.набл.Пр.3-22'!G23+[17]Откл.Пр.!G24</f>
        <v>0</v>
      </c>
      <c r="H23" s="557">
        <f>'[17]Диспансер.набл.Пр.3-22'!H23+[17]Откл.Пр.!H24</f>
        <v>0</v>
      </c>
      <c r="I23" s="556"/>
      <c r="J23" s="556"/>
      <c r="K23" s="556"/>
      <c r="L23" s="562"/>
    </row>
    <row r="24" spans="1:12" x14ac:dyDescent="0.2">
      <c r="A24" s="13">
        <v>15</v>
      </c>
      <c r="B24" s="12" t="s">
        <v>115</v>
      </c>
      <c r="C24" s="9" t="s">
        <v>26</v>
      </c>
      <c r="D24" s="557">
        <f t="shared" si="1"/>
        <v>3188</v>
      </c>
      <c r="E24" s="557">
        <f>'[17]Диспансер.набл.Пр.3-22'!E24+[17]Откл.Пр.!E25</f>
        <v>0</v>
      </c>
      <c r="F24" s="557">
        <f t="shared" si="2"/>
        <v>3188</v>
      </c>
      <c r="G24" s="557">
        <f>'[17]Диспансер.набл.Пр.3-22'!G24+[17]Откл.Пр.!G25</f>
        <v>105</v>
      </c>
      <c r="H24" s="557">
        <f>'[17]Диспансер.набл.Пр.3-22'!H24+[17]Откл.Пр.!H25</f>
        <v>3083</v>
      </c>
      <c r="I24" s="556"/>
      <c r="J24" s="556"/>
      <c r="K24" s="556"/>
      <c r="L24" s="562"/>
    </row>
    <row r="25" spans="1:12" x14ac:dyDescent="0.2">
      <c r="A25" s="35">
        <v>16</v>
      </c>
      <c r="B25" s="12" t="s">
        <v>116</v>
      </c>
      <c r="C25" s="9" t="s">
        <v>28</v>
      </c>
      <c r="D25" s="557">
        <f t="shared" si="1"/>
        <v>17676</v>
      </c>
      <c r="E25" s="557">
        <f>'[17]Диспансер.набл.Пр.3-22'!E25+[17]Откл.Пр.!E26</f>
        <v>0</v>
      </c>
      <c r="F25" s="557">
        <f t="shared" si="2"/>
        <v>17676</v>
      </c>
      <c r="G25" s="557">
        <f>'[17]Диспансер.набл.Пр.3-22'!G25+[17]Откл.Пр.!G26</f>
        <v>5945</v>
      </c>
      <c r="H25" s="557">
        <f>'[17]Диспансер.набл.Пр.3-22'!H25+[17]Откл.Пр.!H26</f>
        <v>11731</v>
      </c>
      <c r="I25" s="556"/>
      <c r="J25" s="556"/>
      <c r="K25" s="556"/>
      <c r="L25" s="562"/>
    </row>
    <row r="26" spans="1:12" x14ac:dyDescent="0.2">
      <c r="A26" s="13">
        <v>17</v>
      </c>
      <c r="B26" s="12" t="s">
        <v>117</v>
      </c>
      <c r="C26" s="9" t="s">
        <v>24</v>
      </c>
      <c r="D26" s="557">
        <f t="shared" si="1"/>
        <v>10895</v>
      </c>
      <c r="E26" s="557">
        <f>'[17]Диспансер.набл.Пр.3-22'!E26+[17]Откл.Пр.!E27</f>
        <v>0</v>
      </c>
      <c r="F26" s="557">
        <f t="shared" si="2"/>
        <v>10895</v>
      </c>
      <c r="G26" s="557">
        <f>'[17]Диспансер.набл.Пр.3-22'!G26+[17]Откл.Пр.!G27</f>
        <v>1732</v>
      </c>
      <c r="H26" s="557">
        <f>'[17]Диспансер.набл.Пр.3-22'!H26+[17]Откл.Пр.!H27</f>
        <v>9163</v>
      </c>
      <c r="I26" s="556"/>
      <c r="J26" s="556"/>
      <c r="K26" s="556"/>
      <c r="L26" s="562"/>
    </row>
    <row r="27" spans="1:12" x14ac:dyDescent="0.2">
      <c r="A27" s="35">
        <v>18</v>
      </c>
      <c r="B27" s="12" t="s">
        <v>76</v>
      </c>
      <c r="C27" s="9" t="s">
        <v>7</v>
      </c>
      <c r="D27" s="557">
        <f t="shared" si="1"/>
        <v>38875</v>
      </c>
      <c r="E27" s="557">
        <f>'[17]Диспансер.набл.Пр.3-22'!E27+[17]Откл.Пр.!E28</f>
        <v>0</v>
      </c>
      <c r="F27" s="557">
        <f t="shared" si="2"/>
        <v>38875</v>
      </c>
      <c r="G27" s="557">
        <f>'[17]Диспансер.набл.Пр.3-22'!G27+[17]Откл.Пр.!G28</f>
        <v>915</v>
      </c>
      <c r="H27" s="557">
        <f>'[17]Диспансер.набл.Пр.3-22'!H27+[17]Откл.Пр.!H28</f>
        <v>37960</v>
      </c>
      <c r="I27" s="556"/>
      <c r="J27" s="556"/>
      <c r="K27" s="556"/>
      <c r="L27" s="562"/>
    </row>
    <row r="28" spans="1:12" x14ac:dyDescent="0.2">
      <c r="A28" s="13">
        <v>19</v>
      </c>
      <c r="B28" s="36" t="s">
        <v>118</v>
      </c>
      <c r="C28" s="37" t="s">
        <v>36</v>
      </c>
      <c r="D28" s="557">
        <f t="shared" si="1"/>
        <v>11340</v>
      </c>
      <c r="E28" s="557">
        <f>'[17]Диспансер.набл.Пр.3-22'!E28+[17]Откл.Пр.!E29</f>
        <v>0</v>
      </c>
      <c r="F28" s="557">
        <f t="shared" si="2"/>
        <v>11340</v>
      </c>
      <c r="G28" s="557">
        <f>'[17]Диспансер.набл.Пр.3-22'!G28+[17]Откл.Пр.!G29</f>
        <v>503</v>
      </c>
      <c r="H28" s="557">
        <f>'[17]Диспансер.набл.Пр.3-22'!H28+[17]Откл.Пр.!H29</f>
        <v>10837</v>
      </c>
      <c r="I28" s="556"/>
      <c r="J28" s="556"/>
      <c r="K28" s="556"/>
      <c r="L28" s="562"/>
    </row>
    <row r="29" spans="1:12" x14ac:dyDescent="0.2">
      <c r="A29" s="35">
        <v>20</v>
      </c>
      <c r="B29" s="36" t="s">
        <v>119</v>
      </c>
      <c r="C29" s="37" t="s">
        <v>41</v>
      </c>
      <c r="D29" s="557">
        <f t="shared" si="1"/>
        <v>4476</v>
      </c>
      <c r="E29" s="557">
        <f>'[17]Диспансер.набл.Пр.3-22'!E29+[17]Откл.Пр.!E30</f>
        <v>0</v>
      </c>
      <c r="F29" s="557">
        <f t="shared" si="2"/>
        <v>4476</v>
      </c>
      <c r="G29" s="557">
        <f>'[17]Диспансер.набл.Пр.3-22'!G29+[17]Откл.Пр.!G30</f>
        <v>901</v>
      </c>
      <c r="H29" s="557">
        <f>'[17]Диспансер.набл.Пр.3-22'!H29+[17]Откл.Пр.!H30</f>
        <v>3575</v>
      </c>
      <c r="I29" s="556"/>
      <c r="J29" s="556"/>
      <c r="K29" s="556"/>
      <c r="L29" s="562"/>
    </row>
    <row r="30" spans="1:12" x14ac:dyDescent="0.2">
      <c r="A30" s="13">
        <v>21</v>
      </c>
      <c r="B30" s="36" t="s">
        <v>120</v>
      </c>
      <c r="C30" s="37" t="s">
        <v>8</v>
      </c>
      <c r="D30" s="557">
        <f t="shared" si="1"/>
        <v>28263</v>
      </c>
      <c r="E30" s="557">
        <f>'[17]Диспансер.набл.Пр.3-22'!E30+[17]Откл.Пр.!E31</f>
        <v>0</v>
      </c>
      <c r="F30" s="557">
        <f t="shared" si="2"/>
        <v>28263</v>
      </c>
      <c r="G30" s="557">
        <f>'[17]Диспансер.набл.Пр.3-22'!G30+[17]Откл.Пр.!G31</f>
        <v>5238</v>
      </c>
      <c r="H30" s="557">
        <f>'[17]Диспансер.набл.Пр.3-22'!H30+[17]Откл.Пр.!H31</f>
        <v>23025</v>
      </c>
      <c r="I30" s="556"/>
      <c r="J30" s="556"/>
      <c r="K30" s="556"/>
      <c r="L30" s="562"/>
    </row>
    <row r="31" spans="1:12" x14ac:dyDescent="0.2">
      <c r="A31" s="35">
        <v>22</v>
      </c>
      <c r="B31" s="36" t="s">
        <v>77</v>
      </c>
      <c r="C31" s="37" t="s">
        <v>9</v>
      </c>
      <c r="D31" s="557">
        <f t="shared" si="1"/>
        <v>19346</v>
      </c>
      <c r="E31" s="557">
        <f>'[17]Диспансер.набл.Пр.3-22'!E31+[17]Откл.Пр.!E32</f>
        <v>0</v>
      </c>
      <c r="F31" s="557">
        <f t="shared" si="2"/>
        <v>19346</v>
      </c>
      <c r="G31" s="557">
        <f>'[17]Диспансер.набл.Пр.3-22'!G31+[17]Откл.Пр.!G32</f>
        <v>1831</v>
      </c>
      <c r="H31" s="557">
        <f>'[17]Диспансер.набл.Пр.3-22'!H31+[17]Откл.Пр.!H32</f>
        <v>17515</v>
      </c>
      <c r="I31" s="556"/>
      <c r="J31" s="556"/>
      <c r="K31" s="556"/>
      <c r="L31" s="562"/>
    </row>
    <row r="32" spans="1:12" x14ac:dyDescent="0.2">
      <c r="A32" s="13">
        <v>23</v>
      </c>
      <c r="B32" s="12" t="s">
        <v>78</v>
      </c>
      <c r="C32" s="9" t="s">
        <v>79</v>
      </c>
      <c r="D32" s="557">
        <f t="shared" si="1"/>
        <v>5393</v>
      </c>
      <c r="E32" s="557">
        <f>'[17]Диспансер.набл.Пр.3-22'!E32+[17]Откл.Пр.!E33</f>
        <v>0</v>
      </c>
      <c r="F32" s="557">
        <f t="shared" si="2"/>
        <v>5393</v>
      </c>
      <c r="G32" s="557">
        <f>'[17]Диспансер.набл.Пр.3-22'!G32+[17]Откл.Пр.!G33</f>
        <v>420</v>
      </c>
      <c r="H32" s="557">
        <f>'[17]Диспансер.набл.Пр.3-22'!H32+[17]Откл.Пр.!H33</f>
        <v>4973</v>
      </c>
      <c r="I32" s="556"/>
      <c r="J32" s="556"/>
      <c r="K32" s="556"/>
      <c r="L32" s="562"/>
    </row>
    <row r="33" spans="1:12" x14ac:dyDescent="0.2">
      <c r="A33" s="35">
        <v>24</v>
      </c>
      <c r="B33" s="12" t="s">
        <v>178</v>
      </c>
      <c r="C33" s="9" t="s">
        <v>179</v>
      </c>
      <c r="D33" s="557">
        <f t="shared" si="1"/>
        <v>0</v>
      </c>
      <c r="E33" s="557">
        <f>'[17]Диспансер.набл.Пр.3-22'!E33+[17]Откл.Пр.!E34</f>
        <v>0</v>
      </c>
      <c r="F33" s="557">
        <f t="shared" si="2"/>
        <v>0</v>
      </c>
      <c r="G33" s="557">
        <f>'[17]Диспансер.набл.Пр.3-22'!G33+[17]Откл.Пр.!G34</f>
        <v>0</v>
      </c>
      <c r="H33" s="557">
        <f>'[17]Диспансер.набл.Пр.3-22'!H33+[17]Откл.Пр.!H34</f>
        <v>0</v>
      </c>
      <c r="I33" s="556"/>
      <c r="J33" s="556"/>
      <c r="K33" s="556"/>
      <c r="L33" s="562"/>
    </row>
    <row r="34" spans="1:12" x14ac:dyDescent="0.2">
      <c r="A34" s="13">
        <v>25</v>
      </c>
      <c r="B34" s="12" t="s">
        <v>180</v>
      </c>
      <c r="C34" s="9" t="s">
        <v>181</v>
      </c>
      <c r="D34" s="557">
        <f t="shared" si="1"/>
        <v>0</v>
      </c>
      <c r="E34" s="557">
        <f>'[17]Диспансер.набл.Пр.3-22'!E34+[17]Откл.Пр.!E35</f>
        <v>0</v>
      </c>
      <c r="F34" s="557">
        <f t="shared" si="2"/>
        <v>0</v>
      </c>
      <c r="G34" s="557">
        <f>'[17]Диспансер.набл.Пр.3-22'!G34+[17]Откл.Пр.!G35</f>
        <v>0</v>
      </c>
      <c r="H34" s="557">
        <f>'[17]Диспансер.набл.Пр.3-22'!H34+[17]Откл.Пр.!H35</f>
        <v>0</v>
      </c>
      <c r="I34" s="556"/>
      <c r="J34" s="556"/>
      <c r="K34" s="556"/>
      <c r="L34" s="562"/>
    </row>
    <row r="35" spans="1:12" x14ac:dyDescent="0.2">
      <c r="A35" s="35">
        <v>26</v>
      </c>
      <c r="B35" s="36" t="s">
        <v>123</v>
      </c>
      <c r="C35" s="40" t="s">
        <v>124</v>
      </c>
      <c r="D35" s="557">
        <f t="shared" si="1"/>
        <v>51688</v>
      </c>
      <c r="E35" s="557">
        <f>'[17]Диспансер.набл.Пр.3-22'!E35+[17]Откл.Пр.!E36</f>
        <v>0</v>
      </c>
      <c r="F35" s="557">
        <f t="shared" si="2"/>
        <v>51688</v>
      </c>
      <c r="G35" s="557">
        <f>'[17]Диспансер.набл.Пр.3-22'!G35+[17]Откл.Пр.!G36</f>
        <v>9491</v>
      </c>
      <c r="H35" s="557">
        <f>'[17]Диспансер.набл.Пр.3-22'!H35+[17]Откл.Пр.!H36</f>
        <v>42197</v>
      </c>
      <c r="I35" s="556"/>
      <c r="J35" s="556"/>
      <c r="K35" s="556"/>
      <c r="L35" s="562"/>
    </row>
    <row r="36" spans="1:12" x14ac:dyDescent="0.2">
      <c r="A36" s="13">
        <v>27</v>
      </c>
      <c r="B36" s="12" t="s">
        <v>121</v>
      </c>
      <c r="C36" s="9" t="s">
        <v>122</v>
      </c>
      <c r="D36" s="557">
        <f t="shared" si="1"/>
        <v>34610</v>
      </c>
      <c r="E36" s="557">
        <f>'[17]Диспансер.набл.Пр.3-22'!E36+[17]Откл.Пр.!E37</f>
        <v>0</v>
      </c>
      <c r="F36" s="557">
        <f t="shared" si="2"/>
        <v>34610</v>
      </c>
      <c r="G36" s="557">
        <f>'[17]Диспансер.набл.Пр.3-22'!G36+[17]Откл.Пр.!G37</f>
        <v>5000</v>
      </c>
      <c r="H36" s="557">
        <f>'[17]Диспансер.набл.Пр.3-22'!H36+[17]Откл.Пр.!H37+8610</f>
        <v>29610</v>
      </c>
      <c r="I36" s="556"/>
      <c r="J36" s="556"/>
      <c r="K36" s="556"/>
      <c r="L36" s="562"/>
    </row>
    <row r="37" spans="1:12" x14ac:dyDescent="0.2">
      <c r="A37" s="35">
        <v>28</v>
      </c>
      <c r="B37" s="12" t="s">
        <v>182</v>
      </c>
      <c r="C37" s="9" t="s">
        <v>183</v>
      </c>
      <c r="D37" s="557">
        <f t="shared" si="1"/>
        <v>6831</v>
      </c>
      <c r="E37" s="557">
        <f>'[17]Диспансер.набл.Пр.3-22'!E37+[17]Откл.Пр.!E38</f>
        <v>0</v>
      </c>
      <c r="F37" s="557">
        <f t="shared" si="2"/>
        <v>6831</v>
      </c>
      <c r="G37" s="557">
        <f>'[17]Диспансер.набл.Пр.3-22'!G37+[17]Откл.Пр.!G38</f>
        <v>854</v>
      </c>
      <c r="H37" s="557">
        <f>'[17]Диспансер.набл.Пр.3-22'!H37+[17]Откл.Пр.!H38</f>
        <v>5977</v>
      </c>
      <c r="I37" s="556"/>
      <c r="J37" s="556"/>
      <c r="K37" s="556"/>
      <c r="L37" s="562"/>
    </row>
    <row r="38" spans="1:12" x14ac:dyDescent="0.2">
      <c r="A38" s="13">
        <v>29</v>
      </c>
      <c r="B38" s="38" t="s">
        <v>184</v>
      </c>
      <c r="C38" s="40" t="s">
        <v>65</v>
      </c>
      <c r="D38" s="557">
        <f t="shared" si="1"/>
        <v>0</v>
      </c>
      <c r="E38" s="557">
        <f>'[17]Диспансер.набл.Пр.3-22'!E38+[17]Откл.Пр.!E39</f>
        <v>0</v>
      </c>
      <c r="F38" s="557">
        <f t="shared" si="2"/>
        <v>0</v>
      </c>
      <c r="G38" s="557">
        <f>'[17]Диспансер.набл.Пр.3-22'!G38+[17]Откл.Пр.!G39</f>
        <v>0</v>
      </c>
      <c r="H38" s="557">
        <f>'[17]Диспансер.набл.Пр.3-22'!H38+[17]Откл.Пр.!H39</f>
        <v>0</v>
      </c>
      <c r="I38" s="556"/>
      <c r="J38" s="556"/>
      <c r="K38" s="556"/>
      <c r="L38" s="562"/>
    </row>
    <row r="39" spans="1:12" x14ac:dyDescent="0.2">
      <c r="A39" s="35">
        <v>30</v>
      </c>
      <c r="B39" s="36" t="s">
        <v>80</v>
      </c>
      <c r="C39" s="37" t="s">
        <v>81</v>
      </c>
      <c r="D39" s="557">
        <f t="shared" si="1"/>
        <v>0</v>
      </c>
      <c r="E39" s="557">
        <f>'[17]Диспансер.набл.Пр.3-22'!E39+[17]Откл.Пр.!E40</f>
        <v>0</v>
      </c>
      <c r="F39" s="557">
        <f t="shared" si="2"/>
        <v>0</v>
      </c>
      <c r="G39" s="557">
        <f>'[17]Диспансер.набл.Пр.3-22'!G39+[17]Откл.Пр.!G40</f>
        <v>0</v>
      </c>
      <c r="H39" s="557">
        <f>'[17]Диспансер.набл.Пр.3-22'!H39+[17]Откл.Пр.!H40</f>
        <v>0</v>
      </c>
      <c r="I39" s="556"/>
      <c r="J39" s="556"/>
      <c r="K39" s="556"/>
      <c r="L39" s="562"/>
    </row>
    <row r="40" spans="1:12" x14ac:dyDescent="0.2">
      <c r="A40" s="13">
        <v>31</v>
      </c>
      <c r="B40" s="12" t="s">
        <v>131</v>
      </c>
      <c r="C40" s="9" t="s">
        <v>185</v>
      </c>
      <c r="D40" s="557">
        <f t="shared" si="1"/>
        <v>2100</v>
      </c>
      <c r="E40" s="557">
        <f>'[17]Диспансер.набл.Пр.3-22'!E40+[17]Откл.Пр.!E41</f>
        <v>0</v>
      </c>
      <c r="F40" s="557">
        <f t="shared" si="2"/>
        <v>2100</v>
      </c>
      <c r="G40" s="557">
        <f>'[17]Диспансер.набл.Пр.3-22'!G40+[17]Откл.Пр.!G41</f>
        <v>80</v>
      </c>
      <c r="H40" s="557">
        <f>'[17]Диспансер.набл.Пр.3-22'!H40+[17]Откл.Пр.!H41</f>
        <v>2020</v>
      </c>
      <c r="I40" s="556"/>
      <c r="J40" s="556"/>
      <c r="K40" s="556"/>
      <c r="L40" s="562"/>
    </row>
    <row r="41" spans="1:12" x14ac:dyDescent="0.2">
      <c r="A41" s="35">
        <v>32</v>
      </c>
      <c r="B41" s="38" t="s">
        <v>82</v>
      </c>
      <c r="C41" s="37" t="s">
        <v>10</v>
      </c>
      <c r="D41" s="557">
        <f t="shared" si="1"/>
        <v>30164</v>
      </c>
      <c r="E41" s="557">
        <f>'[17]Диспансер.набл.Пр.3-22'!E41+[17]Откл.Пр.!E42</f>
        <v>0</v>
      </c>
      <c r="F41" s="557">
        <f t="shared" si="2"/>
        <v>30164</v>
      </c>
      <c r="G41" s="557">
        <f>'[17]Диспансер.набл.Пр.3-22'!G41+[17]Откл.Пр.!G42</f>
        <v>2062</v>
      </c>
      <c r="H41" s="557">
        <f>'[17]Диспансер.набл.Пр.3-22'!H41+[17]Откл.Пр.!H42</f>
        <v>28102</v>
      </c>
      <c r="I41" s="556"/>
      <c r="J41" s="556"/>
      <c r="K41" s="556"/>
      <c r="L41" s="562"/>
    </row>
    <row r="42" spans="1:12" x14ac:dyDescent="0.2">
      <c r="A42" s="13">
        <v>33</v>
      </c>
      <c r="B42" s="39" t="s">
        <v>83</v>
      </c>
      <c r="C42" s="40" t="s">
        <v>11</v>
      </c>
      <c r="D42" s="557">
        <f t="shared" si="1"/>
        <v>44735</v>
      </c>
      <c r="E42" s="557">
        <f>'[17]Диспансер.набл.Пр.3-22'!E42+[17]Откл.Пр.!E43</f>
        <v>0</v>
      </c>
      <c r="F42" s="557">
        <f t="shared" si="2"/>
        <v>44735</v>
      </c>
      <c r="G42" s="557">
        <f>'[17]Диспансер.набл.Пр.3-22'!G42+[17]Откл.Пр.!G43</f>
        <v>8284</v>
      </c>
      <c r="H42" s="557">
        <f>'[17]Диспансер.набл.Пр.3-22'!H42+[17]Откл.Пр.!H43</f>
        <v>36451</v>
      </c>
      <c r="I42" s="556"/>
      <c r="J42" s="556"/>
      <c r="K42" s="556"/>
      <c r="L42" s="562"/>
    </row>
    <row r="43" spans="1:12" x14ac:dyDescent="0.2">
      <c r="A43" s="35">
        <v>34</v>
      </c>
      <c r="B43" s="38" t="s">
        <v>125</v>
      </c>
      <c r="C43" s="37" t="s">
        <v>43</v>
      </c>
      <c r="D43" s="557">
        <f t="shared" si="1"/>
        <v>8479</v>
      </c>
      <c r="E43" s="557">
        <f>'[17]Диспансер.набл.Пр.3-22'!E43+[17]Откл.Пр.!E44</f>
        <v>0</v>
      </c>
      <c r="F43" s="557">
        <f t="shared" si="2"/>
        <v>8479</v>
      </c>
      <c r="G43" s="557">
        <f>'[17]Диспансер.набл.Пр.3-22'!G43+[17]Откл.Пр.!G44</f>
        <v>840</v>
      </c>
      <c r="H43" s="557">
        <f>'[17]Диспансер.набл.Пр.3-22'!H43+[17]Откл.Пр.!H44</f>
        <v>7639</v>
      </c>
      <c r="I43" s="556"/>
      <c r="J43" s="556"/>
      <c r="K43" s="556"/>
      <c r="L43" s="562"/>
    </row>
    <row r="44" spans="1:12" x14ac:dyDescent="0.2">
      <c r="A44" s="13">
        <v>35</v>
      </c>
      <c r="B44" s="12" t="s">
        <v>84</v>
      </c>
      <c r="C44" s="9" t="s">
        <v>12</v>
      </c>
      <c r="D44" s="557">
        <f t="shared" si="1"/>
        <v>28669</v>
      </c>
      <c r="E44" s="557">
        <f>'[17]Диспансер.набл.Пр.3-22'!E44+[17]Откл.Пр.!E45</f>
        <v>0</v>
      </c>
      <c r="F44" s="557">
        <f t="shared" si="2"/>
        <v>28669</v>
      </c>
      <c r="G44" s="557">
        <f>'[17]Диспансер.набл.Пр.3-22'!G44+[17]Откл.Пр.!G45</f>
        <v>1000</v>
      </c>
      <c r="H44" s="557">
        <f>'[17]Диспансер.набл.Пр.3-22'!H44+[17]Откл.Пр.!H45</f>
        <v>27669</v>
      </c>
      <c r="I44" s="556"/>
      <c r="J44" s="556"/>
      <c r="K44" s="556"/>
      <c r="L44" s="562"/>
    </row>
    <row r="45" spans="1:12" x14ac:dyDescent="0.2">
      <c r="A45" s="35">
        <v>36</v>
      </c>
      <c r="B45" s="38" t="s">
        <v>85</v>
      </c>
      <c r="C45" s="37" t="s">
        <v>49</v>
      </c>
      <c r="D45" s="557">
        <f t="shared" si="1"/>
        <v>24046</v>
      </c>
      <c r="E45" s="557">
        <f>'[17]Диспансер.набл.Пр.3-22'!E45+[17]Откл.Пр.!E46</f>
        <v>0</v>
      </c>
      <c r="F45" s="557">
        <f t="shared" si="2"/>
        <v>24046</v>
      </c>
      <c r="G45" s="557">
        <f>'[17]Диспансер.набл.Пр.3-22'!G45+[17]Откл.Пр.!G46</f>
        <v>4228</v>
      </c>
      <c r="H45" s="557">
        <f>'[17]Диспансер.набл.Пр.3-22'!H45+[17]Откл.Пр.!H46</f>
        <v>19818</v>
      </c>
      <c r="I45" s="556"/>
      <c r="J45" s="556"/>
      <c r="K45" s="556"/>
      <c r="L45" s="562"/>
    </row>
    <row r="46" spans="1:12" x14ac:dyDescent="0.2">
      <c r="A46" s="13">
        <v>37</v>
      </c>
      <c r="B46" s="36" t="s">
        <v>126</v>
      </c>
      <c r="C46" s="37" t="s">
        <v>25</v>
      </c>
      <c r="D46" s="557">
        <f t="shared" si="1"/>
        <v>26524</v>
      </c>
      <c r="E46" s="557">
        <f>'[17]Диспансер.набл.Пр.3-22'!E46+[17]Откл.Пр.!E47</f>
        <v>0</v>
      </c>
      <c r="F46" s="557">
        <f t="shared" si="2"/>
        <v>26524</v>
      </c>
      <c r="G46" s="557">
        <f>'[17]Диспансер.набл.Пр.3-22'!G46+[17]Откл.Пр.!G47</f>
        <v>2708</v>
      </c>
      <c r="H46" s="557">
        <f>'[17]Диспансер.набл.Пр.3-22'!H46+[17]Откл.Пр.!H47</f>
        <v>23816</v>
      </c>
      <c r="I46" s="556"/>
      <c r="J46" s="556"/>
      <c r="K46" s="556"/>
      <c r="L46" s="562"/>
    </row>
    <row r="47" spans="1:12" x14ac:dyDescent="0.2">
      <c r="A47" s="35">
        <v>38</v>
      </c>
      <c r="B47" s="41" t="s">
        <v>127</v>
      </c>
      <c r="C47" s="42" t="s">
        <v>54</v>
      </c>
      <c r="D47" s="557">
        <f t="shared" si="1"/>
        <v>5435</v>
      </c>
      <c r="E47" s="557">
        <f>'[17]Диспансер.набл.Пр.3-22'!E47+[17]Откл.Пр.!E48</f>
        <v>0</v>
      </c>
      <c r="F47" s="557">
        <f t="shared" si="2"/>
        <v>5435</v>
      </c>
      <c r="G47" s="557">
        <f>'[17]Диспансер.набл.Пр.3-22'!G47+[17]Откл.Пр.!G48</f>
        <v>609</v>
      </c>
      <c r="H47" s="557">
        <f>'[17]Диспансер.набл.Пр.3-22'!H47+[17]Откл.Пр.!H48</f>
        <v>4826</v>
      </c>
      <c r="I47" s="556"/>
      <c r="J47" s="556"/>
      <c r="K47" s="556"/>
      <c r="L47" s="562"/>
    </row>
    <row r="48" spans="1:12" x14ac:dyDescent="0.2">
      <c r="A48" s="13">
        <v>39</v>
      </c>
      <c r="B48" s="36" t="s">
        <v>86</v>
      </c>
      <c r="C48" s="37" t="s">
        <v>57</v>
      </c>
      <c r="D48" s="557">
        <f t="shared" si="1"/>
        <v>6592</v>
      </c>
      <c r="E48" s="557">
        <f>'[17]Диспансер.набл.Пр.3-22'!E48+[17]Откл.Пр.!E49</f>
        <v>0</v>
      </c>
      <c r="F48" s="557">
        <f t="shared" si="2"/>
        <v>6592</v>
      </c>
      <c r="G48" s="557">
        <f>'[17]Диспансер.набл.Пр.3-22'!G48+[17]Откл.Пр.!G49</f>
        <v>1337</v>
      </c>
      <c r="H48" s="557">
        <f>'[17]Диспансер.набл.Пр.3-22'!H48+[17]Откл.Пр.!H49</f>
        <v>5255</v>
      </c>
      <c r="I48" s="556"/>
      <c r="J48" s="556"/>
      <c r="K48" s="556"/>
      <c r="L48" s="562"/>
    </row>
    <row r="49" spans="1:12" x14ac:dyDescent="0.2">
      <c r="A49" s="35">
        <v>40</v>
      </c>
      <c r="B49" s="39" t="s">
        <v>87</v>
      </c>
      <c r="C49" s="40" t="s">
        <v>58</v>
      </c>
      <c r="D49" s="557">
        <f t="shared" si="1"/>
        <v>17290</v>
      </c>
      <c r="E49" s="557">
        <f>'[17]Диспансер.набл.Пр.3-22'!E49+[17]Откл.Пр.!E50</f>
        <v>0</v>
      </c>
      <c r="F49" s="557">
        <f t="shared" si="2"/>
        <v>17290</v>
      </c>
      <c r="G49" s="557">
        <f>'[17]Диспансер.набл.Пр.3-22'!G49+[17]Откл.Пр.!G50</f>
        <v>1215</v>
      </c>
      <c r="H49" s="557">
        <f>'[17]Диспансер.набл.Пр.3-22'!H49+[17]Откл.Пр.!H50</f>
        <v>16075</v>
      </c>
      <c r="I49" s="556"/>
      <c r="J49" s="556"/>
      <c r="K49" s="556"/>
      <c r="L49" s="562"/>
    </row>
    <row r="50" spans="1:12" x14ac:dyDescent="0.2">
      <c r="A50" s="13">
        <v>41</v>
      </c>
      <c r="B50" s="12" t="s">
        <v>128</v>
      </c>
      <c r="C50" s="9" t="s">
        <v>59</v>
      </c>
      <c r="D50" s="557">
        <f t="shared" si="1"/>
        <v>5732</v>
      </c>
      <c r="E50" s="557">
        <f>'[17]Диспансер.набл.Пр.3-22'!E50+[17]Откл.Пр.!E51</f>
        <v>0</v>
      </c>
      <c r="F50" s="557">
        <f t="shared" si="2"/>
        <v>5732</v>
      </c>
      <c r="G50" s="557">
        <f>'[17]Диспансер.набл.Пр.3-22'!G50+[17]Откл.Пр.!G51</f>
        <v>395</v>
      </c>
      <c r="H50" s="557">
        <f>'[17]Диспансер.набл.Пр.3-22'!H50+[17]Откл.Пр.!H51</f>
        <v>5337</v>
      </c>
      <c r="I50" s="556"/>
      <c r="J50" s="556"/>
      <c r="K50" s="556"/>
      <c r="L50" s="562"/>
    </row>
    <row r="51" spans="1:12" x14ac:dyDescent="0.2">
      <c r="A51" s="35">
        <v>42</v>
      </c>
      <c r="B51" s="38" t="s">
        <v>129</v>
      </c>
      <c r="C51" s="37" t="s">
        <v>130</v>
      </c>
      <c r="D51" s="557">
        <f t="shared" si="1"/>
        <v>8600</v>
      </c>
      <c r="E51" s="557">
        <f>'[17]Диспансер.набл.Пр.3-22'!E51+[17]Откл.Пр.!E52</f>
        <v>0</v>
      </c>
      <c r="F51" s="557">
        <f t="shared" si="2"/>
        <v>8600</v>
      </c>
      <c r="G51" s="557">
        <f>'[17]Диспансер.набл.Пр.3-22'!G51+[17]Откл.Пр.!G52</f>
        <v>600</v>
      </c>
      <c r="H51" s="557">
        <f>'[17]Диспансер.набл.Пр.3-22'!H51+[17]Откл.Пр.!H52</f>
        <v>8000</v>
      </c>
      <c r="I51" s="556"/>
      <c r="J51" s="556"/>
      <c r="K51" s="556"/>
      <c r="L51" s="562"/>
    </row>
    <row r="52" spans="1:12" x14ac:dyDescent="0.2">
      <c r="A52" s="13">
        <v>43</v>
      </c>
      <c r="B52" s="12" t="s">
        <v>88</v>
      </c>
      <c r="C52" s="9" t="s">
        <v>13</v>
      </c>
      <c r="D52" s="557">
        <f t="shared" si="1"/>
        <v>46086</v>
      </c>
      <c r="E52" s="557">
        <f>'[17]Диспансер.набл.Пр.3-22'!E52+[17]Откл.Пр.!E53</f>
        <v>0</v>
      </c>
      <c r="F52" s="557">
        <f t="shared" si="2"/>
        <v>46086</v>
      </c>
      <c r="G52" s="557">
        <f>'[17]Диспансер.набл.Пр.3-22'!G52+[17]Откл.Пр.!G53</f>
        <v>4890</v>
      </c>
      <c r="H52" s="557">
        <f>'[17]Диспансер.набл.Пр.3-22'!H52+[17]Откл.Пр.!H53</f>
        <v>41196</v>
      </c>
      <c r="I52" s="556"/>
      <c r="J52" s="556"/>
      <c r="K52" s="556"/>
      <c r="L52" s="562"/>
    </row>
    <row r="53" spans="1:12" x14ac:dyDescent="0.2">
      <c r="A53" s="35">
        <v>44</v>
      </c>
      <c r="B53" s="36" t="s">
        <v>132</v>
      </c>
      <c r="C53" s="37" t="s">
        <v>30</v>
      </c>
      <c r="D53" s="557">
        <f t="shared" si="1"/>
        <v>14547</v>
      </c>
      <c r="E53" s="557">
        <f>'[17]Диспансер.набл.Пр.3-22'!E53+[17]Откл.Пр.!E54</f>
        <v>0</v>
      </c>
      <c r="F53" s="557">
        <f t="shared" si="2"/>
        <v>14547</v>
      </c>
      <c r="G53" s="557">
        <f>'[17]Диспансер.набл.Пр.3-22'!G53+[17]Откл.Пр.!G54</f>
        <v>1362</v>
      </c>
      <c r="H53" s="557">
        <f>'[17]Диспансер.набл.Пр.3-22'!H53+[17]Откл.Пр.!H54</f>
        <v>13185</v>
      </c>
      <c r="I53" s="556"/>
      <c r="J53" s="556"/>
      <c r="K53" s="556"/>
      <c r="L53" s="562"/>
    </row>
    <row r="54" spans="1:12" x14ac:dyDescent="0.2">
      <c r="A54" s="13">
        <v>45</v>
      </c>
      <c r="B54" s="36" t="s">
        <v>133</v>
      </c>
      <c r="C54" s="37" t="s">
        <v>14</v>
      </c>
      <c r="D54" s="557">
        <f t="shared" si="1"/>
        <v>41405</v>
      </c>
      <c r="E54" s="557">
        <f>'[17]Диспансер.набл.Пр.3-22'!E54+[17]Откл.Пр.!E55</f>
        <v>0</v>
      </c>
      <c r="F54" s="557">
        <f t="shared" si="2"/>
        <v>41405</v>
      </c>
      <c r="G54" s="557">
        <f>'[17]Диспансер.набл.Пр.3-22'!G54+[17]Откл.Пр.!G55</f>
        <v>4766</v>
      </c>
      <c r="H54" s="557">
        <f>'[17]Диспансер.набл.Пр.3-22'!H54+[17]Откл.Пр.!H55</f>
        <v>36639</v>
      </c>
      <c r="I54" s="556"/>
      <c r="J54" s="556"/>
      <c r="K54" s="556"/>
      <c r="L54" s="562"/>
    </row>
    <row r="55" spans="1:12" x14ac:dyDescent="0.2">
      <c r="A55" s="35">
        <v>46</v>
      </c>
      <c r="B55" s="12" t="s">
        <v>134</v>
      </c>
      <c r="C55" s="9" t="s">
        <v>33</v>
      </c>
      <c r="D55" s="557">
        <f t="shared" si="1"/>
        <v>7393</v>
      </c>
      <c r="E55" s="557">
        <f>'[17]Диспансер.набл.Пр.3-22'!E55+[17]Откл.Пр.!E56</f>
        <v>0</v>
      </c>
      <c r="F55" s="557">
        <f t="shared" si="2"/>
        <v>7393</v>
      </c>
      <c r="G55" s="557">
        <f>'[17]Диспансер.набл.Пр.3-22'!G55+[17]Откл.Пр.!G56</f>
        <v>739</v>
      </c>
      <c r="H55" s="557">
        <f>'[17]Диспансер.набл.Пр.3-22'!H55+[17]Откл.Пр.!H56</f>
        <v>6654</v>
      </c>
      <c r="I55" s="556"/>
      <c r="J55" s="556"/>
      <c r="K55" s="556"/>
      <c r="L55" s="562"/>
    </row>
    <row r="56" spans="1:12" x14ac:dyDescent="0.2">
      <c r="A56" s="13">
        <v>47</v>
      </c>
      <c r="B56" s="12" t="s">
        <v>89</v>
      </c>
      <c r="C56" s="9" t="s">
        <v>38</v>
      </c>
      <c r="D56" s="557">
        <f t="shared" si="1"/>
        <v>8035</v>
      </c>
      <c r="E56" s="557">
        <f>'[17]Диспансер.набл.Пр.3-22'!E56+[17]Откл.Пр.!E57</f>
        <v>0</v>
      </c>
      <c r="F56" s="557">
        <f t="shared" si="2"/>
        <v>8035</v>
      </c>
      <c r="G56" s="557">
        <f>'[17]Диспансер.набл.Пр.3-22'!G56+[17]Откл.Пр.!G57</f>
        <v>1106</v>
      </c>
      <c r="H56" s="557">
        <f>'[17]Диспансер.набл.Пр.3-22'!H56+[17]Откл.Пр.!H57</f>
        <v>6929</v>
      </c>
      <c r="I56" s="556"/>
      <c r="J56" s="556"/>
      <c r="K56" s="556"/>
      <c r="L56" s="562"/>
    </row>
    <row r="57" spans="1:12" x14ac:dyDescent="0.2">
      <c r="A57" s="35">
        <v>48</v>
      </c>
      <c r="B57" s="38" t="s">
        <v>90</v>
      </c>
      <c r="C57" s="37" t="s">
        <v>39</v>
      </c>
      <c r="D57" s="557">
        <f t="shared" si="1"/>
        <v>17491</v>
      </c>
      <c r="E57" s="557">
        <f>'[17]Диспансер.набл.Пр.3-22'!E57+[17]Откл.Пр.!E58</f>
        <v>0</v>
      </c>
      <c r="F57" s="557">
        <f t="shared" si="2"/>
        <v>17491</v>
      </c>
      <c r="G57" s="557">
        <f>'[17]Диспансер.набл.Пр.3-22'!G57+[17]Откл.Пр.!G58</f>
        <v>3344</v>
      </c>
      <c r="H57" s="557">
        <f>'[17]Диспансер.набл.Пр.3-22'!H57+[17]Откл.Пр.!H58</f>
        <v>14147</v>
      </c>
      <c r="I57" s="556"/>
      <c r="J57" s="556"/>
      <c r="K57" s="556"/>
      <c r="L57" s="562"/>
    </row>
    <row r="58" spans="1:12" x14ac:dyDescent="0.2">
      <c r="A58" s="13">
        <v>49</v>
      </c>
      <c r="B58" s="12" t="s">
        <v>135</v>
      </c>
      <c r="C58" s="9" t="s">
        <v>40</v>
      </c>
      <c r="D58" s="557">
        <f t="shared" si="1"/>
        <v>6838</v>
      </c>
      <c r="E58" s="557">
        <f>'[17]Диспансер.набл.Пр.3-22'!E58+[17]Откл.Пр.!E59</f>
        <v>0</v>
      </c>
      <c r="F58" s="557">
        <f t="shared" si="2"/>
        <v>6838</v>
      </c>
      <c r="G58" s="557">
        <f>'[17]Диспансер.набл.Пр.3-22'!G58+[17]Откл.Пр.!G59</f>
        <v>211</v>
      </c>
      <c r="H58" s="557">
        <f>'[17]Диспансер.набл.Пр.3-22'!H58+[17]Откл.Пр.!H59</f>
        <v>6627</v>
      </c>
      <c r="I58" s="556"/>
      <c r="J58" s="556"/>
      <c r="K58" s="556"/>
      <c r="L58" s="562"/>
    </row>
    <row r="59" spans="1:12" x14ac:dyDescent="0.2">
      <c r="A59" s="35">
        <v>50</v>
      </c>
      <c r="B59" s="38" t="s">
        <v>91</v>
      </c>
      <c r="C59" s="37" t="s">
        <v>53</v>
      </c>
      <c r="D59" s="557">
        <f t="shared" si="1"/>
        <v>13720</v>
      </c>
      <c r="E59" s="557">
        <f>'[17]Диспансер.набл.Пр.3-22'!E59+[17]Откл.Пр.!E60</f>
        <v>0</v>
      </c>
      <c r="F59" s="557">
        <f t="shared" si="2"/>
        <v>13720</v>
      </c>
      <c r="G59" s="557">
        <f>'[17]Диспансер.набл.Пр.3-22'!G59+[17]Откл.Пр.!G60</f>
        <v>732</v>
      </c>
      <c r="H59" s="557">
        <f>'[17]Диспансер.набл.Пр.3-22'!H59+[17]Откл.Пр.!H60</f>
        <v>12988</v>
      </c>
      <c r="I59" s="556"/>
      <c r="J59" s="556"/>
      <c r="K59" s="556"/>
      <c r="L59" s="562"/>
    </row>
    <row r="60" spans="1:12" x14ac:dyDescent="0.2">
      <c r="A60" s="13">
        <v>51</v>
      </c>
      <c r="B60" s="12" t="s">
        <v>92</v>
      </c>
      <c r="C60" s="9" t="s">
        <v>56</v>
      </c>
      <c r="D60" s="557">
        <f t="shared" si="1"/>
        <v>16437</v>
      </c>
      <c r="E60" s="557">
        <f>'[17]Диспансер.набл.Пр.3-22'!E60+[17]Откл.Пр.!E61</f>
        <v>0</v>
      </c>
      <c r="F60" s="557">
        <f t="shared" si="2"/>
        <v>16437</v>
      </c>
      <c r="G60" s="557">
        <f>'[17]Диспансер.набл.Пр.3-22'!G60+[17]Откл.Пр.!G61</f>
        <v>400</v>
      </c>
      <c r="H60" s="557">
        <f>'[17]Диспансер.набл.Пр.3-22'!H60+[17]Откл.Пр.!H61</f>
        <v>16037</v>
      </c>
      <c r="I60" s="556"/>
      <c r="J60" s="556"/>
      <c r="K60" s="556"/>
      <c r="L60" s="562"/>
    </row>
    <row r="61" spans="1:12" x14ac:dyDescent="0.2">
      <c r="A61" s="35">
        <v>52</v>
      </c>
      <c r="B61" s="12" t="s">
        <v>136</v>
      </c>
      <c r="C61" s="9" t="s">
        <v>15</v>
      </c>
      <c r="D61" s="557">
        <f t="shared" si="1"/>
        <v>57921</v>
      </c>
      <c r="E61" s="557">
        <f>'[17]Диспансер.набл.Пр.3-22'!E61+[17]Откл.Пр.!E62</f>
        <v>0</v>
      </c>
      <c r="F61" s="557">
        <f t="shared" si="2"/>
        <v>57921</v>
      </c>
      <c r="G61" s="557">
        <f>'[17]Диспансер.набл.Пр.3-22'!G61+[17]Откл.Пр.!G62</f>
        <v>637</v>
      </c>
      <c r="H61" s="557">
        <f>'[17]Диспансер.набл.Пр.3-22'!H61+[17]Откл.Пр.!H62</f>
        <v>57284</v>
      </c>
      <c r="I61" s="556"/>
      <c r="J61" s="556"/>
      <c r="K61" s="556"/>
      <c r="L61" s="562"/>
    </row>
    <row r="62" spans="1:12" x14ac:dyDescent="0.2">
      <c r="A62" s="13">
        <v>53</v>
      </c>
      <c r="B62" s="12" t="s">
        <v>137</v>
      </c>
      <c r="C62" s="9" t="s">
        <v>61</v>
      </c>
      <c r="D62" s="557">
        <f t="shared" si="1"/>
        <v>6363</v>
      </c>
      <c r="E62" s="557">
        <f>'[17]Диспансер.набл.Пр.3-22'!E62+[17]Откл.Пр.!E63</f>
        <v>0</v>
      </c>
      <c r="F62" s="557">
        <f t="shared" si="2"/>
        <v>6363</v>
      </c>
      <c r="G62" s="557">
        <f>'[17]Диспансер.набл.Пр.3-22'!G62+[17]Откл.Пр.!G63</f>
        <v>284</v>
      </c>
      <c r="H62" s="557">
        <f>'[17]Диспансер.набл.Пр.3-22'!H62+[17]Откл.Пр.!H63</f>
        <v>6079</v>
      </c>
      <c r="I62" s="556"/>
      <c r="J62" s="556"/>
      <c r="K62" s="556"/>
      <c r="L62" s="562"/>
    </row>
    <row r="63" spans="1:12" x14ac:dyDescent="0.2">
      <c r="A63" s="35">
        <v>54</v>
      </c>
      <c r="B63" s="12" t="s">
        <v>186</v>
      </c>
      <c r="C63" s="9" t="s">
        <v>187</v>
      </c>
      <c r="D63" s="557">
        <f t="shared" si="1"/>
        <v>0</v>
      </c>
      <c r="E63" s="557">
        <f>'[17]Диспансер.набл.Пр.3-22'!E63+[17]Откл.Пр.!E64</f>
        <v>0</v>
      </c>
      <c r="F63" s="557">
        <f t="shared" si="2"/>
        <v>0</v>
      </c>
      <c r="G63" s="557">
        <f>'[17]Диспансер.набл.Пр.3-22'!G63+[17]Откл.Пр.!G64</f>
        <v>0</v>
      </c>
      <c r="H63" s="557">
        <f>'[17]Диспансер.набл.Пр.3-22'!H63+[17]Откл.Пр.!H64</f>
        <v>0</v>
      </c>
      <c r="I63" s="556"/>
      <c r="J63" s="556"/>
      <c r="K63" s="556"/>
      <c r="L63" s="562"/>
    </row>
    <row r="64" spans="1:12" x14ac:dyDescent="0.2">
      <c r="A64" s="13">
        <v>55</v>
      </c>
      <c r="B64" s="12" t="s">
        <v>188</v>
      </c>
      <c r="C64" s="9" t="s">
        <v>189</v>
      </c>
      <c r="D64" s="557">
        <f t="shared" si="1"/>
        <v>0</v>
      </c>
      <c r="E64" s="557">
        <f>'[17]Диспансер.набл.Пр.3-22'!E64+[17]Откл.Пр.!E65</f>
        <v>0</v>
      </c>
      <c r="F64" s="557">
        <f t="shared" si="2"/>
        <v>0</v>
      </c>
      <c r="G64" s="557">
        <f>'[17]Диспансер.набл.Пр.3-22'!G64+[17]Откл.Пр.!G65</f>
        <v>0</v>
      </c>
      <c r="H64" s="557">
        <f>'[17]Диспансер.набл.Пр.3-22'!H64+[17]Откл.Пр.!H65</f>
        <v>0</v>
      </c>
      <c r="I64" s="556"/>
      <c r="J64" s="556"/>
      <c r="K64" s="556"/>
      <c r="L64" s="562"/>
    </row>
    <row r="65" spans="1:12" x14ac:dyDescent="0.2">
      <c r="A65" s="35">
        <v>56</v>
      </c>
      <c r="B65" s="12" t="s">
        <v>190</v>
      </c>
      <c r="C65" s="9" t="s">
        <v>191</v>
      </c>
      <c r="D65" s="557">
        <f t="shared" si="1"/>
        <v>7699</v>
      </c>
      <c r="E65" s="557">
        <f>'[17]Диспансер.набл.Пр.3-22'!E65+[17]Откл.Пр.!E66</f>
        <v>0</v>
      </c>
      <c r="F65" s="557">
        <f t="shared" si="2"/>
        <v>7699</v>
      </c>
      <c r="G65" s="557">
        <f>'[17]Диспансер.набл.Пр.3-22'!G65+[17]Откл.Пр.!G66</f>
        <v>429</v>
      </c>
      <c r="H65" s="557">
        <f>'[17]Диспансер.набл.Пр.3-22'!H65+[17]Откл.Пр.!H66</f>
        <v>7270</v>
      </c>
      <c r="I65" s="556"/>
      <c r="J65" s="556"/>
      <c r="K65" s="556"/>
      <c r="L65" s="562"/>
    </row>
    <row r="66" spans="1:12" x14ac:dyDescent="0.2">
      <c r="A66" s="13">
        <v>57</v>
      </c>
      <c r="B66" s="38" t="s">
        <v>192</v>
      </c>
      <c r="C66" s="9" t="s">
        <v>193</v>
      </c>
      <c r="D66" s="557">
        <f t="shared" si="1"/>
        <v>10300</v>
      </c>
      <c r="E66" s="557">
        <f>'[17]Диспансер.набл.Пр.3-22'!E66+[17]Откл.Пр.!E67</f>
        <v>0</v>
      </c>
      <c r="F66" s="557">
        <f t="shared" si="2"/>
        <v>10300</v>
      </c>
      <c r="G66" s="557">
        <f>'[17]Диспансер.набл.Пр.3-22'!G66+[17]Откл.Пр.!G67</f>
        <v>300</v>
      </c>
      <c r="H66" s="557">
        <f>'[17]Диспансер.набл.Пр.3-22'!H66+[17]Откл.Пр.!H67</f>
        <v>10000</v>
      </c>
      <c r="I66" s="556"/>
      <c r="J66" s="556"/>
      <c r="K66" s="556"/>
      <c r="L66" s="562"/>
    </row>
    <row r="67" spans="1:12" x14ac:dyDescent="0.2">
      <c r="A67" s="35">
        <v>58</v>
      </c>
      <c r="B67" s="39" t="s">
        <v>194</v>
      </c>
      <c r="C67" s="40" t="s">
        <v>195</v>
      </c>
      <c r="D67" s="557">
        <f t="shared" si="1"/>
        <v>23500</v>
      </c>
      <c r="E67" s="557">
        <f>'[17]Диспансер.набл.Пр.3-22'!E67+[17]Откл.Пр.!E68</f>
        <v>0</v>
      </c>
      <c r="F67" s="557">
        <f t="shared" si="2"/>
        <v>23500</v>
      </c>
      <c r="G67" s="557">
        <f>'[17]Диспансер.набл.Пр.3-22'!G67+[17]Откл.Пр.!G68</f>
        <v>2500</v>
      </c>
      <c r="H67" s="557">
        <f>'[17]Диспансер.набл.Пр.3-22'!H67+[17]Откл.Пр.!H68</f>
        <v>21000</v>
      </c>
      <c r="I67" s="556"/>
      <c r="J67" s="556"/>
      <c r="K67" s="556"/>
      <c r="L67" s="562"/>
    </row>
    <row r="68" spans="1:12" x14ac:dyDescent="0.2">
      <c r="A68" s="13">
        <v>59</v>
      </c>
      <c r="B68" s="38" t="s">
        <v>196</v>
      </c>
      <c r="C68" s="9" t="s">
        <v>197</v>
      </c>
      <c r="D68" s="557">
        <f t="shared" si="1"/>
        <v>20500</v>
      </c>
      <c r="E68" s="557">
        <f>'[17]Диспансер.набл.Пр.3-22'!E68+[17]Откл.Пр.!E69</f>
        <v>0</v>
      </c>
      <c r="F68" s="557">
        <f t="shared" si="2"/>
        <v>20500</v>
      </c>
      <c r="G68" s="557">
        <f>'[17]Диспансер.набл.Пр.3-22'!G68+[17]Откл.Пр.!G69</f>
        <v>1500</v>
      </c>
      <c r="H68" s="557">
        <f>'[17]Диспансер.набл.Пр.3-22'!H68+[17]Откл.Пр.!H69</f>
        <v>19000</v>
      </c>
      <c r="I68" s="556"/>
      <c r="J68" s="556"/>
      <c r="K68" s="556"/>
      <c r="L68" s="562"/>
    </row>
    <row r="69" spans="1:12" x14ac:dyDescent="0.2">
      <c r="A69" s="35">
        <v>60</v>
      </c>
      <c r="B69" s="12" t="s">
        <v>198</v>
      </c>
      <c r="C69" s="9" t="s">
        <v>199</v>
      </c>
      <c r="D69" s="557">
        <f t="shared" si="1"/>
        <v>9630</v>
      </c>
      <c r="E69" s="557">
        <f>'[17]Диспансер.набл.Пр.3-22'!E69+[17]Откл.Пр.!E70</f>
        <v>0</v>
      </c>
      <c r="F69" s="557">
        <f t="shared" si="2"/>
        <v>9630</v>
      </c>
      <c r="G69" s="557">
        <f>'[17]Диспансер.набл.Пр.3-22'!G69+[17]Откл.Пр.!G70</f>
        <v>130</v>
      </c>
      <c r="H69" s="557">
        <f>'[17]Диспансер.набл.Пр.3-22'!H69+[17]Откл.Пр.!H70</f>
        <v>9500</v>
      </c>
      <c r="I69" s="556"/>
      <c r="J69" s="556"/>
      <c r="K69" s="556"/>
      <c r="L69" s="562"/>
    </row>
    <row r="70" spans="1:12" x14ac:dyDescent="0.2">
      <c r="A70" s="13">
        <v>61</v>
      </c>
      <c r="B70" s="36" t="s">
        <v>200</v>
      </c>
      <c r="C70" s="9" t="s">
        <v>201</v>
      </c>
      <c r="D70" s="557">
        <f t="shared" si="1"/>
        <v>0</v>
      </c>
      <c r="E70" s="557">
        <f>'[17]Диспансер.набл.Пр.3-22'!E70+[17]Откл.Пр.!E71</f>
        <v>0</v>
      </c>
      <c r="F70" s="557">
        <f t="shared" si="2"/>
        <v>0</v>
      </c>
      <c r="G70" s="557">
        <f>'[17]Диспансер.набл.Пр.3-22'!G70+[17]Откл.Пр.!G71</f>
        <v>0</v>
      </c>
      <c r="H70" s="557">
        <f>'[17]Диспансер.набл.Пр.3-22'!H70+[17]Откл.Пр.!H71</f>
        <v>0</v>
      </c>
      <c r="I70" s="556"/>
      <c r="J70" s="556"/>
      <c r="K70" s="556"/>
      <c r="L70" s="562"/>
    </row>
    <row r="71" spans="1:12" x14ac:dyDescent="0.2">
      <c r="A71" s="35">
        <v>62</v>
      </c>
      <c r="B71" s="36" t="s">
        <v>202</v>
      </c>
      <c r="C71" s="9" t="s">
        <v>203</v>
      </c>
      <c r="D71" s="557">
        <f t="shared" si="1"/>
        <v>0</v>
      </c>
      <c r="E71" s="557">
        <f>'[17]Диспансер.набл.Пр.3-22'!E71+[17]Откл.Пр.!E72</f>
        <v>0</v>
      </c>
      <c r="F71" s="557">
        <f t="shared" si="2"/>
        <v>0</v>
      </c>
      <c r="G71" s="557">
        <f>'[17]Диспансер.набл.Пр.3-22'!G71+[17]Откл.Пр.!G72</f>
        <v>0</v>
      </c>
      <c r="H71" s="557">
        <f>'[17]Диспансер.набл.Пр.3-22'!H71+[17]Откл.Пр.!H72</f>
        <v>0</v>
      </c>
      <c r="I71" s="556"/>
      <c r="J71" s="556"/>
      <c r="K71" s="556"/>
      <c r="L71" s="562"/>
    </row>
    <row r="72" spans="1:12" x14ac:dyDescent="0.2">
      <c r="A72" s="13">
        <v>63</v>
      </c>
      <c r="B72" s="38" t="s">
        <v>151</v>
      </c>
      <c r="C72" s="9" t="s">
        <v>204</v>
      </c>
      <c r="D72" s="557">
        <f t="shared" si="1"/>
        <v>27007</v>
      </c>
      <c r="E72" s="557">
        <f>'[17]Диспансер.набл.Пр.3-22'!E72+[17]Откл.Пр.!E73</f>
        <v>0</v>
      </c>
      <c r="F72" s="557">
        <f t="shared" si="2"/>
        <v>27007</v>
      </c>
      <c r="G72" s="557">
        <f>'[17]Диспансер.набл.Пр.3-22'!G72+[17]Откл.Пр.!G73</f>
        <v>7538</v>
      </c>
      <c r="H72" s="557">
        <f>'[17]Диспансер.набл.Пр.3-22'!H72+[17]Откл.Пр.!H73</f>
        <v>19469</v>
      </c>
      <c r="I72" s="556"/>
      <c r="J72" s="556"/>
      <c r="K72" s="556"/>
      <c r="L72" s="562"/>
    </row>
    <row r="73" spans="1:12" x14ac:dyDescent="0.2">
      <c r="A73" s="35">
        <v>64</v>
      </c>
      <c r="B73" s="38" t="s">
        <v>152</v>
      </c>
      <c r="C73" s="37" t="s">
        <v>153</v>
      </c>
      <c r="D73" s="557">
        <f t="shared" si="1"/>
        <v>27209</v>
      </c>
      <c r="E73" s="557">
        <f>'[17]Диспансер.набл.Пр.3-22'!E73+[17]Откл.Пр.!E74</f>
        <v>0</v>
      </c>
      <c r="F73" s="557">
        <f t="shared" si="2"/>
        <v>27209</v>
      </c>
      <c r="G73" s="557">
        <f>'[17]Диспансер.набл.Пр.3-22'!G73+[17]Откл.Пр.!G74</f>
        <v>2178</v>
      </c>
      <c r="H73" s="557">
        <f>'[17]Диспансер.набл.Пр.3-22'!H73+[17]Откл.Пр.!H74</f>
        <v>25031</v>
      </c>
      <c r="I73" s="556"/>
      <c r="J73" s="556"/>
      <c r="K73" s="556"/>
      <c r="L73" s="562"/>
    </row>
    <row r="74" spans="1:12" x14ac:dyDescent="0.2">
      <c r="A74" s="13">
        <v>65</v>
      </c>
      <c r="B74" s="38" t="s">
        <v>154</v>
      </c>
      <c r="C74" s="9" t="s">
        <v>205</v>
      </c>
      <c r="D74" s="557">
        <f t="shared" si="1"/>
        <v>58549</v>
      </c>
      <c r="E74" s="557">
        <f>'[17]Диспансер.набл.Пр.3-22'!E74+[17]Откл.Пр.!E75</f>
        <v>0</v>
      </c>
      <c r="F74" s="557">
        <f t="shared" si="2"/>
        <v>58549</v>
      </c>
      <c r="G74" s="557">
        <f>'[17]Диспансер.набл.Пр.3-22'!G74+[17]Откл.Пр.!G75</f>
        <v>4837</v>
      </c>
      <c r="H74" s="557">
        <f>'[17]Диспансер.набл.Пр.3-22'!H74+[17]Откл.Пр.!H75</f>
        <v>53712</v>
      </c>
      <c r="I74" s="556"/>
      <c r="J74" s="556"/>
      <c r="K74" s="556"/>
      <c r="L74" s="562"/>
    </row>
    <row r="75" spans="1:12" x14ac:dyDescent="0.2">
      <c r="A75" s="35">
        <v>66</v>
      </c>
      <c r="B75" s="38" t="s">
        <v>206</v>
      </c>
      <c r="C75" s="9" t="s">
        <v>207</v>
      </c>
      <c r="D75" s="557">
        <f t="shared" si="1"/>
        <v>0</v>
      </c>
      <c r="E75" s="557">
        <f>'[17]Диспансер.набл.Пр.3-22'!E75+[17]Откл.Пр.!E76</f>
        <v>0</v>
      </c>
      <c r="F75" s="557">
        <f t="shared" si="2"/>
        <v>0</v>
      </c>
      <c r="G75" s="557">
        <f>'[17]Диспансер.набл.Пр.3-22'!G75+[17]Откл.Пр.!G76</f>
        <v>0</v>
      </c>
      <c r="H75" s="557">
        <f>'[17]Диспансер.набл.Пр.3-22'!H75+[17]Откл.Пр.!H76</f>
        <v>0</v>
      </c>
      <c r="I75" s="556"/>
      <c r="J75" s="556"/>
      <c r="K75" s="556"/>
      <c r="L75" s="562"/>
    </row>
    <row r="76" spans="1:12" x14ac:dyDescent="0.2">
      <c r="A76" s="13">
        <v>67</v>
      </c>
      <c r="B76" s="36" t="s">
        <v>208</v>
      </c>
      <c r="C76" s="9" t="s">
        <v>209</v>
      </c>
      <c r="D76" s="557">
        <f t="shared" ref="D76:D140" si="3">E76+F76</f>
        <v>0</v>
      </c>
      <c r="E76" s="557">
        <f>'[17]Диспансер.набл.Пр.3-22'!E76+[17]Откл.Пр.!E77</f>
        <v>0</v>
      </c>
      <c r="F76" s="557">
        <f t="shared" ref="F76:F140" si="4">G76+H76</f>
        <v>0</v>
      </c>
      <c r="G76" s="557">
        <f>'[17]Диспансер.набл.Пр.3-22'!G76+[17]Откл.Пр.!G77</f>
        <v>0</v>
      </c>
      <c r="H76" s="557">
        <f>'[17]Диспансер.набл.Пр.3-22'!H76+[17]Откл.Пр.!H77</f>
        <v>0</v>
      </c>
      <c r="I76" s="556"/>
      <c r="J76" s="556"/>
      <c r="K76" s="556"/>
      <c r="L76" s="562"/>
    </row>
    <row r="77" spans="1:12" x14ac:dyDescent="0.2">
      <c r="A77" s="35">
        <v>68</v>
      </c>
      <c r="B77" s="38" t="s">
        <v>210</v>
      </c>
      <c r="C77" s="9" t="s">
        <v>211</v>
      </c>
      <c r="D77" s="557">
        <f t="shared" si="3"/>
        <v>0</v>
      </c>
      <c r="E77" s="557">
        <f>'[17]Диспансер.набл.Пр.3-22'!E77+[17]Откл.Пр.!E78</f>
        <v>0</v>
      </c>
      <c r="F77" s="557">
        <f t="shared" si="4"/>
        <v>0</v>
      </c>
      <c r="G77" s="557">
        <f>'[17]Диспансер.набл.Пр.3-22'!G77+[17]Откл.Пр.!G78</f>
        <v>0</v>
      </c>
      <c r="H77" s="557">
        <f>'[17]Диспансер.набл.Пр.3-22'!H77+[17]Откл.Пр.!H78</f>
        <v>0</v>
      </c>
      <c r="I77" s="556"/>
      <c r="J77" s="556"/>
      <c r="K77" s="556"/>
      <c r="L77" s="562"/>
    </row>
    <row r="78" spans="1:12" x14ac:dyDescent="0.2">
      <c r="A78" s="13">
        <v>69</v>
      </c>
      <c r="B78" s="38" t="s">
        <v>212</v>
      </c>
      <c r="C78" s="9" t="s">
        <v>213</v>
      </c>
      <c r="D78" s="557">
        <f t="shared" si="3"/>
        <v>0</v>
      </c>
      <c r="E78" s="557">
        <f>'[17]Диспансер.набл.Пр.3-22'!E78+[17]Откл.Пр.!E79</f>
        <v>0</v>
      </c>
      <c r="F78" s="557">
        <f t="shared" si="4"/>
        <v>0</v>
      </c>
      <c r="G78" s="557">
        <f>'[17]Диспансер.набл.Пр.3-22'!G78+[17]Откл.Пр.!G79</f>
        <v>0</v>
      </c>
      <c r="H78" s="557">
        <f>'[17]Диспансер.набл.Пр.3-22'!H78+[17]Откл.Пр.!H79</f>
        <v>0</v>
      </c>
      <c r="I78" s="556"/>
      <c r="J78" s="556"/>
      <c r="K78" s="556"/>
      <c r="L78" s="562"/>
    </row>
    <row r="79" spans="1:12" x14ac:dyDescent="0.2">
      <c r="A79" s="35">
        <v>70</v>
      </c>
      <c r="B79" s="36" t="s">
        <v>214</v>
      </c>
      <c r="C79" s="9" t="s">
        <v>215</v>
      </c>
      <c r="D79" s="557">
        <f t="shared" si="3"/>
        <v>0</v>
      </c>
      <c r="E79" s="557">
        <f>'[17]Диспансер.набл.Пр.3-22'!E79+[17]Откл.Пр.!E80</f>
        <v>0</v>
      </c>
      <c r="F79" s="557">
        <f t="shared" si="4"/>
        <v>0</v>
      </c>
      <c r="G79" s="557">
        <f>'[17]Диспансер.набл.Пр.3-22'!G79+[17]Откл.Пр.!G80</f>
        <v>0</v>
      </c>
      <c r="H79" s="557">
        <f>'[17]Диспансер.набл.Пр.3-22'!H79+[17]Откл.Пр.!H80</f>
        <v>0</v>
      </c>
      <c r="I79" s="556"/>
      <c r="J79" s="556"/>
      <c r="K79" s="556"/>
      <c r="L79" s="562"/>
    </row>
    <row r="80" spans="1:12" x14ac:dyDescent="0.2">
      <c r="A80" s="13">
        <v>71</v>
      </c>
      <c r="B80" s="36" t="s">
        <v>216</v>
      </c>
      <c r="C80" s="9" t="s">
        <v>217</v>
      </c>
      <c r="D80" s="557">
        <f t="shared" si="3"/>
        <v>0</v>
      </c>
      <c r="E80" s="557">
        <f>'[17]Диспансер.набл.Пр.3-22'!E80+[17]Откл.Пр.!E81</f>
        <v>0</v>
      </c>
      <c r="F80" s="557">
        <f t="shared" si="4"/>
        <v>0</v>
      </c>
      <c r="G80" s="557">
        <f>'[17]Диспансер.набл.Пр.3-22'!G80+[17]Откл.Пр.!G81</f>
        <v>0</v>
      </c>
      <c r="H80" s="557">
        <f>'[17]Диспансер.набл.Пр.3-22'!H80+[17]Откл.Пр.!H81</f>
        <v>0</v>
      </c>
      <c r="I80" s="556"/>
      <c r="J80" s="556"/>
      <c r="K80" s="556"/>
      <c r="L80" s="562"/>
    </row>
    <row r="81" spans="1:12" x14ac:dyDescent="0.2">
      <c r="A81" s="35">
        <v>72</v>
      </c>
      <c r="B81" s="36" t="s">
        <v>218</v>
      </c>
      <c r="C81" s="9" t="s">
        <v>219</v>
      </c>
      <c r="D81" s="557">
        <f t="shared" si="3"/>
        <v>0</v>
      </c>
      <c r="E81" s="557">
        <f>'[17]Диспансер.набл.Пр.3-22'!E81+[17]Откл.Пр.!E82</f>
        <v>0</v>
      </c>
      <c r="F81" s="557">
        <f t="shared" si="4"/>
        <v>0</v>
      </c>
      <c r="G81" s="557">
        <f>'[17]Диспансер.набл.Пр.3-22'!G81+[17]Откл.Пр.!G82</f>
        <v>0</v>
      </c>
      <c r="H81" s="557">
        <f>'[17]Диспансер.набл.Пр.3-22'!H81+[17]Откл.Пр.!H82</f>
        <v>0</v>
      </c>
      <c r="I81" s="556"/>
      <c r="J81" s="556"/>
      <c r="K81" s="556"/>
      <c r="L81" s="562"/>
    </row>
    <row r="82" spans="1:12" x14ac:dyDescent="0.2">
      <c r="A82" s="13">
        <v>73</v>
      </c>
      <c r="B82" s="12" t="s">
        <v>148</v>
      </c>
      <c r="C82" s="9" t="s">
        <v>16</v>
      </c>
      <c r="D82" s="557">
        <f t="shared" si="3"/>
        <v>9399</v>
      </c>
      <c r="E82" s="557">
        <f>'[17]Диспансер.набл.Пр.3-22'!E82+[17]Откл.Пр.!E83</f>
        <v>0</v>
      </c>
      <c r="F82" s="557">
        <f t="shared" si="4"/>
        <v>9399</v>
      </c>
      <c r="G82" s="557">
        <f>'[17]Диспансер.набл.Пр.3-22'!G82+[17]Откл.Пр.!G83</f>
        <v>1886</v>
      </c>
      <c r="H82" s="557">
        <f>'[17]Диспансер.набл.Пр.3-22'!H82+[17]Откл.Пр.!H83</f>
        <v>7513</v>
      </c>
      <c r="I82" s="556"/>
      <c r="J82" s="556"/>
      <c r="K82" s="556"/>
      <c r="L82" s="562"/>
    </row>
    <row r="83" spans="1:12" x14ac:dyDescent="0.2">
      <c r="A83" s="35">
        <v>74</v>
      </c>
      <c r="B83" s="36" t="s">
        <v>145</v>
      </c>
      <c r="C83" s="9" t="s">
        <v>220</v>
      </c>
      <c r="D83" s="557">
        <f t="shared" si="3"/>
        <v>68024</v>
      </c>
      <c r="E83" s="557">
        <f>'[17]Диспансер.набл.Пр.3-22'!E83+[17]Откл.Пр.!E84</f>
        <v>0</v>
      </c>
      <c r="F83" s="557">
        <f t="shared" si="4"/>
        <v>68024</v>
      </c>
      <c r="G83" s="557">
        <f>'[17]Диспансер.набл.Пр.3-22'!G83+[17]Откл.Пр.!G84</f>
        <v>16053</v>
      </c>
      <c r="H83" s="557">
        <f>'[17]Диспансер.набл.Пр.3-22'!H83+[17]Откл.Пр.!H84</f>
        <v>51971</v>
      </c>
      <c r="I83" s="556"/>
      <c r="J83" s="556"/>
      <c r="K83" s="556"/>
      <c r="L83" s="562"/>
    </row>
    <row r="84" spans="1:12" x14ac:dyDescent="0.2">
      <c r="A84" s="13">
        <v>75</v>
      </c>
      <c r="B84" s="12" t="s">
        <v>146</v>
      </c>
      <c r="C84" s="9" t="s">
        <v>147</v>
      </c>
      <c r="D84" s="557">
        <f t="shared" si="3"/>
        <v>33952</v>
      </c>
      <c r="E84" s="557">
        <f>'[17]Диспансер.набл.Пр.3-22'!E84+[17]Откл.Пр.!E85</f>
        <v>0</v>
      </c>
      <c r="F84" s="557">
        <f t="shared" si="4"/>
        <v>33952</v>
      </c>
      <c r="G84" s="557">
        <f>'[17]Диспансер.набл.Пр.3-22'!G84+[17]Откл.Пр.!G85</f>
        <v>4531</v>
      </c>
      <c r="H84" s="557">
        <f>'[17]Диспансер.набл.Пр.3-22'!H84+[17]Откл.Пр.!H85</f>
        <v>29421</v>
      </c>
      <c r="I84" s="556"/>
      <c r="J84" s="556"/>
      <c r="K84" s="556"/>
      <c r="L84" s="562"/>
    </row>
    <row r="85" spans="1:12" x14ac:dyDescent="0.2">
      <c r="A85" s="35">
        <v>76</v>
      </c>
      <c r="B85" s="39" t="s">
        <v>140</v>
      </c>
      <c r="C85" s="40" t="s">
        <v>141</v>
      </c>
      <c r="D85" s="557">
        <f t="shared" si="3"/>
        <v>10748</v>
      </c>
      <c r="E85" s="557">
        <f>'[17]Диспансер.набл.Пр.3-22'!E85+[17]Откл.Пр.!E86</f>
        <v>0</v>
      </c>
      <c r="F85" s="557">
        <f t="shared" si="4"/>
        <v>10748</v>
      </c>
      <c r="G85" s="557">
        <f>'[17]Диспансер.набл.Пр.3-22'!G85+[17]Откл.Пр.!G86</f>
        <v>1631</v>
      </c>
      <c r="H85" s="557">
        <f>'[17]Диспансер.набл.Пр.3-22'!H85+[17]Откл.Пр.!H86</f>
        <v>9117</v>
      </c>
      <c r="I85" s="556"/>
      <c r="J85" s="556"/>
      <c r="K85" s="556"/>
      <c r="L85" s="562"/>
    </row>
    <row r="86" spans="1:12" x14ac:dyDescent="0.2">
      <c r="A86" s="13">
        <v>77</v>
      </c>
      <c r="B86" s="36" t="s">
        <v>142</v>
      </c>
      <c r="C86" s="9" t="s">
        <v>143</v>
      </c>
      <c r="D86" s="557">
        <f t="shared" si="3"/>
        <v>80012</v>
      </c>
      <c r="E86" s="557">
        <f>'[17]Диспансер.набл.Пр.3-22'!E86+[17]Откл.Пр.!E87</f>
        <v>0</v>
      </c>
      <c r="F86" s="557">
        <f t="shared" si="4"/>
        <v>80012</v>
      </c>
      <c r="G86" s="557">
        <f>'[17]Диспансер.набл.Пр.3-22'!G86+[17]Откл.Пр.!G87</f>
        <v>28282</v>
      </c>
      <c r="H86" s="557">
        <f>'[17]Диспансер.набл.Пр.3-22'!H86+[17]Откл.Пр.!H87</f>
        <v>51730</v>
      </c>
      <c r="I86" s="556"/>
      <c r="J86" s="556"/>
      <c r="K86" s="556"/>
      <c r="L86" s="562"/>
    </row>
    <row r="87" spans="1:12" x14ac:dyDescent="0.2">
      <c r="A87" s="35">
        <v>78</v>
      </c>
      <c r="B87" s="39" t="s">
        <v>221</v>
      </c>
      <c r="C87" s="40" t="s">
        <v>222</v>
      </c>
      <c r="D87" s="557">
        <f t="shared" si="3"/>
        <v>20084</v>
      </c>
      <c r="E87" s="557">
        <f>'[17]Диспансер.набл.Пр.3-22'!E87+[17]Откл.Пр.!E88</f>
        <v>0</v>
      </c>
      <c r="F87" s="557">
        <f t="shared" si="4"/>
        <v>20084</v>
      </c>
      <c r="G87" s="557">
        <f>'[17]Диспансер.набл.Пр.3-22'!G87+[17]Откл.Пр.!G88</f>
        <v>680</v>
      </c>
      <c r="H87" s="557">
        <f>'[17]Диспансер.набл.Пр.3-22'!H87+[17]Откл.Пр.!H88</f>
        <v>19404</v>
      </c>
      <c r="I87" s="556"/>
      <c r="J87" s="556"/>
      <c r="K87" s="556"/>
      <c r="L87" s="562"/>
    </row>
    <row r="88" spans="1:12" x14ac:dyDescent="0.2">
      <c r="A88" s="13">
        <v>79</v>
      </c>
      <c r="B88" s="36" t="s">
        <v>144</v>
      </c>
      <c r="C88" s="9" t="s">
        <v>223</v>
      </c>
      <c r="D88" s="557">
        <f t="shared" si="3"/>
        <v>48308</v>
      </c>
      <c r="E88" s="557">
        <f>'[17]Диспансер.набл.Пр.3-22'!E88+[17]Откл.Пр.!E89</f>
        <v>0</v>
      </c>
      <c r="F88" s="557">
        <f t="shared" si="4"/>
        <v>48308</v>
      </c>
      <c r="G88" s="557">
        <f>'[17]Диспансер.набл.Пр.3-22'!G88+[17]Откл.Пр.!G89</f>
        <v>6239</v>
      </c>
      <c r="H88" s="557">
        <f>'[17]Диспансер.набл.Пр.3-22'!H88+[17]Откл.Пр.!H89</f>
        <v>42069</v>
      </c>
      <c r="I88" s="556"/>
      <c r="J88" s="556"/>
      <c r="K88" s="556"/>
      <c r="L88" s="562"/>
    </row>
    <row r="89" spans="1:12" x14ac:dyDescent="0.2">
      <c r="A89" s="35">
        <v>80</v>
      </c>
      <c r="B89" s="39" t="s">
        <v>224</v>
      </c>
      <c r="C89" s="40" t="s">
        <v>225</v>
      </c>
      <c r="D89" s="557">
        <f t="shared" si="3"/>
        <v>13210</v>
      </c>
      <c r="E89" s="557">
        <f>'[17]Диспансер.набл.Пр.3-22'!E89+[17]Откл.Пр.!E90</f>
        <v>13210</v>
      </c>
      <c r="F89" s="557">
        <f t="shared" si="4"/>
        <v>0</v>
      </c>
      <c r="G89" s="557">
        <f>'[17]Диспансер.набл.Пр.3-22'!G89+[17]Откл.Пр.!G90</f>
        <v>0</v>
      </c>
      <c r="H89" s="557">
        <f>'[17]Диспансер.набл.Пр.3-22'!H89+[17]Откл.Пр.!H90</f>
        <v>0</v>
      </c>
      <c r="I89" s="556"/>
      <c r="J89" s="556"/>
      <c r="K89" s="556"/>
      <c r="L89" s="562"/>
    </row>
    <row r="90" spans="1:12" x14ac:dyDescent="0.2">
      <c r="A90" s="13">
        <v>81</v>
      </c>
      <c r="B90" s="38" t="s">
        <v>93</v>
      </c>
      <c r="C90" s="9" t="s">
        <v>94</v>
      </c>
      <c r="D90" s="557">
        <f t="shared" si="3"/>
        <v>0</v>
      </c>
      <c r="E90" s="557">
        <f>'[17]Диспансер.набл.Пр.3-22'!E90+[17]Откл.Пр.!E91</f>
        <v>0</v>
      </c>
      <c r="F90" s="557">
        <f t="shared" si="4"/>
        <v>0</v>
      </c>
      <c r="G90" s="557">
        <f>'[17]Диспансер.набл.Пр.3-22'!G90+[17]Откл.Пр.!G91</f>
        <v>0</v>
      </c>
      <c r="H90" s="557">
        <f>'[17]Диспансер.набл.Пр.3-22'!H90+[17]Откл.Пр.!H91</f>
        <v>0</v>
      </c>
      <c r="I90" s="556"/>
      <c r="J90" s="556"/>
      <c r="K90" s="556"/>
      <c r="L90" s="562"/>
    </row>
    <row r="91" spans="1:12" x14ac:dyDescent="0.2">
      <c r="A91" s="914">
        <v>82</v>
      </c>
      <c r="B91" s="916" t="s">
        <v>157</v>
      </c>
      <c r="C91" s="9" t="s">
        <v>2272</v>
      </c>
      <c r="D91" s="557">
        <f t="shared" si="3"/>
        <v>280</v>
      </c>
      <c r="E91" s="557">
        <f>'[17]Диспансер.набл.Пр.3-22'!E91+[17]Откл.Пр.!E93</f>
        <v>0</v>
      </c>
      <c r="F91" s="557">
        <f t="shared" si="4"/>
        <v>280</v>
      </c>
      <c r="G91" s="557">
        <f>'[17]Диспансер.набл.Пр.3-22'!G91+[17]Откл.Пр.!G93</f>
        <v>32</v>
      </c>
      <c r="H91" s="557">
        <f>'[17]Диспансер.набл.Пр.3-22'!H91+[17]Откл.Пр.!H93</f>
        <v>248</v>
      </c>
      <c r="I91" s="556"/>
      <c r="J91" s="556"/>
      <c r="K91" s="556"/>
      <c r="L91" s="562"/>
    </row>
    <row r="92" spans="1:12" x14ac:dyDescent="0.2">
      <c r="A92" s="915"/>
      <c r="B92" s="917"/>
      <c r="C92" s="9" t="s">
        <v>66</v>
      </c>
      <c r="D92" s="557">
        <f t="shared" si="3"/>
        <v>0</v>
      </c>
      <c r="E92" s="557">
        <f>'[17]Диспансер.набл.Пр.3-22'!E92+[17]Откл.Пр.!E94</f>
        <v>0</v>
      </c>
      <c r="F92" s="557">
        <f>G92+H92</f>
        <v>0</v>
      </c>
      <c r="G92" s="557">
        <f>'[17]Диспансер.набл.Пр.3-22'!G92+[17]Откл.Пр.!G94</f>
        <v>0</v>
      </c>
      <c r="H92" s="557">
        <f>'[17]Диспансер.набл.Пр.3-22'!H92+[17]Откл.Пр.!H94</f>
        <v>0</v>
      </c>
      <c r="I92" s="556"/>
      <c r="J92" s="556"/>
      <c r="K92" s="556"/>
      <c r="L92" s="562"/>
    </row>
    <row r="93" spans="1:12" x14ac:dyDescent="0.2">
      <c r="A93" s="35">
        <v>83</v>
      </c>
      <c r="B93" s="38" t="s">
        <v>226</v>
      </c>
      <c r="C93" s="37" t="s">
        <v>227</v>
      </c>
      <c r="D93" s="557">
        <f t="shared" si="3"/>
        <v>0</v>
      </c>
      <c r="E93" s="557">
        <f>'[17]Диспансер.набл.Пр.3-22'!E93+[17]Откл.Пр.!E95</f>
        <v>0</v>
      </c>
      <c r="F93" s="557">
        <f t="shared" si="4"/>
        <v>0</v>
      </c>
      <c r="G93" s="557">
        <f>'[17]Диспансер.набл.Пр.3-22'!G93+[17]Откл.Пр.!G95</f>
        <v>0</v>
      </c>
      <c r="H93" s="557">
        <f>'[17]Диспансер.набл.Пр.3-22'!H93+[17]Откл.Пр.!H95</f>
        <v>0</v>
      </c>
      <c r="I93" s="556"/>
      <c r="J93" s="556"/>
      <c r="K93" s="556"/>
      <c r="L93" s="562"/>
    </row>
    <row r="94" spans="1:12" x14ac:dyDescent="0.2">
      <c r="A94" s="35">
        <v>84</v>
      </c>
      <c r="B94" s="38" t="s">
        <v>155</v>
      </c>
      <c r="C94" s="40" t="s">
        <v>156</v>
      </c>
      <c r="D94" s="557">
        <f t="shared" si="3"/>
        <v>3707</v>
      </c>
      <c r="E94" s="557">
        <f>'[17]Диспансер.набл.Пр.3-22'!E94+[17]Откл.Пр.!E96</f>
        <v>0</v>
      </c>
      <c r="F94" s="557">
        <f t="shared" si="4"/>
        <v>3707</v>
      </c>
      <c r="G94" s="557">
        <f>'[17]Диспансер.набл.Пр.3-22'!G94+[17]Откл.Пр.!G96</f>
        <v>0</v>
      </c>
      <c r="H94" s="557">
        <f>'[17]Диспансер.набл.Пр.3-22'!H94+[17]Откл.Пр.!H96</f>
        <v>3707</v>
      </c>
      <c r="I94" s="556"/>
      <c r="J94" s="556"/>
      <c r="K94" s="556"/>
      <c r="L94" s="562"/>
    </row>
    <row r="95" spans="1:12" x14ac:dyDescent="0.2">
      <c r="A95" s="35">
        <v>85</v>
      </c>
      <c r="B95" s="12" t="s">
        <v>158</v>
      </c>
      <c r="C95" s="9" t="s">
        <v>228</v>
      </c>
      <c r="D95" s="557">
        <f t="shared" si="3"/>
        <v>6800</v>
      </c>
      <c r="E95" s="557">
        <f>'[17]Диспансер.набл.Пр.3-22'!E95+[17]Откл.Пр.!E97</f>
        <v>0</v>
      </c>
      <c r="F95" s="557">
        <f t="shared" si="4"/>
        <v>6800</v>
      </c>
      <c r="G95" s="557">
        <f>'[17]Диспансер.набл.Пр.3-22'!G95+[17]Откл.Пр.!G97</f>
        <v>300</v>
      </c>
      <c r="H95" s="557">
        <f>'[17]Диспансер.набл.Пр.3-22'!H95+[17]Откл.Пр.!H97</f>
        <v>6500</v>
      </c>
      <c r="I95" s="556"/>
      <c r="J95" s="556"/>
      <c r="K95" s="556"/>
      <c r="L95" s="562"/>
    </row>
    <row r="96" spans="1:12" x14ac:dyDescent="0.2">
      <c r="A96" s="35">
        <v>86</v>
      </c>
      <c r="B96" s="38" t="s">
        <v>95</v>
      </c>
      <c r="C96" s="37" t="s">
        <v>27</v>
      </c>
      <c r="D96" s="557">
        <f t="shared" si="3"/>
        <v>3699</v>
      </c>
      <c r="E96" s="557">
        <f>'[17]Диспансер.набл.Пр.3-22'!E96+[17]Откл.Пр.!E98</f>
        <v>0</v>
      </c>
      <c r="F96" s="557">
        <f t="shared" si="4"/>
        <v>3699</v>
      </c>
      <c r="G96" s="557">
        <f>'[17]Диспансер.набл.Пр.3-22'!G96+[17]Откл.Пр.!G98</f>
        <v>1319</v>
      </c>
      <c r="H96" s="557">
        <f>'[17]Диспансер.набл.Пр.3-22'!H96+[17]Откл.Пр.!H98</f>
        <v>2380</v>
      </c>
      <c r="I96" s="556"/>
      <c r="J96" s="556"/>
      <c r="K96" s="556"/>
      <c r="L96" s="562"/>
    </row>
    <row r="97" spans="1:12" x14ac:dyDescent="0.2">
      <c r="A97" s="35">
        <v>87</v>
      </c>
      <c r="B97" s="12" t="s">
        <v>138</v>
      </c>
      <c r="C97" s="9" t="s">
        <v>32</v>
      </c>
      <c r="D97" s="557">
        <f t="shared" si="3"/>
        <v>5977</v>
      </c>
      <c r="E97" s="557">
        <f>'[17]Диспансер.набл.Пр.3-22'!E97+[17]Откл.Пр.!E99</f>
        <v>0</v>
      </c>
      <c r="F97" s="557">
        <f t="shared" si="4"/>
        <v>5977</v>
      </c>
      <c r="G97" s="557">
        <f>'[17]Диспансер.набл.Пр.3-22'!G97+[17]Откл.Пр.!G99</f>
        <v>0</v>
      </c>
      <c r="H97" s="557">
        <f>'[17]Диспансер.набл.Пр.3-22'!H97+[17]Откл.Пр.!H99</f>
        <v>5977</v>
      </c>
      <c r="I97" s="556"/>
      <c r="J97" s="556"/>
      <c r="K97" s="556"/>
      <c r="L97" s="562"/>
    </row>
    <row r="98" spans="1:12" x14ac:dyDescent="0.2">
      <c r="A98" s="35">
        <v>88</v>
      </c>
      <c r="B98" s="12" t="s">
        <v>96</v>
      </c>
      <c r="C98" s="9" t="s">
        <v>18</v>
      </c>
      <c r="D98" s="557">
        <f t="shared" si="3"/>
        <v>5581</v>
      </c>
      <c r="E98" s="557">
        <f>'[17]Диспансер.набл.Пр.3-22'!E98+[17]Откл.Пр.!E100</f>
        <v>0</v>
      </c>
      <c r="F98" s="557">
        <f t="shared" si="4"/>
        <v>5581</v>
      </c>
      <c r="G98" s="557">
        <f>'[17]Диспансер.набл.Пр.3-22'!G98+[17]Откл.Пр.!G100</f>
        <v>664</v>
      </c>
      <c r="H98" s="557">
        <f>'[17]Диспансер.набл.Пр.3-22'!H98+[17]Откл.Пр.!H100</f>
        <v>4917</v>
      </c>
      <c r="I98" s="556"/>
      <c r="J98" s="556"/>
      <c r="K98" s="556"/>
      <c r="L98" s="562"/>
    </row>
    <row r="99" spans="1:12" x14ac:dyDescent="0.2">
      <c r="A99" s="35">
        <v>89</v>
      </c>
      <c r="B99" s="38" t="s">
        <v>139</v>
      </c>
      <c r="C99" s="40" t="s">
        <v>19</v>
      </c>
      <c r="D99" s="557">
        <f t="shared" si="3"/>
        <v>5739</v>
      </c>
      <c r="E99" s="557">
        <f>'[17]Диспансер.набл.Пр.3-22'!E99+[17]Откл.Пр.!E101</f>
        <v>0</v>
      </c>
      <c r="F99" s="557">
        <f t="shared" si="4"/>
        <v>5739</v>
      </c>
      <c r="G99" s="557">
        <f>'[17]Диспансер.набл.Пр.3-22'!G99+[17]Откл.Пр.!G101</f>
        <v>1702</v>
      </c>
      <c r="H99" s="557">
        <f>'[17]Диспансер.набл.Пр.3-22'!H99+[17]Откл.Пр.!H101</f>
        <v>4037</v>
      </c>
      <c r="I99" s="556"/>
      <c r="J99" s="556"/>
      <c r="K99" s="556"/>
      <c r="L99" s="562"/>
    </row>
    <row r="100" spans="1:12" x14ac:dyDescent="0.2">
      <c r="A100" s="35">
        <v>90</v>
      </c>
      <c r="B100" s="38" t="s">
        <v>97</v>
      </c>
      <c r="C100" s="37" t="s">
        <v>34</v>
      </c>
      <c r="D100" s="557">
        <f t="shared" si="3"/>
        <v>17210</v>
      </c>
      <c r="E100" s="557">
        <f>'[17]Диспансер.набл.Пр.3-22'!E100+[17]Откл.Пр.!E102</f>
        <v>0</v>
      </c>
      <c r="F100" s="557">
        <f t="shared" si="4"/>
        <v>17210</v>
      </c>
      <c r="G100" s="557">
        <f>'[17]Диспансер.набл.Пр.3-22'!G100+[17]Откл.Пр.!G102</f>
        <v>3164</v>
      </c>
      <c r="H100" s="557">
        <f>'[17]Диспансер.набл.Пр.3-22'!H100+[17]Откл.Пр.!H102</f>
        <v>14046</v>
      </c>
      <c r="I100" s="556"/>
      <c r="J100" s="556"/>
      <c r="K100" s="556"/>
      <c r="L100" s="562"/>
    </row>
    <row r="101" spans="1:12" x14ac:dyDescent="0.2">
      <c r="A101" s="35">
        <v>91</v>
      </c>
      <c r="B101" s="36" t="s">
        <v>98</v>
      </c>
      <c r="C101" s="37" t="s">
        <v>42</v>
      </c>
      <c r="D101" s="557">
        <f t="shared" si="3"/>
        <v>20634</v>
      </c>
      <c r="E101" s="557">
        <f>'[17]Диспансер.набл.Пр.3-22'!E101+[17]Откл.Пр.!E103</f>
        <v>0</v>
      </c>
      <c r="F101" s="557">
        <f t="shared" si="4"/>
        <v>20634</v>
      </c>
      <c r="G101" s="557">
        <f>'[17]Диспансер.набл.Пр.3-22'!G101+[17]Откл.Пр.!G103</f>
        <v>2180</v>
      </c>
      <c r="H101" s="557">
        <f>'[17]Диспансер.набл.Пр.3-22'!H101+[17]Откл.Пр.!H103</f>
        <v>18454</v>
      </c>
      <c r="I101" s="556"/>
      <c r="J101" s="556"/>
      <c r="K101" s="556"/>
      <c r="L101" s="562"/>
    </row>
    <row r="102" spans="1:12" x14ac:dyDescent="0.2">
      <c r="A102" s="35">
        <v>92</v>
      </c>
      <c r="B102" s="36" t="s">
        <v>99</v>
      </c>
      <c r="C102" s="37" t="s">
        <v>46</v>
      </c>
      <c r="D102" s="557">
        <f t="shared" si="3"/>
        <v>8194</v>
      </c>
      <c r="E102" s="557">
        <f>'[17]Диспансер.набл.Пр.3-22'!E102+[17]Откл.Пр.!E104</f>
        <v>0</v>
      </c>
      <c r="F102" s="557">
        <f t="shared" si="4"/>
        <v>8194</v>
      </c>
      <c r="G102" s="557">
        <f>'[17]Диспансер.набл.Пр.3-22'!G102+[17]Откл.Пр.!G104</f>
        <v>1786</v>
      </c>
      <c r="H102" s="557">
        <f>'[17]Диспансер.набл.Пр.3-22'!H102+[17]Откл.Пр.!H104</f>
        <v>6408</v>
      </c>
      <c r="I102" s="556"/>
      <c r="J102" s="556"/>
      <c r="K102" s="556"/>
      <c r="L102" s="562"/>
    </row>
    <row r="103" spans="1:12" x14ac:dyDescent="0.2">
      <c r="A103" s="35">
        <v>93</v>
      </c>
      <c r="B103" s="12" t="s">
        <v>149</v>
      </c>
      <c r="C103" s="9" t="s">
        <v>47</v>
      </c>
      <c r="D103" s="557">
        <f t="shared" si="3"/>
        <v>2374</v>
      </c>
      <c r="E103" s="557">
        <f>'[17]Диспансер.набл.Пр.3-22'!E103+[17]Откл.Пр.!E105</f>
        <v>0</v>
      </c>
      <c r="F103" s="557">
        <f t="shared" si="4"/>
        <v>2374</v>
      </c>
      <c r="G103" s="557">
        <f>'[17]Диспансер.набл.Пр.3-22'!G103+[17]Откл.Пр.!G105</f>
        <v>321</v>
      </c>
      <c r="H103" s="557">
        <f>'[17]Диспансер.набл.Пр.3-22'!H103+[17]Откл.Пр.!H105</f>
        <v>2053</v>
      </c>
      <c r="I103" s="556"/>
      <c r="J103" s="556"/>
      <c r="K103" s="556"/>
      <c r="L103" s="562"/>
    </row>
    <row r="104" spans="1:12" x14ac:dyDescent="0.2">
      <c r="A104" s="35">
        <v>94</v>
      </c>
      <c r="B104" s="39" t="s">
        <v>100</v>
      </c>
      <c r="C104" s="40" t="s">
        <v>50</v>
      </c>
      <c r="D104" s="557">
        <f t="shared" si="3"/>
        <v>9530</v>
      </c>
      <c r="E104" s="557">
        <f>'[17]Диспансер.набл.Пр.3-22'!E104+[17]Откл.Пр.!E106</f>
        <v>0</v>
      </c>
      <c r="F104" s="557">
        <f t="shared" si="4"/>
        <v>9530</v>
      </c>
      <c r="G104" s="557">
        <f>'[17]Диспансер.набл.Пр.3-22'!G104+[17]Откл.Пр.!G106</f>
        <v>881</v>
      </c>
      <c r="H104" s="557">
        <f>'[17]Диспансер.набл.Пр.3-22'!H104+[17]Откл.Пр.!H106</f>
        <v>8649</v>
      </c>
      <c r="I104" s="556"/>
      <c r="J104" s="556"/>
      <c r="K104" s="556"/>
      <c r="L104" s="562"/>
    </row>
    <row r="105" spans="1:12" x14ac:dyDescent="0.2">
      <c r="A105" s="35">
        <v>95</v>
      </c>
      <c r="B105" s="36" t="s">
        <v>150</v>
      </c>
      <c r="C105" s="37" t="s">
        <v>51</v>
      </c>
      <c r="D105" s="557">
        <f t="shared" si="3"/>
        <v>5190</v>
      </c>
      <c r="E105" s="557">
        <f>'[17]Диспансер.набл.Пр.3-22'!E105+[17]Откл.Пр.!E107</f>
        <v>0</v>
      </c>
      <c r="F105" s="557">
        <f t="shared" si="4"/>
        <v>5190</v>
      </c>
      <c r="G105" s="557">
        <f>'[17]Диспансер.набл.Пр.3-22'!G105+[17]Откл.Пр.!G107</f>
        <v>1892</v>
      </c>
      <c r="H105" s="557">
        <f>'[17]Диспансер.набл.Пр.3-22'!H105+[17]Откл.Пр.!H107</f>
        <v>3298</v>
      </c>
      <c r="I105" s="556"/>
      <c r="J105" s="556"/>
      <c r="K105" s="556"/>
      <c r="L105" s="562"/>
    </row>
    <row r="106" spans="1:12" x14ac:dyDescent="0.2">
      <c r="A106" s="35">
        <v>96</v>
      </c>
      <c r="B106" s="38" t="s">
        <v>101</v>
      </c>
      <c r="C106" s="37" t="s">
        <v>20</v>
      </c>
      <c r="D106" s="557">
        <f t="shared" si="3"/>
        <v>10661</v>
      </c>
      <c r="E106" s="557">
        <f>'[17]Диспансер.набл.Пр.3-22'!E106+[17]Откл.Пр.!E108</f>
        <v>0</v>
      </c>
      <c r="F106" s="557">
        <f t="shared" si="4"/>
        <v>10661</v>
      </c>
      <c r="G106" s="557">
        <f>'[17]Диспансер.набл.Пр.3-22'!G106+[17]Откл.Пр.!G108</f>
        <v>1054</v>
      </c>
      <c r="H106" s="557">
        <f>'[17]Диспансер.набл.Пр.3-22'!H106+[17]Откл.Пр.!H108</f>
        <v>9607</v>
      </c>
      <c r="I106" s="556"/>
      <c r="J106" s="556"/>
      <c r="K106" s="556"/>
      <c r="L106" s="562"/>
    </row>
    <row r="107" spans="1:12" x14ac:dyDescent="0.2">
      <c r="A107" s="35">
        <v>97</v>
      </c>
      <c r="B107" s="12" t="s">
        <v>102</v>
      </c>
      <c r="C107" s="9" t="s">
        <v>55</v>
      </c>
      <c r="D107" s="557">
        <f t="shared" si="3"/>
        <v>4244</v>
      </c>
      <c r="E107" s="557">
        <f>'[17]Диспансер.набл.Пр.3-22'!E107+[17]Откл.Пр.!E109</f>
        <v>0</v>
      </c>
      <c r="F107" s="557">
        <f t="shared" si="4"/>
        <v>4244</v>
      </c>
      <c r="G107" s="557">
        <f>'[17]Диспансер.набл.Пр.3-22'!G107+[17]Откл.Пр.!G109</f>
        <v>0</v>
      </c>
      <c r="H107" s="557">
        <f>'[17]Диспансер.набл.Пр.3-22'!H107+[17]Откл.Пр.!H109</f>
        <v>4244</v>
      </c>
      <c r="I107" s="556"/>
      <c r="J107" s="556"/>
      <c r="K107" s="556"/>
      <c r="L107" s="562"/>
    </row>
    <row r="108" spans="1:12" x14ac:dyDescent="0.2">
      <c r="A108" s="35">
        <v>98</v>
      </c>
      <c r="B108" s="12" t="s">
        <v>103</v>
      </c>
      <c r="C108" s="9" t="s">
        <v>60</v>
      </c>
      <c r="D108" s="557">
        <f t="shared" si="3"/>
        <v>9389</v>
      </c>
      <c r="E108" s="557">
        <f>'[17]Диспансер.набл.Пр.3-22'!E108+[17]Откл.Пр.!E110</f>
        <v>0</v>
      </c>
      <c r="F108" s="557">
        <f t="shared" si="4"/>
        <v>9389</v>
      </c>
      <c r="G108" s="557">
        <f>'[17]Диспансер.набл.Пр.3-22'!G108+[17]Откл.Пр.!G110</f>
        <v>2167</v>
      </c>
      <c r="H108" s="557">
        <f>'[17]Диспансер.набл.Пр.3-22'!H108+[17]Откл.Пр.!H110</f>
        <v>7222</v>
      </c>
      <c r="I108" s="556"/>
      <c r="J108" s="556"/>
      <c r="K108" s="556"/>
      <c r="L108" s="562"/>
    </row>
    <row r="109" spans="1:12" x14ac:dyDescent="0.2">
      <c r="A109" s="35">
        <v>99</v>
      </c>
      <c r="B109" s="36" t="s">
        <v>104</v>
      </c>
      <c r="C109" s="37" t="s">
        <v>21</v>
      </c>
      <c r="D109" s="557">
        <f t="shared" si="3"/>
        <v>38031</v>
      </c>
      <c r="E109" s="557">
        <f>'[17]Диспансер.набл.Пр.3-22'!E109+[17]Откл.Пр.!E111</f>
        <v>0</v>
      </c>
      <c r="F109" s="557">
        <f t="shared" si="4"/>
        <v>38031</v>
      </c>
      <c r="G109" s="557">
        <f>'[17]Диспансер.набл.Пр.3-22'!G109+[17]Откл.Пр.!G111</f>
        <v>3027</v>
      </c>
      <c r="H109" s="557">
        <f>'[17]Диспансер.набл.Пр.3-22'!H109+[17]Откл.Пр.!H111</f>
        <v>35004</v>
      </c>
      <c r="I109" s="556"/>
      <c r="J109" s="556"/>
      <c r="K109" s="556"/>
      <c r="L109" s="562"/>
    </row>
    <row r="110" spans="1:12" x14ac:dyDescent="0.2">
      <c r="A110" s="35">
        <v>100</v>
      </c>
      <c r="B110" s="38" t="s">
        <v>105</v>
      </c>
      <c r="C110" s="37" t="s">
        <v>62</v>
      </c>
      <c r="D110" s="557">
        <f t="shared" si="3"/>
        <v>12080</v>
      </c>
      <c r="E110" s="557">
        <f>'[17]Диспансер.набл.Пр.3-22'!E110+[17]Откл.Пр.!E112</f>
        <v>0</v>
      </c>
      <c r="F110" s="557">
        <f t="shared" si="4"/>
        <v>12080</v>
      </c>
      <c r="G110" s="557">
        <f>'[17]Диспансер.набл.Пр.3-22'!G110+[17]Откл.Пр.!G112</f>
        <v>1176</v>
      </c>
      <c r="H110" s="557">
        <f>'[17]Диспансер.набл.Пр.3-22'!H110+[17]Откл.Пр.!H112</f>
        <v>10904</v>
      </c>
      <c r="I110" s="556"/>
      <c r="J110" s="556"/>
      <c r="K110" s="556"/>
      <c r="L110" s="562"/>
    </row>
    <row r="111" spans="1:12" x14ac:dyDescent="0.2">
      <c r="A111" s="35">
        <v>101</v>
      </c>
      <c r="B111" s="36" t="s">
        <v>229</v>
      </c>
      <c r="C111" s="9" t="s">
        <v>230</v>
      </c>
      <c r="D111" s="557">
        <f t="shared" si="3"/>
        <v>616</v>
      </c>
      <c r="E111" s="557">
        <f>'[17]Диспансер.набл.Пр.3-22'!E111+[17]Откл.Пр.!E113</f>
        <v>616</v>
      </c>
      <c r="F111" s="557">
        <f t="shared" si="4"/>
        <v>0</v>
      </c>
      <c r="G111" s="557">
        <f>'[17]Диспансер.набл.Пр.3-22'!G111+[17]Откл.Пр.!G113</f>
        <v>0</v>
      </c>
      <c r="H111" s="557">
        <f>'[17]Диспансер.набл.Пр.3-22'!H111+[17]Откл.Пр.!H113</f>
        <v>0</v>
      </c>
      <c r="I111" s="556"/>
      <c r="J111" s="556"/>
      <c r="K111" s="556"/>
      <c r="L111" s="562"/>
    </row>
    <row r="112" spans="1:12" x14ac:dyDescent="0.2">
      <c r="A112" s="35">
        <v>102</v>
      </c>
      <c r="B112" s="36" t="s">
        <v>231</v>
      </c>
      <c r="C112" s="37" t="s">
        <v>232</v>
      </c>
      <c r="D112" s="557">
        <f t="shared" si="3"/>
        <v>0</v>
      </c>
      <c r="E112" s="557">
        <f>'[17]Диспансер.набл.Пр.3-22'!E112+[17]Откл.Пр.!E114</f>
        <v>0</v>
      </c>
      <c r="F112" s="557">
        <f t="shared" si="4"/>
        <v>0</v>
      </c>
      <c r="G112" s="557">
        <f>'[17]Диспансер.набл.Пр.3-22'!G112+[17]Откл.Пр.!G114</f>
        <v>0</v>
      </c>
      <c r="H112" s="557">
        <f>'[17]Диспансер.набл.Пр.3-22'!H112+[17]Откл.Пр.!H114</f>
        <v>0</v>
      </c>
      <c r="I112" s="556"/>
      <c r="J112" s="556"/>
      <c r="K112" s="556"/>
      <c r="L112" s="562"/>
    </row>
    <row r="113" spans="1:12" x14ac:dyDescent="0.2">
      <c r="A113" s="35">
        <v>103</v>
      </c>
      <c r="B113" s="12" t="s">
        <v>233</v>
      </c>
      <c r="C113" s="9" t="s">
        <v>234</v>
      </c>
      <c r="D113" s="557">
        <f t="shared" si="3"/>
        <v>208</v>
      </c>
      <c r="E113" s="557">
        <f>'[17]Диспансер.набл.Пр.3-22'!E113+[17]Откл.Пр.!E115</f>
        <v>208</v>
      </c>
      <c r="F113" s="557">
        <f t="shared" si="4"/>
        <v>0</v>
      </c>
      <c r="G113" s="557">
        <f>'[17]Диспансер.набл.Пр.3-22'!G113+[17]Откл.Пр.!G115</f>
        <v>0</v>
      </c>
      <c r="H113" s="557">
        <f>'[17]Диспансер.набл.Пр.3-22'!H113+[17]Откл.Пр.!H115</f>
        <v>0</v>
      </c>
      <c r="I113" s="556"/>
      <c r="J113" s="556"/>
      <c r="K113" s="556"/>
      <c r="L113" s="562"/>
    </row>
    <row r="114" spans="1:12" x14ac:dyDescent="0.2">
      <c r="A114" s="35">
        <v>104</v>
      </c>
      <c r="B114" s="12" t="s">
        <v>235</v>
      </c>
      <c r="C114" s="9" t="s">
        <v>236</v>
      </c>
      <c r="D114" s="557">
        <f t="shared" si="3"/>
        <v>0</v>
      </c>
      <c r="E114" s="557">
        <f>'[17]Диспансер.набл.Пр.3-22'!E114+[17]Откл.Пр.!E116</f>
        <v>0</v>
      </c>
      <c r="F114" s="557">
        <f t="shared" si="4"/>
        <v>0</v>
      </c>
      <c r="G114" s="557">
        <f>'[17]Диспансер.набл.Пр.3-22'!G114+[17]Откл.Пр.!G116</f>
        <v>0</v>
      </c>
      <c r="H114" s="557">
        <f>'[17]Диспансер.набл.Пр.3-22'!H114+[17]Откл.Пр.!H116</f>
        <v>0</v>
      </c>
      <c r="I114" s="556"/>
      <c r="J114" s="556"/>
      <c r="K114" s="556"/>
      <c r="L114" s="562"/>
    </row>
    <row r="115" spans="1:12" x14ac:dyDescent="0.2">
      <c r="A115" s="35">
        <v>105</v>
      </c>
      <c r="B115" s="12" t="s">
        <v>237</v>
      </c>
      <c r="C115" s="9" t="s">
        <v>238</v>
      </c>
      <c r="D115" s="557">
        <f t="shared" si="3"/>
        <v>0</v>
      </c>
      <c r="E115" s="557">
        <f>'[17]Диспансер.набл.Пр.3-22'!E115+[17]Откл.Пр.!E117</f>
        <v>0</v>
      </c>
      <c r="F115" s="557">
        <f t="shared" si="4"/>
        <v>0</v>
      </c>
      <c r="G115" s="557">
        <f>'[17]Диспансер.набл.Пр.3-22'!G115+[17]Откл.Пр.!G117</f>
        <v>0</v>
      </c>
      <c r="H115" s="557">
        <f>'[17]Диспансер.набл.Пр.3-22'!H115+[17]Откл.Пр.!H117</f>
        <v>0</v>
      </c>
      <c r="I115" s="556"/>
      <c r="J115" s="556"/>
      <c r="K115" s="556"/>
      <c r="L115" s="562"/>
    </row>
    <row r="116" spans="1:12" x14ac:dyDescent="0.2">
      <c r="A116" s="35">
        <v>106</v>
      </c>
      <c r="B116" s="12" t="s">
        <v>239</v>
      </c>
      <c r="C116" s="9" t="s">
        <v>240</v>
      </c>
      <c r="D116" s="557">
        <f t="shared" si="3"/>
        <v>0</v>
      </c>
      <c r="E116" s="557">
        <f>'[17]Диспансер.набл.Пр.3-22'!E116+[17]Откл.Пр.!E118</f>
        <v>0</v>
      </c>
      <c r="F116" s="557">
        <f t="shared" si="4"/>
        <v>0</v>
      </c>
      <c r="G116" s="557">
        <f>'[17]Диспансер.набл.Пр.3-22'!G116+[17]Откл.Пр.!G118</f>
        <v>0</v>
      </c>
      <c r="H116" s="557">
        <f>'[17]Диспансер.набл.Пр.3-22'!H116+[17]Откл.Пр.!H118</f>
        <v>0</v>
      </c>
      <c r="I116" s="556"/>
      <c r="J116" s="556"/>
      <c r="K116" s="556"/>
      <c r="L116" s="562"/>
    </row>
    <row r="117" spans="1:12" x14ac:dyDescent="0.2">
      <c r="A117" s="35">
        <v>107</v>
      </c>
      <c r="B117" s="12" t="s">
        <v>241</v>
      </c>
      <c r="C117" s="9" t="s">
        <v>242</v>
      </c>
      <c r="D117" s="557">
        <f t="shared" si="3"/>
        <v>0</v>
      </c>
      <c r="E117" s="557">
        <f>'[17]Диспансер.набл.Пр.3-22'!E117+[17]Откл.Пр.!E119</f>
        <v>0</v>
      </c>
      <c r="F117" s="557">
        <f t="shared" si="4"/>
        <v>0</v>
      </c>
      <c r="G117" s="557">
        <f>'[17]Диспансер.набл.Пр.3-22'!G117+[17]Откл.Пр.!G119</f>
        <v>0</v>
      </c>
      <c r="H117" s="557">
        <f>'[17]Диспансер.набл.Пр.3-22'!H117+[17]Откл.Пр.!H119</f>
        <v>0</v>
      </c>
      <c r="I117" s="556"/>
      <c r="J117" s="556"/>
      <c r="K117" s="556"/>
      <c r="L117" s="562"/>
    </row>
    <row r="118" spans="1:12" x14ac:dyDescent="0.2">
      <c r="A118" s="35">
        <v>108</v>
      </c>
      <c r="B118" s="12" t="s">
        <v>243</v>
      </c>
      <c r="C118" s="9" t="s">
        <v>244</v>
      </c>
      <c r="D118" s="557">
        <f t="shared" si="3"/>
        <v>2592</v>
      </c>
      <c r="E118" s="557">
        <f>'[17]Диспансер.набл.Пр.3-22'!E118+[17]Откл.Пр.!E120</f>
        <v>2592</v>
      </c>
      <c r="F118" s="557">
        <f t="shared" si="4"/>
        <v>0</v>
      </c>
      <c r="G118" s="557">
        <f>'[17]Диспансер.набл.Пр.3-22'!G118+[17]Откл.Пр.!G120</f>
        <v>0</v>
      </c>
      <c r="H118" s="557">
        <f>'[17]Диспансер.набл.Пр.3-22'!H118+[17]Откл.Пр.!H120</f>
        <v>0</v>
      </c>
      <c r="I118" s="556"/>
      <c r="J118" s="556"/>
      <c r="K118" s="556"/>
      <c r="L118" s="562"/>
    </row>
    <row r="119" spans="1:12" x14ac:dyDescent="0.2">
      <c r="A119" s="35">
        <v>109</v>
      </c>
      <c r="B119" s="43" t="s">
        <v>245</v>
      </c>
      <c r="C119" s="11" t="s">
        <v>246</v>
      </c>
      <c r="D119" s="557">
        <f t="shared" si="3"/>
        <v>0</v>
      </c>
      <c r="E119" s="557">
        <f>'[17]Диспансер.набл.Пр.3-22'!E119+[17]Откл.Пр.!E121</f>
        <v>0</v>
      </c>
      <c r="F119" s="557">
        <f t="shared" si="4"/>
        <v>0</v>
      </c>
      <c r="G119" s="557">
        <f>'[17]Диспансер.набл.Пр.3-22'!G119+[17]Откл.Пр.!G121</f>
        <v>0</v>
      </c>
      <c r="H119" s="557">
        <f>'[17]Диспансер.набл.Пр.3-22'!H119+[17]Откл.Пр.!H121</f>
        <v>0</v>
      </c>
      <c r="I119" s="556"/>
      <c r="J119" s="556"/>
      <c r="K119" s="556"/>
      <c r="L119" s="562"/>
    </row>
    <row r="120" spans="1:12" x14ac:dyDescent="0.2">
      <c r="A120" s="35">
        <v>110</v>
      </c>
      <c r="B120" s="43" t="s">
        <v>2270</v>
      </c>
      <c r="C120" s="11" t="s">
        <v>247</v>
      </c>
      <c r="D120" s="557">
        <f t="shared" si="3"/>
        <v>0</v>
      </c>
      <c r="E120" s="557">
        <f>'[17]Диспансер.набл.Пр.3-22'!E120+[17]Откл.Пр.!E122</f>
        <v>0</v>
      </c>
      <c r="F120" s="557">
        <f t="shared" si="4"/>
        <v>0</v>
      </c>
      <c r="G120" s="557">
        <f>'[17]Диспансер.набл.Пр.3-22'!G120+[17]Откл.Пр.!G122</f>
        <v>0</v>
      </c>
      <c r="H120" s="557">
        <f>'[17]Диспансер.набл.Пр.3-22'!H120+[17]Откл.Пр.!H122</f>
        <v>0</v>
      </c>
      <c r="I120" s="556"/>
      <c r="J120" s="556"/>
      <c r="K120" s="556"/>
      <c r="L120" s="562"/>
    </row>
    <row r="121" spans="1:12" x14ac:dyDescent="0.2">
      <c r="A121" s="35">
        <v>111</v>
      </c>
      <c r="B121" s="38" t="s">
        <v>248</v>
      </c>
      <c r="C121" s="37" t="s">
        <v>249</v>
      </c>
      <c r="D121" s="557">
        <f t="shared" si="3"/>
        <v>0</v>
      </c>
      <c r="E121" s="557">
        <f>'[17]Диспансер.набл.Пр.3-22'!E121+[17]Откл.Пр.!E123</f>
        <v>0</v>
      </c>
      <c r="F121" s="557">
        <f t="shared" si="4"/>
        <v>0</v>
      </c>
      <c r="G121" s="557">
        <f>'[17]Диспансер.набл.Пр.3-22'!G121+[17]Откл.Пр.!G123</f>
        <v>0</v>
      </c>
      <c r="H121" s="557">
        <f>'[17]Диспансер.набл.Пр.3-22'!H121+[17]Откл.Пр.!H123</f>
        <v>0</v>
      </c>
      <c r="I121" s="556"/>
      <c r="J121" s="556"/>
      <c r="K121" s="556"/>
      <c r="L121" s="562"/>
    </row>
    <row r="122" spans="1:12" x14ac:dyDescent="0.2">
      <c r="A122" s="35">
        <v>112</v>
      </c>
      <c r="B122" s="12" t="s">
        <v>250</v>
      </c>
      <c r="C122" s="9" t="s">
        <v>251</v>
      </c>
      <c r="D122" s="557">
        <f t="shared" si="3"/>
        <v>0</v>
      </c>
      <c r="E122" s="557">
        <f>'[17]Диспансер.набл.Пр.3-22'!E122+[17]Откл.Пр.!E124</f>
        <v>0</v>
      </c>
      <c r="F122" s="557">
        <f t="shared" si="4"/>
        <v>0</v>
      </c>
      <c r="G122" s="557">
        <f>'[17]Диспансер.набл.Пр.3-22'!G122+[17]Откл.Пр.!G124</f>
        <v>0</v>
      </c>
      <c r="H122" s="557">
        <f>'[17]Диспансер.набл.Пр.3-22'!H122+[17]Откл.Пр.!H124</f>
        <v>0</v>
      </c>
      <c r="I122" s="556"/>
      <c r="J122" s="556"/>
      <c r="K122" s="556"/>
      <c r="L122" s="562"/>
    </row>
    <row r="123" spans="1:12" x14ac:dyDescent="0.2">
      <c r="A123" s="35">
        <v>113</v>
      </c>
      <c r="B123" s="36" t="s">
        <v>252</v>
      </c>
      <c r="C123" s="44" t="s">
        <v>253</v>
      </c>
      <c r="D123" s="557">
        <f t="shared" si="3"/>
        <v>0</v>
      </c>
      <c r="E123" s="557">
        <f>'[17]Диспансер.набл.Пр.3-22'!E123+[17]Откл.Пр.!E125</f>
        <v>0</v>
      </c>
      <c r="F123" s="557">
        <f t="shared" si="4"/>
        <v>0</v>
      </c>
      <c r="G123" s="557">
        <f>'[17]Диспансер.набл.Пр.3-22'!G123+[17]Откл.Пр.!G125</f>
        <v>0</v>
      </c>
      <c r="H123" s="557">
        <f>'[17]Диспансер.набл.Пр.3-22'!H123+[17]Откл.Пр.!H125</f>
        <v>0</v>
      </c>
      <c r="I123" s="556"/>
      <c r="J123" s="556"/>
      <c r="K123" s="556"/>
      <c r="L123" s="562"/>
    </row>
    <row r="124" spans="1:12" x14ac:dyDescent="0.2">
      <c r="A124" s="35">
        <v>114</v>
      </c>
      <c r="B124" s="12" t="s">
        <v>254</v>
      </c>
      <c r="C124" s="9" t="s">
        <v>255</v>
      </c>
      <c r="D124" s="557">
        <f t="shared" si="3"/>
        <v>0</v>
      </c>
      <c r="E124" s="557">
        <f>'[17]Диспансер.набл.Пр.3-22'!E124+[17]Откл.Пр.!E126</f>
        <v>0</v>
      </c>
      <c r="F124" s="557">
        <f t="shared" si="4"/>
        <v>0</v>
      </c>
      <c r="G124" s="557">
        <f>'[17]Диспансер.набл.Пр.3-22'!G124+[17]Откл.Пр.!G126</f>
        <v>0</v>
      </c>
      <c r="H124" s="557">
        <f>'[17]Диспансер.набл.Пр.3-22'!H124+[17]Откл.Пр.!H126</f>
        <v>0</v>
      </c>
      <c r="I124" s="556"/>
      <c r="J124" s="556"/>
      <c r="K124" s="556"/>
      <c r="L124" s="562"/>
    </row>
    <row r="125" spans="1:12" x14ac:dyDescent="0.2">
      <c r="A125" s="35">
        <v>115</v>
      </c>
      <c r="B125" s="12" t="s">
        <v>256</v>
      </c>
      <c r="C125" s="9" t="s">
        <v>257</v>
      </c>
      <c r="D125" s="557">
        <f t="shared" si="3"/>
        <v>0</v>
      </c>
      <c r="E125" s="557">
        <f>'[17]Диспансер.набл.Пр.3-22'!E125+[17]Откл.Пр.!E127</f>
        <v>0</v>
      </c>
      <c r="F125" s="557">
        <f t="shared" si="4"/>
        <v>0</v>
      </c>
      <c r="G125" s="557">
        <f>'[17]Диспансер.набл.Пр.3-22'!G125+[17]Откл.Пр.!G127</f>
        <v>0</v>
      </c>
      <c r="H125" s="557">
        <f>'[17]Диспансер.набл.Пр.3-22'!H125+[17]Откл.Пр.!H127</f>
        <v>0</v>
      </c>
      <c r="I125" s="556"/>
      <c r="J125" s="556"/>
      <c r="K125" s="556"/>
      <c r="L125" s="562"/>
    </row>
    <row r="126" spans="1:12" x14ac:dyDescent="0.2">
      <c r="A126" s="35">
        <v>116</v>
      </c>
      <c r="B126" s="38" t="s">
        <v>258</v>
      </c>
      <c r="C126" s="9" t="s">
        <v>259</v>
      </c>
      <c r="D126" s="557">
        <f t="shared" si="3"/>
        <v>0</v>
      </c>
      <c r="E126" s="557">
        <f>'[17]Диспансер.набл.Пр.3-22'!E126+[17]Откл.Пр.!E128</f>
        <v>0</v>
      </c>
      <c r="F126" s="557">
        <f t="shared" si="4"/>
        <v>0</v>
      </c>
      <c r="G126" s="557">
        <f>'[17]Диспансер.набл.Пр.3-22'!G126+[17]Откл.Пр.!G128</f>
        <v>0</v>
      </c>
      <c r="H126" s="557">
        <f>'[17]Диспансер.набл.Пр.3-22'!H126+[17]Откл.Пр.!H128</f>
        <v>0</v>
      </c>
      <c r="I126" s="556"/>
      <c r="J126" s="556"/>
      <c r="K126" s="556"/>
      <c r="L126" s="562"/>
    </row>
    <row r="127" spans="1:12" x14ac:dyDescent="0.2">
      <c r="A127" s="35">
        <v>117</v>
      </c>
      <c r="B127" s="38" t="s">
        <v>260</v>
      </c>
      <c r="C127" s="9" t="s">
        <v>261</v>
      </c>
      <c r="D127" s="557">
        <f t="shared" si="3"/>
        <v>0</v>
      </c>
      <c r="E127" s="557">
        <f>'[17]Диспансер.набл.Пр.3-22'!E127+[17]Откл.Пр.!E129</f>
        <v>0</v>
      </c>
      <c r="F127" s="557">
        <f t="shared" si="4"/>
        <v>0</v>
      </c>
      <c r="G127" s="557">
        <f>'[17]Диспансер.набл.Пр.3-22'!G127+[17]Откл.Пр.!G129</f>
        <v>0</v>
      </c>
      <c r="H127" s="557">
        <f>'[17]Диспансер.набл.Пр.3-22'!H127+[17]Откл.Пр.!H129</f>
        <v>0</v>
      </c>
      <c r="I127" s="556"/>
      <c r="J127" s="556"/>
      <c r="K127" s="556"/>
      <c r="L127" s="562"/>
    </row>
    <row r="128" spans="1:12" x14ac:dyDescent="0.2">
      <c r="A128" s="35">
        <v>118</v>
      </c>
      <c r="B128" s="38" t="s">
        <v>262</v>
      </c>
      <c r="C128" s="9" t="s">
        <v>263</v>
      </c>
      <c r="D128" s="557">
        <f t="shared" si="3"/>
        <v>0</v>
      </c>
      <c r="E128" s="557">
        <f>'[17]Диспансер.набл.Пр.3-22'!E128+[17]Откл.Пр.!E130</f>
        <v>0</v>
      </c>
      <c r="F128" s="557">
        <f t="shared" si="4"/>
        <v>0</v>
      </c>
      <c r="G128" s="557">
        <f>'[17]Диспансер.набл.Пр.3-22'!G128+[17]Откл.Пр.!G130</f>
        <v>0</v>
      </c>
      <c r="H128" s="557">
        <f>'[17]Диспансер.набл.Пр.3-22'!H128+[17]Откл.Пр.!H130</f>
        <v>0</v>
      </c>
      <c r="I128" s="556"/>
      <c r="J128" s="556"/>
      <c r="K128" s="556"/>
      <c r="L128" s="562"/>
    </row>
    <row r="129" spans="1:12" x14ac:dyDescent="0.2">
      <c r="A129" s="35">
        <v>119</v>
      </c>
      <c r="B129" s="36" t="s">
        <v>264</v>
      </c>
      <c r="C129" s="37" t="s">
        <v>265</v>
      </c>
      <c r="D129" s="557">
        <f t="shared" si="3"/>
        <v>220</v>
      </c>
      <c r="E129" s="557">
        <f>'[17]Диспансер.набл.Пр.3-22'!E129+[17]Откл.Пр.!E131</f>
        <v>220</v>
      </c>
      <c r="F129" s="557">
        <f t="shared" si="4"/>
        <v>0</v>
      </c>
      <c r="G129" s="557">
        <f>'[17]Диспансер.набл.Пр.3-22'!G129+[17]Откл.Пр.!G131</f>
        <v>0</v>
      </c>
      <c r="H129" s="559">
        <f>'[17]Диспансер.набл.Пр.3-22'!H129+[17]Откл.Пр.!H131</f>
        <v>0</v>
      </c>
      <c r="I129" s="556"/>
      <c r="J129" s="556"/>
      <c r="K129" s="556"/>
      <c r="L129" s="562"/>
    </row>
    <row r="130" spans="1:12" x14ac:dyDescent="0.2">
      <c r="A130" s="35">
        <v>120</v>
      </c>
      <c r="B130" s="38" t="s">
        <v>266</v>
      </c>
      <c r="C130" s="37" t="s">
        <v>267</v>
      </c>
      <c r="D130" s="557">
        <f t="shared" si="3"/>
        <v>0</v>
      </c>
      <c r="E130" s="557">
        <f>'[17]Диспансер.набл.Пр.3-22'!E130+[17]Откл.Пр.!E132</f>
        <v>0</v>
      </c>
      <c r="F130" s="557">
        <f t="shared" si="4"/>
        <v>0</v>
      </c>
      <c r="G130" s="557">
        <f>'[17]Диспансер.набл.Пр.3-22'!G130+[17]Откл.Пр.!G132</f>
        <v>0</v>
      </c>
      <c r="H130" s="559">
        <f>'[17]Диспансер.набл.Пр.3-22'!H130+[17]Откл.Пр.!H132</f>
        <v>0</v>
      </c>
      <c r="I130" s="556"/>
      <c r="J130" s="556"/>
      <c r="K130" s="556"/>
      <c r="L130" s="562"/>
    </row>
    <row r="131" spans="1:12" x14ac:dyDescent="0.2">
      <c r="A131" s="35">
        <v>121</v>
      </c>
      <c r="B131" s="12" t="s">
        <v>268</v>
      </c>
      <c r="C131" s="9" t="s">
        <v>269</v>
      </c>
      <c r="D131" s="557">
        <f t="shared" si="3"/>
        <v>972</v>
      </c>
      <c r="E131" s="557">
        <f>'[17]Диспансер.набл.Пр.3-22'!E131+[17]Откл.Пр.!E133</f>
        <v>972</v>
      </c>
      <c r="F131" s="557">
        <f t="shared" si="4"/>
        <v>0</v>
      </c>
      <c r="G131" s="557">
        <f>'[17]Диспансер.набл.Пр.3-22'!G131+[17]Откл.Пр.!G133</f>
        <v>0</v>
      </c>
      <c r="H131" s="559">
        <f>'[17]Диспансер.набл.Пр.3-22'!H131+[17]Откл.Пр.!H133</f>
        <v>0</v>
      </c>
      <c r="I131" s="556"/>
      <c r="J131" s="556"/>
      <c r="K131" s="556"/>
      <c r="L131" s="562"/>
    </row>
    <row r="132" spans="1:12" x14ac:dyDescent="0.2">
      <c r="A132" s="35">
        <v>122</v>
      </c>
      <c r="B132" s="12" t="s">
        <v>270</v>
      </c>
      <c r="C132" s="9" t="s">
        <v>271</v>
      </c>
      <c r="D132" s="557">
        <f t="shared" si="3"/>
        <v>0</v>
      </c>
      <c r="E132" s="557">
        <f>'[17]Диспансер.набл.Пр.3-22'!E132+[17]Откл.Пр.!E134</f>
        <v>0</v>
      </c>
      <c r="F132" s="557">
        <f t="shared" si="4"/>
        <v>0</v>
      </c>
      <c r="G132" s="557">
        <f>'[17]Диспансер.набл.Пр.3-22'!G132+[17]Откл.Пр.!G134</f>
        <v>0</v>
      </c>
      <c r="H132" s="559">
        <f>'[17]Диспансер.набл.Пр.3-22'!H132+[17]Откл.Пр.!H134</f>
        <v>0</v>
      </c>
      <c r="I132" s="556"/>
      <c r="J132" s="556"/>
      <c r="K132" s="556"/>
      <c r="L132" s="562"/>
    </row>
    <row r="133" spans="1:12" x14ac:dyDescent="0.2">
      <c r="A133" s="35">
        <v>123</v>
      </c>
      <c r="B133" s="12" t="s">
        <v>272</v>
      </c>
      <c r="C133" s="9" t="s">
        <v>273</v>
      </c>
      <c r="D133" s="557">
        <f t="shared" si="3"/>
        <v>0</v>
      </c>
      <c r="E133" s="557">
        <f>'[17]Диспансер.набл.Пр.3-22'!E133+[17]Откл.Пр.!E135</f>
        <v>0</v>
      </c>
      <c r="F133" s="557">
        <f t="shared" si="4"/>
        <v>0</v>
      </c>
      <c r="G133" s="557">
        <f>'[17]Диспансер.набл.Пр.3-22'!G133+[17]Откл.Пр.!G135</f>
        <v>0</v>
      </c>
      <c r="H133" s="559">
        <f>'[17]Диспансер.набл.Пр.3-22'!H133+[17]Откл.Пр.!H135</f>
        <v>0</v>
      </c>
      <c r="I133" s="556"/>
      <c r="J133" s="556"/>
      <c r="K133" s="556"/>
      <c r="L133" s="562"/>
    </row>
    <row r="134" spans="1:12" x14ac:dyDescent="0.2">
      <c r="A134" s="35">
        <v>124</v>
      </c>
      <c r="B134" s="12" t="s">
        <v>161</v>
      </c>
      <c r="C134" s="9" t="s">
        <v>274</v>
      </c>
      <c r="D134" s="557">
        <f t="shared" si="3"/>
        <v>0</v>
      </c>
      <c r="E134" s="557">
        <f>'[17]Диспансер.набл.Пр.3-22'!E134+[17]Откл.Пр.!E136</f>
        <v>0</v>
      </c>
      <c r="F134" s="557">
        <f t="shared" si="4"/>
        <v>0</v>
      </c>
      <c r="G134" s="557">
        <f>'[17]Диспансер.набл.Пр.3-22'!G134+[17]Откл.Пр.!G136</f>
        <v>0</v>
      </c>
      <c r="H134" s="559">
        <f>'[17]Диспансер.набл.Пр.3-22'!H134+[17]Откл.Пр.!H136</f>
        <v>0</v>
      </c>
      <c r="I134" s="556"/>
      <c r="J134" s="556"/>
      <c r="K134" s="556"/>
      <c r="L134" s="562"/>
    </row>
    <row r="135" spans="1:12" x14ac:dyDescent="0.2">
      <c r="A135" s="35">
        <v>125</v>
      </c>
      <c r="B135" s="12" t="s">
        <v>275</v>
      </c>
      <c r="C135" s="9" t="s">
        <v>276</v>
      </c>
      <c r="D135" s="557">
        <f t="shared" si="3"/>
        <v>0</v>
      </c>
      <c r="E135" s="557">
        <f>'[17]Диспансер.набл.Пр.3-22'!E135+[17]Откл.Пр.!E137</f>
        <v>0</v>
      </c>
      <c r="F135" s="557">
        <f t="shared" si="4"/>
        <v>0</v>
      </c>
      <c r="G135" s="557">
        <f>'[17]Диспансер.набл.Пр.3-22'!G135+[17]Откл.Пр.!G137</f>
        <v>0</v>
      </c>
      <c r="H135" s="559">
        <f>'[17]Диспансер.набл.Пр.3-22'!H135+[17]Откл.Пр.!H137</f>
        <v>0</v>
      </c>
      <c r="I135" s="556"/>
      <c r="J135" s="556"/>
      <c r="K135" s="556"/>
      <c r="L135" s="562"/>
    </row>
    <row r="136" spans="1:12" x14ac:dyDescent="0.2">
      <c r="A136" s="35">
        <v>126</v>
      </c>
      <c r="B136" s="36" t="s">
        <v>277</v>
      </c>
      <c r="C136" s="37" t="s">
        <v>2</v>
      </c>
      <c r="D136" s="557">
        <f t="shared" si="3"/>
        <v>0</v>
      </c>
      <c r="E136" s="557">
        <f>'[17]Диспансер.набл.Пр.3-22'!E136+[17]Откл.Пр.!E138</f>
        <v>0</v>
      </c>
      <c r="F136" s="557">
        <f t="shared" si="4"/>
        <v>0</v>
      </c>
      <c r="G136" s="557">
        <f>'[17]Диспансер.набл.Пр.3-22'!G136+[17]Откл.Пр.!G138</f>
        <v>0</v>
      </c>
      <c r="H136" s="559">
        <f>'[17]Диспансер.набл.Пр.3-22'!H136+[17]Откл.Пр.!H138</f>
        <v>0</v>
      </c>
      <c r="I136" s="556"/>
      <c r="J136" s="556"/>
      <c r="K136" s="556"/>
      <c r="L136" s="562"/>
    </row>
    <row r="137" spans="1:12" x14ac:dyDescent="0.2">
      <c r="A137" s="35">
        <v>127</v>
      </c>
      <c r="B137" s="12" t="s">
        <v>278</v>
      </c>
      <c r="C137" s="9" t="s">
        <v>279</v>
      </c>
      <c r="D137" s="557">
        <f t="shared" si="3"/>
        <v>0</v>
      </c>
      <c r="E137" s="557">
        <f>'[17]Диспансер.набл.Пр.3-22'!E137+[17]Откл.Пр.!E139</f>
        <v>0</v>
      </c>
      <c r="F137" s="557">
        <f t="shared" si="4"/>
        <v>0</v>
      </c>
      <c r="G137" s="557">
        <f>'[17]Диспансер.набл.Пр.3-22'!G137+[17]Откл.Пр.!G139</f>
        <v>0</v>
      </c>
      <c r="H137" s="559">
        <f>'[17]Диспансер.набл.Пр.3-22'!H137+[17]Откл.Пр.!H139</f>
        <v>0</v>
      </c>
      <c r="I137" s="556"/>
      <c r="J137" s="556"/>
      <c r="K137" s="556"/>
      <c r="L137" s="562"/>
    </row>
    <row r="138" spans="1:12" x14ac:dyDescent="0.2">
      <c r="A138" s="35">
        <v>128</v>
      </c>
      <c r="B138" s="36" t="s">
        <v>280</v>
      </c>
      <c r="C138" s="9" t="s">
        <v>64</v>
      </c>
      <c r="D138" s="557">
        <f t="shared" si="3"/>
        <v>900</v>
      </c>
      <c r="E138" s="557">
        <f>'[17]Диспансер.набл.Пр.3-22'!E138+[17]Откл.Пр.!E140</f>
        <v>900</v>
      </c>
      <c r="F138" s="557">
        <f t="shared" si="4"/>
        <v>0</v>
      </c>
      <c r="G138" s="557">
        <f>'[17]Диспансер.набл.Пр.3-22'!G138+[17]Откл.Пр.!G140</f>
        <v>0</v>
      </c>
      <c r="H138" s="559">
        <f>'[17]Диспансер.набл.Пр.3-22'!H138+[17]Откл.Пр.!H140</f>
        <v>0</v>
      </c>
      <c r="I138" s="556"/>
      <c r="J138" s="556"/>
      <c r="K138" s="556"/>
      <c r="L138" s="562"/>
    </row>
    <row r="139" spans="1:12" x14ac:dyDescent="0.2">
      <c r="A139" s="35">
        <v>129</v>
      </c>
      <c r="B139" s="39" t="s">
        <v>281</v>
      </c>
      <c r="C139" s="40" t="s">
        <v>22</v>
      </c>
      <c r="D139" s="557">
        <f t="shared" si="3"/>
        <v>6647</v>
      </c>
      <c r="E139" s="557">
        <f>'[17]Диспансер.набл.Пр.3-22'!E139+[17]Откл.Пр.!E141</f>
        <v>6647</v>
      </c>
      <c r="F139" s="557">
        <f t="shared" si="4"/>
        <v>0</v>
      </c>
      <c r="G139" s="557">
        <f>'[17]Диспансер.набл.Пр.3-22'!G139+[17]Откл.Пр.!G141</f>
        <v>0</v>
      </c>
      <c r="H139" s="559">
        <f>'[17]Диспансер.набл.Пр.3-22'!H139+[17]Откл.Пр.!H141</f>
        <v>0</v>
      </c>
      <c r="I139" s="556"/>
      <c r="J139" s="556"/>
      <c r="K139" s="556"/>
      <c r="L139" s="562"/>
    </row>
    <row r="140" spans="1:12" x14ac:dyDescent="0.2">
      <c r="A140" s="35">
        <v>130</v>
      </c>
      <c r="B140" s="12" t="s">
        <v>282</v>
      </c>
      <c r="C140" s="9" t="s">
        <v>283</v>
      </c>
      <c r="D140" s="557">
        <f t="shared" si="3"/>
        <v>0</v>
      </c>
      <c r="E140" s="557">
        <f>'[17]Диспансер.набл.Пр.3-22'!E140+[17]Откл.Пр.!E142</f>
        <v>0</v>
      </c>
      <c r="F140" s="557">
        <f t="shared" si="4"/>
        <v>0</v>
      </c>
      <c r="G140" s="557">
        <f>'[17]Диспансер.набл.Пр.3-22'!G140+[17]Откл.Пр.!G142</f>
        <v>0</v>
      </c>
      <c r="H140" s="559">
        <f>'[17]Диспансер.набл.Пр.3-22'!H140+[17]Откл.Пр.!H142</f>
        <v>0</v>
      </c>
      <c r="I140" s="556"/>
      <c r="J140" s="556"/>
      <c r="K140" s="556"/>
      <c r="L140" s="562"/>
    </row>
    <row r="141" spans="1:12" x14ac:dyDescent="0.2">
      <c r="A141" s="35">
        <v>131</v>
      </c>
      <c r="B141" s="12" t="s">
        <v>284</v>
      </c>
      <c r="C141" s="9" t="s">
        <v>67</v>
      </c>
      <c r="D141" s="557">
        <f t="shared" ref="D141:D147" si="5">E141+F141</f>
        <v>0</v>
      </c>
      <c r="E141" s="557">
        <f>'[17]Диспансер.набл.Пр.3-22'!E141+[17]Откл.Пр.!E143</f>
        <v>0</v>
      </c>
      <c r="F141" s="557">
        <f t="shared" ref="F141:F147" si="6">G141+H141</f>
        <v>0</v>
      </c>
      <c r="G141" s="557">
        <f>'[17]Диспансер.набл.Пр.3-22'!G141+[17]Откл.Пр.!G143</f>
        <v>0</v>
      </c>
      <c r="H141" s="559">
        <f>'[17]Диспансер.набл.Пр.3-22'!H141+[17]Откл.Пр.!H143</f>
        <v>0</v>
      </c>
      <c r="I141" s="556"/>
      <c r="J141" s="556"/>
      <c r="K141" s="556"/>
      <c r="L141" s="562"/>
    </row>
    <row r="142" spans="1:12" x14ac:dyDescent="0.2">
      <c r="A142" s="35">
        <v>132</v>
      </c>
      <c r="B142" s="12" t="s">
        <v>285</v>
      </c>
      <c r="C142" s="9" t="s">
        <v>286</v>
      </c>
      <c r="D142" s="557">
        <f t="shared" si="5"/>
        <v>0</v>
      </c>
      <c r="E142" s="557">
        <f>'[17]Диспансер.набл.Пр.3-22'!E142+[17]Откл.Пр.!E144</f>
        <v>0</v>
      </c>
      <c r="F142" s="557">
        <f t="shared" si="6"/>
        <v>0</v>
      </c>
      <c r="G142" s="557">
        <f>'[17]Диспансер.набл.Пр.3-22'!G142+[17]Откл.Пр.!G144</f>
        <v>0</v>
      </c>
      <c r="H142" s="559">
        <f>'[17]Диспансер.набл.Пр.3-22'!H142+[17]Откл.Пр.!H144</f>
        <v>0</v>
      </c>
      <c r="I142" s="556"/>
      <c r="J142" s="556"/>
      <c r="K142" s="556"/>
      <c r="L142" s="562"/>
    </row>
    <row r="143" spans="1:12" x14ac:dyDescent="0.2">
      <c r="A143" s="35">
        <v>133</v>
      </c>
      <c r="B143" s="39" t="s">
        <v>159</v>
      </c>
      <c r="C143" s="40" t="s">
        <v>160</v>
      </c>
      <c r="D143" s="557">
        <f t="shared" si="5"/>
        <v>28835</v>
      </c>
      <c r="E143" s="557">
        <f>'[17]Диспансер.набл.Пр.3-22'!E143+[17]Откл.Пр.!E145</f>
        <v>0</v>
      </c>
      <c r="F143" s="557">
        <f t="shared" si="6"/>
        <v>28835</v>
      </c>
      <c r="G143" s="557">
        <f>'[17]Диспансер.набл.Пр.3-22'!G143+[17]Откл.Пр.!G145</f>
        <v>3858</v>
      </c>
      <c r="H143" s="559">
        <f>'[17]Диспансер.набл.Пр.3-22'!H143+[17]Откл.Пр.!H145</f>
        <v>24977</v>
      </c>
      <c r="I143" s="556"/>
      <c r="J143" s="556"/>
      <c r="K143" s="556"/>
      <c r="L143" s="562"/>
    </row>
    <row r="144" spans="1:12" x14ac:dyDescent="0.2">
      <c r="A144" s="35">
        <v>134</v>
      </c>
      <c r="B144" s="38" t="s">
        <v>113</v>
      </c>
      <c r="C144" s="40" t="s">
        <v>114</v>
      </c>
      <c r="D144" s="557">
        <f t="shared" si="5"/>
        <v>56329</v>
      </c>
      <c r="E144" s="557">
        <f>'[17]Диспансер.набл.Пр.3-22'!E144+[17]Откл.Пр.!E146</f>
        <v>0</v>
      </c>
      <c r="F144" s="557">
        <f t="shared" si="6"/>
        <v>56329</v>
      </c>
      <c r="G144" s="557">
        <f>'[17]Диспансер.набл.Пр.3-22'!G144+[17]Откл.Пр.!G146</f>
        <v>17630</v>
      </c>
      <c r="H144" s="559">
        <f>'[17]Диспансер.набл.Пр.3-22'!H144+[17]Откл.Пр.!H146</f>
        <v>38699</v>
      </c>
      <c r="I144" s="556"/>
      <c r="J144" s="556"/>
      <c r="K144" s="556"/>
      <c r="L144" s="562"/>
    </row>
    <row r="145" spans="1:12" x14ac:dyDescent="0.2">
      <c r="A145" s="35">
        <v>135</v>
      </c>
      <c r="B145" s="12" t="s">
        <v>287</v>
      </c>
      <c r="C145" s="9" t="s">
        <v>288</v>
      </c>
      <c r="D145" s="557">
        <f t="shared" si="5"/>
        <v>0</v>
      </c>
      <c r="E145" s="557">
        <f>'[17]Диспансер.набл.Пр.3-22'!E145+[17]Откл.Пр.!E147</f>
        <v>0</v>
      </c>
      <c r="F145" s="557">
        <f t="shared" si="6"/>
        <v>0</v>
      </c>
      <c r="G145" s="557">
        <f>'[17]Диспансер.набл.Пр.3-22'!G145+[17]Откл.Пр.!G147</f>
        <v>0</v>
      </c>
      <c r="H145" s="559">
        <f>'[17]Диспансер.набл.Пр.3-22'!H145+[17]Откл.Пр.!H147</f>
        <v>0</v>
      </c>
      <c r="I145" s="556"/>
      <c r="J145" s="556"/>
      <c r="K145" s="556"/>
      <c r="L145" s="562"/>
    </row>
    <row r="146" spans="1:12" x14ac:dyDescent="0.2">
      <c r="A146" s="35">
        <v>136</v>
      </c>
      <c r="B146" s="36" t="s">
        <v>289</v>
      </c>
      <c r="C146" s="37" t="s">
        <v>68</v>
      </c>
      <c r="D146" s="557">
        <f t="shared" si="5"/>
        <v>0</v>
      </c>
      <c r="E146" s="557">
        <f>'[17]Диспансер.набл.Пр.3-22'!E146+[17]Откл.Пр.!E148</f>
        <v>0</v>
      </c>
      <c r="F146" s="557">
        <f t="shared" si="6"/>
        <v>0</v>
      </c>
      <c r="G146" s="557">
        <f>'[17]Диспансер.набл.Пр.3-22'!G146+[17]Откл.Пр.!G148</f>
        <v>0</v>
      </c>
      <c r="H146" s="559">
        <f>'[17]Диспансер.набл.Пр.3-22'!H146+[17]Откл.Пр.!H148</f>
        <v>0</v>
      </c>
      <c r="I146" s="556"/>
      <c r="J146" s="556"/>
      <c r="K146" s="556"/>
      <c r="L146" s="562"/>
    </row>
    <row r="147" spans="1:12" ht="12.75" x14ac:dyDescent="0.2">
      <c r="A147" s="35">
        <v>137</v>
      </c>
      <c r="B147" s="45" t="s">
        <v>290</v>
      </c>
      <c r="C147" s="46" t="s">
        <v>291</v>
      </c>
      <c r="D147" s="557">
        <f t="shared" si="5"/>
        <v>0</v>
      </c>
      <c r="E147" s="557">
        <f>'[17]Диспансер.набл.Пр.3-22'!E147+[17]Откл.Пр.!E149</f>
        <v>0</v>
      </c>
      <c r="F147" s="557">
        <f t="shared" si="6"/>
        <v>0</v>
      </c>
      <c r="G147" s="557">
        <f>'[17]Диспансер.набл.Пр.3-22'!G147+[17]Откл.Пр.!G149</f>
        <v>0</v>
      </c>
      <c r="H147" s="559">
        <f>'[17]Диспансер.набл.Пр.3-22'!H147+[17]Откл.Пр.!H149</f>
        <v>0</v>
      </c>
      <c r="I147" s="556"/>
      <c r="J147" s="556"/>
      <c r="K147" s="556"/>
      <c r="L147" s="562"/>
    </row>
    <row r="148" spans="1:12" x14ac:dyDescent="0.2">
      <c r="E148" s="561"/>
      <c r="F148" s="544"/>
      <c r="G148" s="544"/>
      <c r="H148" s="570"/>
      <c r="L148" s="562"/>
    </row>
    <row r="149" spans="1:12" x14ac:dyDescent="0.2">
      <c r="D149" s="562"/>
      <c r="E149" s="562"/>
      <c r="F149" s="562"/>
      <c r="G149" s="562"/>
      <c r="H149" s="562"/>
    </row>
    <row r="150" spans="1:12" x14ac:dyDescent="0.2">
      <c r="G150" s="544"/>
    </row>
    <row r="152" spans="1:12" x14ac:dyDescent="0.2">
      <c r="D152" s="544"/>
      <c r="E152" s="544"/>
      <c r="F152" s="544"/>
      <c r="G152" s="544"/>
      <c r="H152" s="544"/>
    </row>
  </sheetData>
  <mergeCells count="14">
    <mergeCell ref="A7:C7"/>
    <mergeCell ref="A8:C8"/>
    <mergeCell ref="A9:C9"/>
    <mergeCell ref="A91:A92"/>
    <mergeCell ref="B91:B92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8</vt:i4>
      </vt:variant>
    </vt:vector>
  </HeadingPairs>
  <TitlesOfParts>
    <vt:vector size="33" baseType="lpstr">
      <vt:lpstr>КС Пр.6-22</vt:lpstr>
      <vt:lpstr>ВМП КС ПР.6-22</vt:lpstr>
      <vt:lpstr>ДС Пр.6-22</vt:lpstr>
      <vt:lpstr>ВМП ДС Пр. 2-22 </vt:lpstr>
      <vt:lpstr>Неотложная МП 4-22 </vt:lpstr>
      <vt:lpstr>Обращения 6-22 </vt:lpstr>
      <vt:lpstr>Объемы МР 6-22</vt:lpstr>
      <vt:lpstr>Профил. СВОД Пр.6-22 </vt:lpstr>
      <vt:lpstr>Диспансер.набл.Пр.6-22</vt:lpstr>
      <vt:lpstr>Разов.пос.по заб.Пр.6-22</vt:lpstr>
      <vt:lpstr>Посещ.с др.целями Пр.6-22</vt:lpstr>
      <vt:lpstr>Центры здоровья Пр.19-21</vt:lpstr>
      <vt:lpstr>ДВН центр.исслед.Пр.3-22</vt:lpstr>
      <vt:lpstr>Углубленная диспан. Пр.3-22</vt:lpstr>
      <vt:lpstr>СМП Пр.4-22</vt:lpstr>
      <vt:lpstr>КТ, МРТ Пр. 6-22</vt:lpstr>
      <vt:lpstr>УЗИ ссс Пр. 6-22</vt:lpstr>
      <vt:lpstr>ЭИ, ПАИ, МГИ Пр. 4-22</vt:lpstr>
      <vt:lpstr>COVID-19 Пр. 3-22</vt:lpstr>
      <vt:lpstr>РД, ПЭТ, УЗИ скрининг Пр. 3-22</vt:lpstr>
      <vt:lpstr>Венерология Пр. 19-21</vt:lpstr>
      <vt:lpstr>Паллиативная помощь Пр.19-21</vt:lpstr>
      <vt:lpstr>Долечивание, Кибер-нож Пр.19-21</vt:lpstr>
      <vt:lpstr>ФАП (услуги связи) Пр.6-22</vt:lpstr>
      <vt:lpstr>Гемодиализ Пр. 4-22</vt:lpstr>
      <vt:lpstr>'ВМП КС ПР.6-22'!Заголовки_для_печати</vt:lpstr>
      <vt:lpstr>'Диспансер.набл.Пр.6-22'!Заголовки_для_печати</vt:lpstr>
      <vt:lpstr>'ДС Пр.6-22'!Заголовки_для_печати</vt:lpstr>
      <vt:lpstr>'Посещ.с др.целями Пр.6-22'!Заголовки_для_печати</vt:lpstr>
      <vt:lpstr>'Профил. СВОД Пр.6-22 '!Заголовки_для_печати</vt:lpstr>
      <vt:lpstr>'Разов.пос.по заб.Пр.6-22'!Заголовки_для_печати</vt:lpstr>
      <vt:lpstr>'СМП Пр.4-22'!Заголовки_для_печати</vt:lpstr>
      <vt:lpstr>'Углубленная диспан. Пр.3-22'!Заголовки_для_печати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2022-04-28T05:20:03Z</dcterms:modified>
</cp:coreProperties>
</file>